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dicadores de Desempeño\"/>
    </mc:Choice>
  </mc:AlternateContent>
  <workbookProtection workbookAlgorithmName="SHA-512" workbookHashValue="qsQhNy98f1iBc3zuKeGXPRlQ3r/pEWLJt5dxBse9aZmNJUGWwHQnlj0fUPasTJCX1zjt6KixEHooGbYHx+OtpQ==" workbookSaltValue="b9bpwDX4FLjWpTJAO/3EGg==" workbookSpinCount="100000" lockStructure="1"/>
  <bookViews>
    <workbookView xWindow="0" yWindow="0" windowWidth="22770" windowHeight="9360"/>
  </bookViews>
  <sheets>
    <sheet name="Representación Judicial" sheetId="16" r:id="rId1"/>
    <sheet name="Agricultura" sheetId="15" r:id="rId2"/>
    <sheet name="Familia" sheetId="14" r:id="rId3"/>
    <sheet name="Turismo" sheetId="13" r:id="rId4"/>
    <sheet name="Hacienda" sheetId="12" r:id="rId5"/>
    <sheet name="Aguas e Infraestructura" sheetId="11" r:id="rId6"/>
    <sheet name="Administrativa" sheetId="9" r:id="rId7"/>
    <sheet name="Salud" sheetId="7" r:id="rId8"/>
    <sheet name="Planeación" sheetId="6" r:id="rId9"/>
    <sheet name="Privada" sheetId="2" r:id="rId10"/>
    <sheet name="Cultura" sheetId="4" r:id="rId11"/>
    <sheet name="Educación" sheetId="8" r:id="rId12"/>
    <sheet name="Interior" sheetId="10" r:id="rId13"/>
  </sheets>
  <externalReferences>
    <externalReference r:id="rId14"/>
  </externalReferences>
  <definedNames>
    <definedName name="_xlnm.Print_Area" localSheetId="5">'Aguas e Infraestructura'!$A$1:$J$27</definedName>
    <definedName name="_xlnm.Print_Area" localSheetId="10">Cultura!$A$1:$M$39</definedName>
    <definedName name="_xlnm.Print_Area" localSheetId="8">Planeación!$A$1:$N$58</definedName>
    <definedName name="_xlnm.Print_Area" localSheetId="3">Turismo!$A$1:$M$55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6" l="1"/>
  <c r="F15" i="16" s="1"/>
  <c r="M7" i="16"/>
  <c r="K7" i="16"/>
  <c r="J7" i="16"/>
  <c r="F14" i="16" l="1"/>
  <c r="F13" i="16"/>
  <c r="F12" i="16"/>
  <c r="E36" i="15" l="1"/>
  <c r="F36" i="15" s="1"/>
  <c r="M26" i="15"/>
  <c r="M25" i="15"/>
  <c r="M24" i="15"/>
  <c r="M23" i="15"/>
  <c r="M22" i="15"/>
  <c r="L22" i="15"/>
  <c r="K22" i="15"/>
  <c r="J22" i="15"/>
  <c r="M21" i="15"/>
  <c r="M20" i="15"/>
  <c r="M19" i="15"/>
  <c r="M18" i="15"/>
  <c r="K18" i="15"/>
  <c r="J18" i="15"/>
  <c r="M17" i="15"/>
  <c r="L17" i="15"/>
  <c r="K17" i="15"/>
  <c r="J17" i="15"/>
  <c r="M16" i="15"/>
  <c r="M15" i="15"/>
  <c r="M14" i="15"/>
  <c r="L14" i="15"/>
  <c r="K14" i="15"/>
  <c r="J14" i="15"/>
  <c r="M13" i="15"/>
  <c r="M12" i="15"/>
  <c r="M11" i="15"/>
  <c r="M10" i="15"/>
  <c r="M9" i="15"/>
  <c r="L9" i="15"/>
  <c r="L27" i="15" s="1"/>
  <c r="K9" i="15"/>
  <c r="K27" i="15" s="1"/>
  <c r="J9" i="15"/>
  <c r="J27" i="15" s="1"/>
  <c r="M8" i="15"/>
  <c r="M7" i="15"/>
  <c r="M6" i="15"/>
  <c r="F34" i="15" l="1"/>
  <c r="F35" i="15"/>
  <c r="F33" i="15"/>
  <c r="E37" i="14" l="1"/>
  <c r="F37" i="14" s="1"/>
  <c r="F36" i="14"/>
  <c r="F35" i="14"/>
  <c r="M26" i="14"/>
  <c r="M25" i="14"/>
  <c r="M24" i="14"/>
  <c r="M23" i="14"/>
  <c r="L23" i="14"/>
  <c r="K23" i="14"/>
  <c r="J23" i="14"/>
  <c r="M22" i="14"/>
  <c r="M21" i="14"/>
  <c r="K21" i="14"/>
  <c r="J21" i="14"/>
  <c r="M20" i="14"/>
  <c r="J20" i="14"/>
  <c r="M19" i="14"/>
  <c r="L19" i="14"/>
  <c r="K19" i="14"/>
  <c r="J19" i="14"/>
  <c r="M18" i="14"/>
  <c r="M17" i="14"/>
  <c r="M16" i="14"/>
  <c r="M15" i="14"/>
  <c r="J15" i="14"/>
  <c r="M14" i="14"/>
  <c r="M13" i="14"/>
  <c r="M12" i="14"/>
  <c r="L12" i="14"/>
  <c r="K12" i="14"/>
  <c r="J12" i="14"/>
  <c r="M11" i="14"/>
  <c r="L11" i="14"/>
  <c r="K11" i="14"/>
  <c r="J11" i="14"/>
  <c r="M10" i="14"/>
  <c r="L10" i="14"/>
  <c r="L27" i="14" s="1"/>
  <c r="K10" i="14"/>
  <c r="K27" i="14" s="1"/>
  <c r="J10" i="14"/>
  <c r="J27" i="14" s="1"/>
  <c r="M9" i="14"/>
  <c r="M8" i="14"/>
  <c r="F34" i="14" l="1"/>
  <c r="F34" i="13" l="1"/>
  <c r="G34" i="13" s="1"/>
  <c r="G33" i="13"/>
  <c r="G32" i="13"/>
  <c r="L24" i="13"/>
  <c r="M23" i="13"/>
  <c r="L23" i="13"/>
  <c r="K23" i="13"/>
  <c r="J23" i="13"/>
  <c r="M22" i="13"/>
  <c r="K22" i="13"/>
  <c r="J22" i="13"/>
  <c r="M21" i="13"/>
  <c r="L21" i="13"/>
  <c r="K21" i="13"/>
  <c r="J21" i="13"/>
  <c r="M20" i="13"/>
  <c r="M19" i="13"/>
  <c r="M18" i="13"/>
  <c r="K18" i="13"/>
  <c r="K24" i="13" s="1"/>
  <c r="J18" i="13"/>
  <c r="J24" i="13" s="1"/>
  <c r="M17" i="13"/>
  <c r="M16" i="13"/>
  <c r="M15" i="13"/>
  <c r="M14" i="13"/>
  <c r="M13" i="13"/>
  <c r="M12" i="13"/>
  <c r="M11" i="13"/>
  <c r="M10" i="13"/>
  <c r="M9" i="13"/>
  <c r="M24" i="13" s="1"/>
  <c r="G31" i="13" l="1"/>
  <c r="E18" i="12" l="1"/>
  <c r="F18" i="12" s="1"/>
  <c r="F17" i="12"/>
  <c r="N10" i="12"/>
  <c r="N9" i="12"/>
  <c r="N8" i="12"/>
  <c r="N7" i="12"/>
  <c r="N6" i="12"/>
  <c r="F16" i="12" l="1"/>
  <c r="F15" i="12"/>
  <c r="H25" i="11" l="1"/>
  <c r="G25" i="11"/>
  <c r="J25" i="11" s="1"/>
  <c r="F25" i="11"/>
  <c r="F26" i="11" s="1"/>
  <c r="E25" i="11"/>
  <c r="H26" i="11" s="1"/>
  <c r="J24" i="11"/>
  <c r="J23" i="11"/>
  <c r="J22" i="11"/>
  <c r="J21" i="11"/>
  <c r="J20" i="11"/>
  <c r="J19" i="11"/>
  <c r="J18" i="11"/>
  <c r="J17" i="11"/>
  <c r="J16" i="11"/>
  <c r="J15" i="11"/>
  <c r="J14" i="11"/>
  <c r="J13" i="11"/>
  <c r="J12" i="11"/>
  <c r="J11" i="11"/>
  <c r="J10" i="11"/>
  <c r="J9" i="11"/>
  <c r="J8" i="11"/>
  <c r="J7" i="11"/>
  <c r="I7" i="11"/>
  <c r="J6" i="11"/>
  <c r="J5" i="11"/>
  <c r="I5" i="11"/>
  <c r="J4" i="11"/>
  <c r="I4" i="11"/>
  <c r="I25" i="11" s="1"/>
  <c r="I26" i="11" s="1"/>
  <c r="J3" i="11"/>
  <c r="G26" i="11" l="1"/>
  <c r="J26" i="11" s="1"/>
  <c r="M39" i="10" l="1"/>
  <c r="K39" i="10"/>
  <c r="J39" i="10"/>
  <c r="M38" i="10"/>
  <c r="M37" i="10"/>
  <c r="M36" i="10"/>
  <c r="M35" i="10"/>
  <c r="M34" i="10"/>
  <c r="M33" i="10"/>
  <c r="M32" i="10"/>
  <c r="L32" i="10"/>
  <c r="K32" i="10"/>
  <c r="J32" i="10"/>
  <c r="M30" i="10"/>
  <c r="L30" i="10"/>
  <c r="K30" i="10"/>
  <c r="J30" i="10"/>
  <c r="M29" i="10"/>
  <c r="L29" i="10"/>
  <c r="L40" i="10" s="1"/>
  <c r="K29" i="10"/>
  <c r="J29" i="10"/>
  <c r="M28" i="10"/>
  <c r="M27" i="10"/>
  <c r="M26" i="10"/>
  <c r="M25" i="10"/>
  <c r="M24" i="10"/>
  <c r="M23" i="10"/>
  <c r="K23" i="10"/>
  <c r="J23" i="10"/>
  <c r="M22" i="10"/>
  <c r="K22" i="10"/>
  <c r="J22" i="10"/>
  <c r="M21" i="10"/>
  <c r="M20" i="10"/>
  <c r="M19" i="10"/>
  <c r="K19" i="10"/>
  <c r="K40" i="10" s="1"/>
  <c r="J19" i="10"/>
  <c r="M18" i="10"/>
  <c r="M17" i="10"/>
  <c r="J17" i="10"/>
  <c r="J40" i="10" s="1"/>
  <c r="M16" i="10"/>
  <c r="M15" i="10"/>
  <c r="M14" i="10"/>
  <c r="M13" i="10"/>
  <c r="M12" i="10"/>
  <c r="M11" i="10"/>
  <c r="M10" i="10"/>
  <c r="M9" i="10"/>
  <c r="M8" i="10"/>
  <c r="M7" i="10"/>
  <c r="G22" i="9" l="1"/>
  <c r="J22" i="9" s="1"/>
  <c r="J21" i="9"/>
  <c r="L12" i="9"/>
  <c r="K12" i="9"/>
  <c r="J12" i="9"/>
  <c r="M11" i="9"/>
  <c r="M10" i="9"/>
  <c r="M9" i="9"/>
  <c r="M8" i="9"/>
  <c r="M7" i="9"/>
  <c r="J20" i="9" l="1"/>
  <c r="J19" i="9"/>
  <c r="I68" i="8" l="1"/>
  <c r="J68" i="8" s="1"/>
  <c r="I67" i="8"/>
  <c r="J67" i="8" s="1"/>
  <c r="J66" i="8"/>
  <c r="J65" i="8"/>
  <c r="M58" i="8"/>
  <c r="M57" i="8"/>
  <c r="M56" i="8"/>
  <c r="M55" i="8"/>
  <c r="L55" i="8"/>
  <c r="K55" i="8"/>
  <c r="J55" i="8"/>
  <c r="M54" i="8"/>
  <c r="J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L17" i="8"/>
  <c r="K17" i="8"/>
  <c r="J17" i="8"/>
  <c r="M16" i="8"/>
  <c r="M15" i="8"/>
  <c r="M14" i="8"/>
  <c r="M13" i="8"/>
  <c r="M12" i="8"/>
  <c r="M11" i="8"/>
  <c r="M10" i="8"/>
  <c r="M9" i="8"/>
  <c r="L9" i="8"/>
  <c r="L59" i="8" s="1"/>
  <c r="K9" i="8"/>
  <c r="K59" i="8" s="1"/>
  <c r="J9" i="8"/>
  <c r="J59" i="8" s="1"/>
  <c r="M8" i="8"/>
  <c r="E38" i="6" l="1"/>
  <c r="H38" i="6" s="1"/>
  <c r="H37" i="6"/>
  <c r="H36" i="6"/>
  <c r="F36" i="6"/>
  <c r="H35" i="6"/>
  <c r="M30" i="6"/>
  <c r="L30" i="6"/>
  <c r="K30" i="6"/>
  <c r="N29" i="6"/>
  <c r="N28" i="6"/>
  <c r="N27" i="6"/>
  <c r="N26" i="6"/>
  <c r="N25" i="6"/>
  <c r="N24" i="6"/>
  <c r="N23" i="6"/>
  <c r="N22" i="6"/>
  <c r="N21" i="6"/>
  <c r="N20" i="6"/>
  <c r="N19" i="6"/>
  <c r="N18" i="6"/>
  <c r="N17" i="6"/>
  <c r="N16" i="6"/>
  <c r="N15" i="6"/>
  <c r="N14" i="6"/>
  <c r="N12" i="6"/>
  <c r="N11" i="6"/>
  <c r="N10" i="6"/>
  <c r="N9" i="6"/>
  <c r="N8" i="6"/>
  <c r="F38" i="6" l="1"/>
  <c r="F35" i="6"/>
  <c r="F37" i="6"/>
  <c r="E26" i="4" l="1"/>
  <c r="H26" i="4" s="1"/>
  <c r="H25" i="4"/>
  <c r="H24" i="4"/>
  <c r="F24" i="4"/>
  <c r="H23" i="4"/>
  <c r="M16" i="4"/>
  <c r="M15" i="4"/>
  <c r="M14" i="4"/>
  <c r="M13" i="4"/>
  <c r="K13" i="4"/>
  <c r="J13" i="4"/>
  <c r="M12" i="4"/>
  <c r="M11" i="4"/>
  <c r="M9" i="4"/>
  <c r="L9" i="4"/>
  <c r="L17" i="4" s="1"/>
  <c r="K9" i="4"/>
  <c r="K17" i="4" s="1"/>
  <c r="J9" i="4"/>
  <c r="J17" i="4" s="1"/>
  <c r="F26" i="4" l="1"/>
  <c r="F25" i="4"/>
  <c r="F23" i="4"/>
  <c r="E18" i="2" l="1"/>
  <c r="H18" i="2" s="1"/>
  <c r="H17" i="2"/>
  <c r="H16" i="2"/>
  <c r="H15" i="2"/>
  <c r="F16" i="2" l="1"/>
  <c r="F18" i="2"/>
  <c r="F15" i="2"/>
  <c r="F17" i="2"/>
</calcChain>
</file>

<file path=xl/sharedStrings.xml><?xml version="1.0" encoding="utf-8"?>
<sst xmlns="http://schemas.openxmlformats.org/spreadsheetml/2006/main" count="755" uniqueCount="455">
  <si>
    <t xml:space="preserve">ESTADO DE EJECUCIÓN METAS PRODUCTO PLAN DE DESARROLLO EN DEFENSA DEL BIEN COMÚN </t>
  </si>
  <si>
    <t xml:space="preserve">SECRETARIA PRIVADA </t>
  </si>
  <si>
    <t xml:space="preserve">SEPTIEMBRE 30 DE 2016 </t>
  </si>
  <si>
    <t xml:space="preserve">CONSECUTIVO </t>
  </si>
  <si>
    <t xml:space="preserve">No  DE META </t>
  </si>
  <si>
    <t xml:space="preserve">NOMBRE DE LA META </t>
  </si>
  <si>
    <t xml:space="preserve">LINEA BASE 2015 </t>
  </si>
  <si>
    <t xml:space="preserve"> META PROGRAMADA  </t>
  </si>
  <si>
    <t xml:space="preserve">META EJECUTADA </t>
  </si>
  <si>
    <t xml:space="preserve">CODIGO PROYECTO </t>
  </si>
  <si>
    <t xml:space="preserve">PROYECTO </t>
  </si>
  <si>
    <t>PRESUPUESTADO</t>
  </si>
  <si>
    <t>E (COMPROMISOS)</t>
  </si>
  <si>
    <t>E (OBLIGACIONES)</t>
  </si>
  <si>
    <t>SEMAFORO                                              ( COMPROMISO): Verde                                     (80%  - 100%), Amarillo                  (50%  - 79%) y Rojo ( 0-49%)</t>
  </si>
  <si>
    <t xml:space="preserve">Realizar 40 eventos  de sensibilización en transparencia , participación, buen gobierno y valores éticos y morales  </t>
  </si>
  <si>
    <t>ND</t>
  </si>
  <si>
    <t>201663000-0082</t>
  </si>
  <si>
    <t>Desarrollar y fortalecer la cultura de la transparencia, participación, buen gobierno  y valores éticos y morales en el Departamento del Quindio</t>
  </si>
  <si>
    <t>Implementar una (1) sala de transparencia "Urna de Cristal" en el Departamento</t>
  </si>
  <si>
    <t>201663000-0083</t>
  </si>
  <si>
    <t>Implementacion de una (1) sala de transparencia "Urna de Cristal" en el Departamento del Quindio</t>
  </si>
  <si>
    <t xml:space="preserve">METAS  DE PLAN DE DESARROLLO " EN DEFENSA DEL BIEN COMÚN" </t>
  </si>
  <si>
    <t xml:space="preserve">NÚMERO DE METAS  PRODUCTO </t>
  </si>
  <si>
    <t>%</t>
  </si>
  <si>
    <t xml:space="preserve">S. VERDE ( 80%-100%) </t>
  </si>
  <si>
    <t>S. AMARILLO (49%-79%)</t>
  </si>
  <si>
    <t>S. ROJO ( 0-49%)</t>
  </si>
  <si>
    <t xml:space="preserve">TOTAL </t>
  </si>
  <si>
    <t>SECRETARIA DE CULTURA</t>
  </si>
  <si>
    <t>Apoyar  treinta (30) proyectos y/o actividades de formación, difusión, circulación, creación e investigación, planeación y de espacios para el disfrute de las artes</t>
  </si>
  <si>
    <t>201663000-0043                   201663000-0044                        201663000-0045                       201663000-0046</t>
  </si>
  <si>
    <t>Fortalecimiento institucional para el sector cultural en todo el Departamento del Quindío.                 Fortalecimiento del Plan Departamental de Lectura y bibliotecas en todo el Departamento del Quindio                             Apoyo a seguridad social del creador y gestor cultural del Departamento del Quindio               Apoyo al arte y la cultura en todo el Departamento del Quindío</t>
  </si>
  <si>
    <t>Apoyar  ciento veinte (120) proyectos del programa de concertación cultural del departamento</t>
  </si>
  <si>
    <t xml:space="preserve">  201663000-0046</t>
  </si>
  <si>
    <t xml:space="preserve"> Apoyo al arte y la cultura en todo el Departamento del Quindío</t>
  </si>
  <si>
    <t xml:space="preserve"> </t>
  </si>
  <si>
    <t>Apoyar treinta y seis (36) proyectos mediante estímulos artísticos y culturales</t>
  </si>
  <si>
    <t>Fortalecer cinco (5) procesos de emprendimiento cultural y de desarrollo de industrias creativas</t>
  </si>
  <si>
    <t>201663000-0047</t>
  </si>
  <si>
    <t xml:space="preserve">Fortalecimiento y promoción del  emprendimiento cultural y las industrias creativas en el Departamento </t>
  </si>
  <si>
    <t>Apoyar  veinte (20) proyectos y/o actividades en investigación, capacitación y difusión de la lectura y escritura para fortalecer la Red Departamental de Bibliotecas</t>
  </si>
  <si>
    <t>201663000-0044                     201663000-0048</t>
  </si>
  <si>
    <t>Fortalecimiento del Plan Departamental de Lectura y bibliotecas en todo el Departamento del Quindio                         Fortalecimiento al  Plan Departamental  de lectura, escritura y bibliotecas en el Departamento del Quindio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</si>
  <si>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</si>
  <si>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</si>
  <si>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</si>
  <si>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</si>
  <si>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</si>
  <si>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</si>
  <si>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</si>
  <si>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TOTAL</t>
  </si>
  <si>
    <t>ESTADO DE EJECUCIÓN METAS PRODUCTO PLAN DE DESARROLLO "EN DEFENSA DEL BIEN COMÚN "</t>
  </si>
  <si>
    <t>SECRETARIA DE PLANEACIÓN</t>
  </si>
  <si>
    <t xml:space="preserve">CON CORTE AL 30 DE SEPTIEMBRE DE 2016 </t>
  </si>
  <si>
    <t xml:space="preserve">No </t>
  </si>
  <si>
    <t xml:space="preserve">No  DE META PRODUCTO </t>
  </si>
  <si>
    <t xml:space="preserve">META PRODUCTO </t>
  </si>
  <si>
    <t xml:space="preserve">META PROYECTADA </t>
  </si>
  <si>
    <t xml:space="preserve">PRESUPUESTO DEFINITIVO </t>
  </si>
  <si>
    <t xml:space="preserve">COMPROMISOS </t>
  </si>
  <si>
    <t xml:space="preserve">OBLIGACIONES </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</si>
  <si>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</si>
  <si>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</si>
  <si>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</si>
  <si>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</si>
  <si>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</si>
  <si>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</si>
  <si>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 xml:space="preserve">Fortalecer  técnica y logísticamente al  Consejo Territorial de Planeación  Departamental  </t>
  </si>
  <si>
    <t>201463000-0068</t>
  </si>
  <si>
    <t>201663000-0007</t>
  </si>
  <si>
    <t>Asistencia al Consejo Territorial de Planeación del Departamento del Quindío.</t>
  </si>
  <si>
    <t>Formular  e implementar el  Plan de Desarrollo Departamental</t>
  </si>
  <si>
    <t>201563000-0007</t>
  </si>
  <si>
    <t>201663000-0008</t>
  </si>
  <si>
    <t xml:space="preserve"> Formulación del Plan de Desarrollo Departamental 2016 - 2019</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</si>
  <si>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</si>
  <si>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</si>
  <si>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</si>
  <si>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</si>
  <si>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</si>
  <si>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</si>
  <si>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</si>
  <si>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</si>
  <si>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</si>
  <si>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</si>
  <si>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</si>
  <si>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</si>
  <si>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</si>
  <si>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</si>
  <si>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201463000-0065</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</si>
  <si>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</si>
  <si>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</si>
  <si>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</si>
  <si>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</si>
  <si>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</si>
  <si>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</si>
  <si>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</si>
  <si>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</si>
  <si>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</si>
  <si>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</si>
  <si>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</si>
  <si>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</si>
  <si>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</si>
  <si>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</si>
  <si>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</si>
  <si>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</si>
  <si>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 xml:space="preserve">SECRETARIA ADMINISTRATIVA </t>
  </si>
  <si>
    <t>Implementar un (1) plan, programa y/o proyecto para el acceso de niños, niñas y jóvenes en las instituciones educativas</t>
  </si>
  <si>
    <t>201663000-0084                   2016063000-0085</t>
  </si>
  <si>
    <t xml:space="preserve"> Fortalecimiento de las estrategias para el acceso,  permanencia y seguridad  de los niños, niñas y jóvenes en el  sistema  educativo del Departamento del Quindio.             Fortalecimiento de estrategias de permanencia en el sistema educativo formal mediante el mejoramiento de ambientes educativos escolares en el Departamento del Quindío</t>
  </si>
  <si>
    <t>Implementar el Programa de Alimentación Escolar (PAE) en el departamento del Quindío</t>
  </si>
  <si>
    <t>Implementar el programa de transporte escolar en el departamento del Quindío</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</si>
  <si>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</si>
  <si>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</si>
  <si>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</si>
  <si>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</si>
  <si>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Atender cuatrocientos noventa (490) personas de la población étnica (Afro descendientes e indígenas)  en el sistema educativo en los diferentes niveles.</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</si>
  <si>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</si>
  <si>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</si>
  <si>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</si>
  <si>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Sostener dos mil doscientos treinta y dos (2.232) docentes, directivos docentes y administrativos viabilizados por el ministerio de educación nacional vinculados a la secretaria de educación departamental</t>
  </si>
  <si>
    <t xml:space="preserve">  201663000-0087           201663000-0088</t>
  </si>
  <si>
    <t>Aplicación funcionamiento y prestación del servicio educativo de las instituciones educativas                Aplicación de estrategias de acceso al sistema educativo en todos los niveles en el Departamento del Quindío</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</si>
  <si>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</si>
  <si>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</si>
  <si>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</si>
  <si>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</si>
  <si>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Beneficiar a ochenta (80) docentes  con becas de posgrado</t>
  </si>
  <si>
    <t xml:space="preserve">Apoyar quince (15) instituciones educativas participando en el programa todo a aprender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</si>
  <si>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</si>
  <si>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</si>
  <si>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</si>
  <si>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</si>
  <si>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</si>
  <si>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</si>
  <si>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</si>
  <si>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</si>
  <si>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</si>
  <si>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</si>
  <si>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</si>
  <si>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Realizar eventos académicos, investigativos y culturales, liderados por la Secretaría de Educación Departamental para el fortalecimiento de la calidad educativa, la convivencia, la paz, la formación ciudadana y pensamiento ambiental</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</si>
  <si>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</si>
  <si>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</si>
  <si>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</si>
  <si>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Implementar la jornada complementaria y/o unica que articule arte,deporte y cultura, en seis (6) municipios declarados en el sistema de alertas tempranas de la defensoría del pueblo</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</si>
  <si>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</si>
  <si>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</si>
  <si>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</si>
  <si>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</si>
  <si>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Apoyar los  procesos de capacitación  de quinientos (500) docentes del departamento</t>
  </si>
  <si>
    <t xml:space="preserve">Realizar seis (6)  festivales o encuentros de literatura y escritura el departamento </t>
  </si>
  <si>
    <t>201663000-0092</t>
  </si>
  <si>
    <t>Desarrollo de estrategias de evaluación de actores educativos e instituciones educativas en el Departamento del Quindío.</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</si>
  <si>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</si>
  <si>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</si>
  <si>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</si>
  <si>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</si>
  <si>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</si>
  <si>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</si>
  <si>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</si>
  <si>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</si>
  <si>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</si>
  <si>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</si>
  <si>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Desarrollar doce (12) talleres para docentes en el uso de las TICs</t>
  </si>
  <si>
    <t>201663000-0095</t>
  </si>
  <si>
    <t xml:space="preserve">Fortalecimiento de los niveles de educación  básica y media para la articulación con la educación terciaria en el Departamento del Quindio </t>
  </si>
  <si>
    <t>Fortalecer cincuenta (50)   instituciones educativas en competencias básicas</t>
  </si>
  <si>
    <t>Fortalecer cuarenta y siete (47) instituciones educativas con el programa de articulación con la educación superior y ETDH</t>
  </si>
  <si>
    <t xml:space="preserve">Implementar un Programa de Alimentación Escolar Universitario PAEU para estudiantes universitarios </t>
  </si>
  <si>
    <t>Implementar el programa de acceso y permanencia de la educación técnica, tecnologica y superior en el departamento del Quindío</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</si>
  <si>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</si>
  <si>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</si>
  <si>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</si>
  <si>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</si>
  <si>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Implementar y/o mejorar el sistema de conectividad en 200 sedes educativas oficiales en el departamento.</t>
  </si>
  <si>
    <t>201663000-0097        2016063000-0173</t>
  </si>
  <si>
    <t>Fortalecimiento de las herramientas tecnológicas en las Instituciones Educativas del Departamento del Quindío .      Fortalecimiento de la innovación, formación y conectividad en las instituciones educativas en el Departamento del Quindío.</t>
  </si>
  <si>
    <t>Realizar el pago oportuno al 100% de los funcionarios de la planta de  administrativos, docentes y directivos docentes del sector central</t>
  </si>
  <si>
    <t>201663000-0098            201663000-0099</t>
  </si>
  <si>
    <t>Funcionamiento y Prestación de Servicios del Sector Educativo del nivel Central  en el Departamento del Quindio           Aplicación de estrategias de acceso al sistema educativo en todos los niveles en el Departamento del Quindío</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</si>
  <si>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</si>
  <si>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</si>
  <si>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</si>
  <si>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</si>
  <si>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Implementar  un (1)  programa de educación integral  a la primera infancia</t>
  </si>
  <si>
    <t>201663000-0101</t>
  </si>
  <si>
    <t xml:space="preserve">Implementación del modelo de atención integral de la educación inicial en el Departamento del  Quindio. </t>
  </si>
  <si>
    <t>Virtualizar ocho (8) trámites de la administración departamental a través de Gobierno en Línea</t>
  </si>
  <si>
    <t>201663000-0001</t>
  </si>
  <si>
    <t>Apoyo a la estrategia de Gobierno en linea en el Departamento del Quindio</t>
  </si>
  <si>
    <t>Formular e  implementar un (1) programa de seguridad y salud en el trabajo, capacitación y bienestar social en  el departamento</t>
  </si>
  <si>
    <t>0,23</t>
  </si>
  <si>
    <t>201663000-0002</t>
  </si>
  <si>
    <t>Formulación e implementación del programa de seguridad y salud en el trabajo, capacitación y bienestar social en el Departamento del Quindio</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</si>
  <si>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</si>
  <si>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</si>
  <si>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</si>
  <si>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</si>
  <si>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</si>
  <si>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</si>
  <si>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Implementar un (1) programa de modernización de la gestión documental en el departamento</t>
  </si>
  <si>
    <t>2016063000-0005</t>
  </si>
  <si>
    <t>Implementación de un programa  de  modernización de la gestión administrativa en el Departamento del Quindio</t>
  </si>
  <si>
    <t>SECRETARIA DEL INTERIOR</t>
  </si>
  <si>
    <t>Apoyar la implementación de seis (6) programas de resocialización  en establecimientos carcelarios  del Departamento (sustento legal 1709 de 2014)</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</si>
  <si>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</si>
  <si>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</si>
  <si>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</si>
  <si>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</si>
  <si>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</si>
  <si>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Dotar cinco (5) organismos de seguridad del departamento con elementos tecnológicos y logísticos que faciliten su operatividad y capacidad de respuesta</t>
  </si>
  <si>
    <t xml:space="preserve">5
</t>
  </si>
  <si>
    <t>Apoyar 3 observatorios locales del delito</t>
  </si>
  <si>
    <t>Apoyar la implementación de treinta y seis (36) programas de prevención del delito y mediación de conflictos en comunidades focalizadas del departamento</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</si>
  <si>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</si>
  <si>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</si>
  <si>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</si>
  <si>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</si>
  <si>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</si>
  <si>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 xml:space="preserve">Apoyar la articulación para la atención integral de las víctimas del conflicto por enfoque diferencial en  los 12 municipios del departamento
</t>
  </si>
  <si>
    <t>201663000-0030            201663000-0031</t>
  </si>
  <si>
    <t>Implementación del Plan de Acción Territorial para la prevención, protección, asistencia, atención, reparación integral en el Departamento del Quindio.               Inversiones de desarrollo del PARIV y atención a víctimas del conflicto armado todo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</si>
  <si>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</si>
  <si>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</si>
  <si>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</si>
  <si>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</si>
  <si>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Implementar el plan integral de prevención a las violaciones de  Derechos Humanos DDHH e infracciones  al Derecho Internacional Humanitario DIH</t>
  </si>
  <si>
    <t>201663000-0032           201663000-0033</t>
  </si>
  <si>
    <t>Implementación del Plan Integral de prevención de vulneraciones de los Derechos Humanos DDHH e infracciones  al Derecho Internacional Humanitario DIH en el departamento del Quindio                        Inversiones prevención y protección a víctimas todo el Departamento  del Quindío.</t>
  </si>
  <si>
    <t xml:space="preserve">Apoyar en los doce (12) municipios la articulación institucional para la prevención a las violaciones DDHH  e infracciones al DIH </t>
  </si>
  <si>
    <t>Actualizar e Implementar el plan lucha contra la trata de personas</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</si>
  <si>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</si>
  <si>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</si>
  <si>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</si>
  <si>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</si>
  <si>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201663000-0035</t>
  </si>
  <si>
    <t>Inversiones desarrollo del Plan Departamental de prevención y protección DDHH y DIH en el Departamento del Quindio</t>
  </si>
  <si>
    <t xml:space="preserve">Realizar catorce (14) estudios de riesgo y análisis de vulnerabilidad en  los municipios del departamento </t>
  </si>
  <si>
    <t>201663000-0036   201663000-0037</t>
  </si>
  <si>
    <t xml:space="preserve">Administración del  riesgo mediante el conocimiento, la reducción y el manejo del desastre  en el Departamento del Quindio.Inversiones conocimiento, reducción del riesgo y manejo de desastres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</si>
  <si>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</si>
  <si>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</si>
  <si>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</si>
  <si>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</si>
  <si>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</si>
  <si>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</si>
  <si>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</si>
  <si>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</si>
  <si>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Implementar un (1) programa de fortalecimiento de las veedurías ciudadanas del departamento</t>
  </si>
  <si>
    <t>201663000-0042</t>
  </si>
  <si>
    <t xml:space="preserve">Fortalecimiento de las veedurias ciudadanas en el Departamento del Quindio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</si>
  <si>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</si>
  <si>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</si>
  <si>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</si>
  <si>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</si>
  <si>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Formular e implemntar la política pública departamental de libertad religiosa en desarrollo del artículo 244 de la ley 1753 "Por medio de la cual se expide el Plan Nacional de Desarrollo 2014-2018 TODOS POR UN NUEVO PAÍS"</t>
  </si>
  <si>
    <t xml:space="preserve">fortalecer  organismos comunales en los  12 municipios del departamento en el mejoramiento organizacional y participativo </t>
  </si>
  <si>
    <t>201663000-0040  201663000-0041</t>
  </si>
  <si>
    <t>Desarrollo de los Organismos Comunales en el Departamento del Quindio.Inversiones fortalecimiento de los organismos comunales del Departamento del Quindío.</t>
  </si>
  <si>
    <t xml:space="preserve">EJECUCIÓN PRESUPUESTAL PROYECTOS DE INVERSIÓN POR FUENTES DE FINANCIACIÓN  SECRETARIA DE AGUAS E INFRAESTRUTURA                                                       A SEPTIEMBRE 30 DE 2016 </t>
  </si>
  <si>
    <t xml:space="preserve">CODIGO DEL RECURSO </t>
  </si>
  <si>
    <t xml:space="preserve">NOMBRE DEL RECURSO </t>
  </si>
  <si>
    <t>RUBRO</t>
  </si>
  <si>
    <t>APROPIACIÓN DEFINITIVA</t>
  </si>
  <si>
    <t xml:space="preserve">CERTIFICADO DE DISPONIBILIDAD </t>
  </si>
  <si>
    <t>COMPROMISOS</t>
  </si>
  <si>
    <t xml:space="preserve">PAGOS </t>
  </si>
  <si>
    <t>SALDO DISPONIBLE</t>
  </si>
  <si>
    <t>SEMAFORO                  ( COMPORMISOS ) : Verde  (80%  - 100%), Amarillo  (50%  - 79%)                y Rojo ( 0-49%)</t>
  </si>
  <si>
    <t>ESTAMPILLA PRODESARROLLO</t>
  </si>
  <si>
    <t>0308 - 5 - 1 17 92 109 75 - 04</t>
  </si>
  <si>
    <t xml:space="preserve">Construcción y/o mejoramiento de la Infraestructura Educativa, de todo el Departamento del Quindío. </t>
  </si>
  <si>
    <t>0308 - 5 - 3 1 2 4 15 15 21 - 04</t>
  </si>
  <si>
    <t>Construir, mantener, mejorar y/o rehabilitar la infraestructura social del Departamento del Quindio.</t>
  </si>
  <si>
    <t>RECURSO ORDINARIO</t>
  </si>
  <si>
    <t>0308 - 5 - 3 1 2 4 15 15 21 - 20</t>
  </si>
  <si>
    <t>0308 - 5 - 3 1 2 4 14 9 19 - 20</t>
  </si>
  <si>
    <t>Mantener, mejorar, rehabilitar y/o atender emergencias en las  vías, en cumplimiento del Plan Vial del Departamento del Quindío.</t>
  </si>
  <si>
    <t>SOBRETASA AL ACPM</t>
  </si>
  <si>
    <t>0308 - 5 - 3 1 2 4 14 9 19 - 23</t>
  </si>
  <si>
    <t>0308 - 5 - 1 17 87 101 69 - 23</t>
  </si>
  <si>
    <t>Aplicación del Plan Vial Departamental en el Departamento del Quindío.</t>
  </si>
  <si>
    <t xml:space="preserve">SISTEMA GENERAL DE PARTICIPACIONES AGUA POTABLE Y </t>
  </si>
  <si>
    <t>0308 - 5 - 3 1 1 1 2 3 27 - 27</t>
  </si>
  <si>
    <t>Formulación y ejecución de proyectos para la gestión del riesgo del sector de agua potable y saneamiento básico en el Departamento del Quindio.</t>
  </si>
  <si>
    <t>0308 - 5 - 1 17 88 102 70 - 27</t>
  </si>
  <si>
    <t xml:space="preserve">Implementación de acciones para el desarrollo del Plan Departamental de Aguas del Departamento del Quindío. </t>
  </si>
  <si>
    <t>0308 - 5 - 3 1 1 1 2 3 26 - 27</t>
  </si>
  <si>
    <t>Ejecución del plan de aseguramiento de la prestación de los servicios públicos de agua potable y saneamiento básico urbano y rural en el Departamento del Quindio.</t>
  </si>
  <si>
    <t>0308 - 5 - 3 1 1 1 2 3 23 - 27</t>
  </si>
  <si>
    <t>Construción y mejoramiento de la infraestructura de agua potable y saneamiento básico del Departamento del Quindio.</t>
  </si>
  <si>
    <t>0308 - 5 - 1 17 88 103 71 - 27</t>
  </si>
  <si>
    <t xml:space="preserve">Construcción y mejoramiento de la infraestructura de agua potable del Departamento del Quindío. </t>
  </si>
  <si>
    <t>0308 - 5 - 3 1 1 1 2 3 25 - 27</t>
  </si>
  <si>
    <t>Actualización e implementación del  Plan Ambiental para el sector de agua potable y saneamiento básico en el Departamento del Quindio.</t>
  </si>
  <si>
    <t>0308 - 5 - 3 1 1 1 2 3 24 - 27</t>
  </si>
  <si>
    <t>Ejecución del plan de acompañamiento social a los proyectos y obras de infraestructura de agua potable y saneamiento básico en el Departamento del Quindio.</t>
  </si>
  <si>
    <t>0308 - 5 - 1 17 88 104 72 - 27</t>
  </si>
  <si>
    <t xml:space="preserve">Construcción y mejoramiento de la Infraestructura Sanitaria del departamento del Quindío. </t>
  </si>
  <si>
    <t>0308 - 5 - 1 17 88 105 73 - 27</t>
  </si>
  <si>
    <t>Construcción y mejoramiento de los Sistemas de Acueducto en el Departamento del Quindío.</t>
  </si>
  <si>
    <t>COFINANCIACION INTERADMINISTRATIVA SSF</t>
  </si>
  <si>
    <t>0308 - 5 - 1 17 92 109 75 - 55</t>
  </si>
  <si>
    <t>SUPERAVIT RECURSO ORDINARIO</t>
  </si>
  <si>
    <t>0308 - 5 - 1 17 87 101 69 - 88</t>
  </si>
  <si>
    <t>0308 - 5 - 3 1 2 4 14 9 19 - 88</t>
  </si>
  <si>
    <t>SUPERAVIT SOBRETASA ACPM</t>
  </si>
  <si>
    <t>0308 - 5 - 3 1 2 4 14 9 19 - 89</t>
  </si>
  <si>
    <t>0308 - 5 - 1 17 87 101 69 - 89</t>
  </si>
  <si>
    <t>SUPERAVIT SGP AGUA POTABLE</t>
  </si>
  <si>
    <t>0308 - 5 - 1 17 92 113 81 - 90</t>
  </si>
  <si>
    <t xml:space="preserve">Mejoramiento y/o optimización de las redes de acueducto y/o alcantarillado de todo el Departamento, Quindío. </t>
  </si>
  <si>
    <t>0308 - 5 - 3 1 1 1 2 3 22 - 90</t>
  </si>
  <si>
    <t>Apoyo en atenciones prioritarias en Agua Potable y/o Saneamiento Básico en el Departamento del Quindio.</t>
  </si>
  <si>
    <t xml:space="preserve">PORCENTAJE </t>
  </si>
  <si>
    <t>SECRETARIA DE HACIENDA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</si>
  <si>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</si>
  <si>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</si>
  <si>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</si>
  <si>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</si>
  <si>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</si>
  <si>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</si>
  <si>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</si>
  <si>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</si>
  <si>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</si>
  <si>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SECRETARIA DE TURÍSMO, INDUSTRIA Y COMERCIO </t>
  </si>
  <si>
    <t xml:space="preserve">Crear (1) y fortalecer (3) rutas competitivas </t>
  </si>
  <si>
    <t>201663000-0051</t>
  </si>
  <si>
    <t>Apoyo al mejoramiento de la competitividad a iniciativas  productivas en el  Departamento del Quindío</t>
  </si>
  <si>
    <t>Conformar e implementar (3) tres clúster priorizados en el Plan de Competitividad</t>
  </si>
  <si>
    <t xml:space="preserve">Diseño, formulación y puesta en marcha del Centro  para el desarrollo y el  fortalecimiento de la investigación, tecnología,  Ciencia e Innovación .    </t>
  </si>
  <si>
    <t>0.05</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</si>
  <si>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</si>
  <si>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</si>
  <si>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</si>
  <si>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</si>
  <si>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Apoyar a doce (12) unidades de emprendimiento para jóvenes emprendedores.</t>
  </si>
  <si>
    <t>201663000-0053</t>
  </si>
  <si>
    <t xml:space="preserve"> Apoyo al emprendimiento, empresarismo, asociatividad y generación de empleo en el departamento del Quindío.</t>
  </si>
  <si>
    <t xml:space="preserve">Diseñar un ecosistema Regional de Emprendimiento y Asociatividad                                                                                     </t>
  </si>
  <si>
    <t>Apoyar   doce (12) Unidades de emprendimiento de grupos poblacionales con enfoque diferencial.</t>
  </si>
  <si>
    <t>Implementar un programa de gesiton financiera para el desarrollo de emprendimiento, empresarismo y asociatividad</t>
  </si>
  <si>
    <t>Fortalecer  doce (12) empresas en procesos internos y externos para la apertura a mercados regionales, nacionales e internacionales</t>
  </si>
  <si>
    <t>201663000-0054  201663000-0055 201663000-0056</t>
  </si>
  <si>
    <t xml:space="preserve">Fortalecimiento de las empresas y gremios del Departamento del Quindío.                                       Implementación de estrategias de exportaciones para el Departamento del Quindío.                                          Fortalecimiento del sector empresarial  hacia mercados globales en el Departamento del Quindio .   </t>
  </si>
  <si>
    <t>Constituir e implementar una agencia de inversión empresarial</t>
  </si>
  <si>
    <t xml:space="preserve">Diseñar la  plataforma de servicios logísticos nacionales e internacionales tendiente a lograr del departamento un centro de articulación de occidente. </t>
  </si>
  <si>
    <t>Diseñar, crear y/o fortalecer 15 Productos turísticos para ser ofertados</t>
  </si>
  <si>
    <t>201663000-0057            201663000-0058                         201663000-0059</t>
  </si>
  <si>
    <t>Consolidación de productos turísticos en todo el Departamento, Quindío, Occidente.                                                         Apoyo a actividades en las diferentes modalidades del turísmo en todo el Departamento, Quindío, Occidente.             Fortalecimiento de la oferta de prestadores de servicos, productos y atractivos turísticos en el Departamento del Quindío.</t>
  </si>
  <si>
    <t>Gestionar y ejecutar (3) proyectos para mejorar la competitividad del Quindío como destino turístico</t>
  </si>
  <si>
    <t>201663000-0060             201663000-0061</t>
  </si>
  <si>
    <t>Apoyo a la competitividad  como destino turístico en el Departamento del Quindío.                 Fortalecimiento del encadenamiento empresarial turístico todo el Departamento, Quindío, Occidente</t>
  </si>
  <si>
    <t>Construcción del Plan de Mercadeo Turístico</t>
  </si>
  <si>
    <t>201663000-0062             201663000-0063</t>
  </si>
  <si>
    <t>Apoyo a la promoción nacional e internacional como destino  turísmo del Departamento del Quindío.       Fortalecimiento de la promoción del destino a nivel nacional e internacional en todo El Departamento, Quindío, Occidente.</t>
  </si>
  <si>
    <t xml:space="preserve">SECRETARIA FAMILIA </t>
  </si>
  <si>
    <t>Implementar  un modelo intersectorial  de atención  integral  y entornos protectores (hogar,  educativo, salud, espacio público e institucionales)   implementado.</t>
  </si>
  <si>
    <t>201663000-0102</t>
  </si>
  <si>
    <t>Implementación de un modelo de atención integral a niños y niñas en entornos protectores en el Departamento del Quindìo</t>
  </si>
  <si>
    <t>Apoyar la creación y/o implementación de Rutas integrales de Atención a la primera infancia.</t>
  </si>
  <si>
    <t xml:space="preserve">Formular  e implementar  la política pública departamental de familias para la construcción  del Quindío como  territorio de paz. </t>
  </si>
  <si>
    <t>201663000-0103      201663000-0104</t>
  </si>
  <si>
    <t>Formulación e implementación de  la politica pública  de la familia en el departamento del Quindio                             Apoyo y fortalecimiento con los programas del centro de atención integral a las familias del Departamento del Quindío.                   Implementación de la  política de primera infancia, infancia y adolescencia en el Departamento del Quindio</t>
  </si>
  <si>
    <t>Implementar la política pública de primera infancia, infancia y adolescencia</t>
  </si>
  <si>
    <t xml:space="preserve"> 201663000-0105            201663000-0106           201663000-0109</t>
  </si>
  <si>
    <t>Divulgación de la política pública de infancia adolescencia en el Quindío.              Asistencia y participación de niños, niñas y adolescentes en los  Consejos de Política Social en todo el Departamento del Quindío.</t>
  </si>
  <si>
    <t xml:space="preserve">Implementar una  estrategia  de prevención y atención de la erradicación del abuso, explotación sexual comercial, trabajo infantil y peores formas de trabajo, y actividades delictivas. </t>
  </si>
  <si>
    <t>201663000-0107          201663000-0108          201663000-0109</t>
  </si>
  <si>
    <t>Apoyo en la Prevención, disminución del maltrato y abuso sexual en niños, niñas y adolescentes en el Departamento del Quindío.                                Apoyo a la disminución de niños, niñas y adolescentes entre 0 y 17 años explotados laboral y sexualmente en el Departamento del Quindío.           Implementación de la  política de primera infancia, infancia y adolescencia en el Departamento del Quindio</t>
  </si>
  <si>
    <t>Implementar  una estrategia de prevención y atención de embarazos y segundos embarazos a temprana edad.</t>
  </si>
  <si>
    <t>201663000-0109</t>
  </si>
  <si>
    <t>Implementación de la  política de primera infancia, infancia y adolescencia en el Departamento del Quindio</t>
  </si>
  <si>
    <t>Revisar, ajustar e implementar la política pública de juventud del departamento</t>
  </si>
  <si>
    <t>201663000-0110                       201663000-0111                 201663000-0112</t>
  </si>
  <si>
    <t>Desarrollo de acciones encaminadas a la atención integral  de los adolescentes y jóvenes del Departamento del Quindio                 Diseño e implementación de programas para la prevención y reducción del consumo de sustancias psicoactivas  en el Departamento del Quindío.                            Apoyo a la promoción de espacios y estilos de vida saludables para jóvenes en el Departamento del Quindío.</t>
  </si>
  <si>
    <t>Desarrollar e implementar una estrategia de prevención del consumo de sustancias psico activas  (SPA)  dirigida a adolescentes y jóvenes del departamento.</t>
  </si>
  <si>
    <t>Implementar  dos (2) estrategias de prevención para adolescentes y jóvenes en riesgo social y/o vinculados a la Ley de responsabilidad  penal</t>
  </si>
  <si>
    <t>201663000-0113</t>
  </si>
  <si>
    <t>Implementación de estrategias de promoción y participación de la juventud en el Departamento del Quindío.</t>
  </si>
  <si>
    <t>Revisar, ajustar  e implementar   la política pública departamental de discapacidad  "Capacidad sin limites",</t>
  </si>
  <si>
    <t>201663000-0114                 201663000-0115                   201663000-0116</t>
  </si>
  <si>
    <t>Actualización e implementación  de   la política pública departamental de discapacidad  "Capacidad sin limites" en el Quindio.                     Asistencia y apoyo a la población con discapacidad en el Departamento del Quindío.                   Implementación de un programa de rehabilitación basado en comunidad, en el Departamento del Quindío.</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</si>
  <si>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</si>
  <si>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</si>
  <si>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</si>
  <si>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</si>
  <si>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                201663000-0119                  201663000-0120</t>
  </si>
  <si>
    <t>Implementación del programa  para la atención y acompañamiento  del ciudadano migrante  y de repatración en el Departamento del Quindio.                          Implementación del plan de acompañamiento al Ciudadano Migrante, (el que sale y el que retorna) del Departamento del Quindío.                     Implementación del plan de acompañamiento para el empleo en el exterior, en escenarios corresponsables de cooperación en el Departamento del Quindío.</t>
  </si>
  <si>
    <t>Apoyar el plan de vida para el resguardo indígena Dachi Agore Drua del municipio de Calarcá</t>
  </si>
  <si>
    <t>201663000-0121            201663000-0122</t>
  </si>
  <si>
    <t xml:space="preserve">Fortalecimiento resguardo  indígena DACHI AGORE DRUA del municipio de Calarcá del Departamento del Quindío.          Apoyo  a la elaboración y puesta marcha de Planes de Vida  de los cabildos indigenas en el departamento del Quindio  </t>
  </si>
  <si>
    <t xml:space="preserve">Implementar  un programa  articulado interinstitucional para la atención integral con enfoque diferencial  a la población afro descendiente del Departamento del Quindío en sus diferentes formas organizativas </t>
  </si>
  <si>
    <t>201663000-0123      201663000-0124</t>
  </si>
  <si>
    <t xml:space="preserve">Apoyo y formación en procesos productivos, culturales que tienen como propósito el rescate de la tradición y la cultura en el Departamento del Quindío.            Implementación de un  programa de atención integral a la población  afrodescendiente en el Departamento del Quindio </t>
  </si>
  <si>
    <t>Formular  la política pública departamental de diversidad sexual e identidad de género</t>
  </si>
  <si>
    <t>201663000-0125</t>
  </si>
  <si>
    <t>Fomulación e implementación de la politca pública  de diversidad sexual en el Departamento del Quindio</t>
  </si>
  <si>
    <t>Revisar, ajustar  e  implementar  la política publica de equidad de género para la  mujer del departamento</t>
  </si>
  <si>
    <t>201663000-0126            201663000-0127            201663000-0128</t>
  </si>
  <si>
    <t>Apoyo a programas que generen oportunidades a las mujeres rurales de todo el Departamento del Quindío.   Prevención y atención integral a las mujeres víctimas de la violencia en todo el Departamento del Quindío.           Implementación de la polìtica pùblica de equidad de género para la mujer en el Departamento del Quindìo</t>
  </si>
  <si>
    <t>Revisar, ajustar  e implementar  la política pública departamental "Un Quindío para todas las edades 2010-2020"</t>
  </si>
  <si>
    <t>201663000-0129</t>
  </si>
  <si>
    <t xml:space="preserve">Apoyo y bienestar integral a las personas mayores del Departamento del Quindio </t>
  </si>
  <si>
    <t xml:space="preserve">Apoyar 12 centros de bienestar del departamento </t>
  </si>
  <si>
    <t xml:space="preserve">Apoyar 14 centros vida del departamento </t>
  </si>
  <si>
    <t xml:space="preserve">SECRETARIA AGRICULTURA, DESARROLLO RURAL Y MEDIO AMBIENTE </t>
  </si>
  <si>
    <t xml:space="preserve">Implementar un (1)  Sistema de Gestión Ambiental Departamental SIGAD </t>
  </si>
  <si>
    <t>201663000-0064                201663000-0065          201663000-0066</t>
  </si>
  <si>
    <t>Generación de entornos favorables y sostenibilidad ambiental para el Departamento del Quindío              Diseño de buenas practicas ambientales en el Departamento del Quindio                  Apoyo a acuerdos de producción limpia y sostenible, en el sector productivo del Departamento del Quindío</t>
  </si>
  <si>
    <t xml:space="preserve">Apoyar cuatro (4) planes de manejo de áreas protegidas del departamento </t>
  </si>
  <si>
    <t xml:space="preserve">Apoyar el Plan Departamental  para la Gestión Integral de la Biodiversidad y sus Servicios Ecosistémicos PDGIB 2013-2024  </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</si>
  <si>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</si>
  <si>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</si>
  <si>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</si>
  <si>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201663000-0067</t>
  </si>
  <si>
    <t>Gestón integral de cuencas hirdográficas en el Departamento del Quindío</t>
  </si>
  <si>
    <t xml:space="preserve">Crear e implementar el Fondo del Agua del departamento del Quindío  </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</si>
  <si>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</si>
  <si>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</si>
  <si>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</si>
  <si>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</si>
  <si>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             201663000-0070                  201663000-0071</t>
  </si>
  <si>
    <t>Fortalecimiento  y potencialización de los servicios ecosistemicos en el Departamento del Quindío    Apoyo al manejo y gestión sustentable del paisaje  Departamento del Quindío.                              Fortalecimiento a la sostenibilidad productiva y ambiental del paisaje cultural cafetero en el Departamento del Quindío.</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</si>
  <si>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</si>
  <si>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</si>
  <si>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Capacitar a cuatrocientos (400) caficultores del departamento en producción limpia y sostenible con producción de café con taza limpia, catación, tostión y barismo</t>
  </si>
  <si>
    <t>201663000-0072       201663000-0073</t>
  </si>
  <si>
    <t>Fortalecimiento e innovación empresarial  de la caficultura en el Departamento del Quindio                          Mejoramiento de la competitividad de la actividad cafetera, en el Departamento del Quindío.</t>
  </si>
  <si>
    <t>Apoyar la formalización de empresas en cuatro (4)  sectores productivos agropecuarios del Departamento</t>
  </si>
  <si>
    <t>201663000-0074             201663000-0075</t>
  </si>
  <si>
    <t xml:space="preserve">Fortalecimiento de la  Planeación Territorial  del desarrollo  rural  en el Departamento del Quindío.                 Fomento al emprendimiento y  al empleo rural en el Departamento del Quindío  </t>
  </si>
  <si>
    <t>Generar un apalancamiento a 100  iniciativas productivas rurales</t>
  </si>
  <si>
    <t xml:space="preserve">   201663000-0075</t>
  </si>
  <si>
    <t xml:space="preserve">Fomento al emprendimiento y  al empleo rural en el Departamento del Quindío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</si>
  <si>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</si>
  <si>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</si>
  <si>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Apoyar (5) cinco sectores productivos del Departamento en ruedas de negocio</t>
  </si>
  <si>
    <t>201663000-0076             201663000-0077              201663000-0078</t>
  </si>
  <si>
    <t>Mejoramiento de la competitividad rural Departamento del Quindío.              Mejoramiento de la producción agropecuaria sostenible, en el Departamento del Quindío.                  Fortalecimiento a la competitividad productiva y empresarial del sector rural en el Departamento del Quindio</t>
  </si>
  <si>
    <t>Realizar (3) tres eventos  de capacitación para acceder a mercados internacionales</t>
  </si>
  <si>
    <t>201663000-0078</t>
  </si>
  <si>
    <t>Fortalecimiento a la competitividad productiva y empresarial del sector rural en el Departamento del Quindio</t>
  </si>
  <si>
    <t>Diseñar e implementar un (1) programa de agricultura familiar campesina</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</si>
  <si>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</si>
  <si>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</si>
  <si>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</si>
  <si>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Beneficiar a 2400 familias urbanas y periurbanas con parcelas de agricultura familiar para autoconsumo y comercio de excedentes</t>
  </si>
  <si>
    <t>201663000-0080</t>
  </si>
  <si>
    <t>Fortalecimiento a programas de seguridad alimentaria en el Departamento del Quindío.</t>
  </si>
  <si>
    <t xml:space="preserve">SECRETARIA REPRESENTACION JUDICIAL </t>
  </si>
  <si>
    <t>Establecer y socializar veinte (20)  políticas desde la cultura de la legalidad y  la prevención de daño antijurídico en los municipios del departamento</t>
  </si>
  <si>
    <t>201663000-0130             201663000-0131</t>
  </si>
  <si>
    <t>Fortalecimiento de la Gestión Jurídica en el Departamento del Quindío.              Formulación adopción e implementación de políticas de prevención del daño antijurídico en el Departamento del Quindío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</si>
</sst>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_(* #,##0_);_(* \(#,##0\);_(* &quot;-&quot;??_);_(@_)"/>
    <numFmt numFmtId="166" formatCode="0.0"/>
    <numFmt numFmtId="167" formatCode="_(* #,##0.0000_);_(* \(#,##0.0000\);_(*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4"/>
      <color theme="1"/>
      <name val="Arial"/>
      <family val="2"/>
    </font>
    <font>
      <b/>
      <sz val="14"/>
      <color rgb="FFFF0000"/>
      <name val="Calibri"/>
      <family val="2"/>
      <scheme val="minor"/>
    </font>
    <font>
      <sz val="11"/>
      <color theme="1"/>
      <name val="Arial"/>
      <family val="2"/>
    </font>
    <font>
      <sz val="11"/>
      <color rgb="FFFF0000"/>
      <name val="Arial"/>
      <family val="2"/>
    </font>
    <font>
      <b/>
      <sz val="11"/>
      <color rgb="FFFF0000"/>
      <name val="Calibri"/>
      <family val="2"/>
      <scheme val="minor"/>
    </font>
    <font>
      <b/>
      <sz val="11"/>
      <color rgb="FFFF0000"/>
      <name val="Arial"/>
      <family val="2"/>
    </font>
    <font>
      <sz val="14"/>
      <color theme="1"/>
      <name val="Arial"/>
      <family val="2"/>
    </font>
    <font>
      <sz val="14"/>
      <color rgb="FFFF0000"/>
      <name val="Arial"/>
      <family val="2"/>
    </font>
    <font>
      <sz val="11"/>
      <color indexed="8"/>
      <name val="Calibri"/>
      <family val="2"/>
    </font>
    <font>
      <sz val="11"/>
      <name val="Calibri"/>
      <family val="2"/>
      <scheme val="minor"/>
    </font>
    <font>
      <sz val="11"/>
      <name val="Arial"/>
      <family val="2"/>
    </font>
    <font>
      <sz val="11"/>
      <color theme="1"/>
      <name val="Calibri"/>
      <family val="2"/>
    </font>
    <font>
      <sz val="10"/>
      <color theme="1"/>
      <name val="Arial"/>
      <family val="2"/>
    </font>
    <font>
      <sz val="10"/>
      <color rgb="FFFF0000"/>
      <name val="Arial"/>
      <family val="2"/>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style="thin">
        <color auto="1"/>
      </right>
      <top style="thin">
        <color auto="1"/>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262">
    <xf numFmtId="0" fontId="0" fillId="0" borderId="0" xfId="0"/>
    <xf numFmtId="0" fontId="4" fillId="0" borderId="0" xfId="0" applyFont="1" applyAlignment="1">
      <alignment horizontal="center"/>
    </xf>
    <xf numFmtId="0" fontId="4" fillId="0" borderId="0" xfId="0" applyFont="1"/>
    <xf numFmtId="0" fontId="5" fillId="0" borderId="0" xfId="0" applyFont="1"/>
    <xf numFmtId="0" fontId="0" fillId="0" borderId="0" xfId="0" applyAlignment="1">
      <alignment horizontal="center"/>
    </xf>
    <xf numFmtId="0" fontId="7"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justify"/>
    </xf>
    <xf numFmtId="0" fontId="0" fillId="0" borderId="1" xfId="0" applyBorder="1" applyAlignment="1">
      <alignment horizontal="center" vertical="center"/>
    </xf>
    <xf numFmtId="0" fontId="7" fillId="0" borderId="1"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7" fillId="0" borderId="1" xfId="0" applyNumberFormat="1" applyFont="1" applyBorder="1" applyAlignment="1">
      <alignment horizontal="center" vertical="center"/>
    </xf>
    <xf numFmtId="0" fontId="7"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64" fontId="7" fillId="0" borderId="2" xfId="3" applyFont="1" applyBorder="1" applyAlignment="1">
      <alignment horizontal="justify" vertical="center"/>
    </xf>
    <xf numFmtId="164" fontId="8" fillId="0" borderId="2" xfId="3" applyFont="1" applyBorder="1" applyAlignment="1">
      <alignment horizontal="justify" vertical="center"/>
    </xf>
    <xf numFmtId="164" fontId="8" fillId="0" borderId="1" xfId="3" applyFont="1" applyBorder="1" applyAlignment="1">
      <alignment horizontal="justify" vertical="center"/>
    </xf>
    <xf numFmtId="0" fontId="0" fillId="3" borderId="1" xfId="0" applyFill="1" applyBorder="1" applyAlignment="1">
      <alignment horizontal="center" vertical="center"/>
    </xf>
    <xf numFmtId="0" fontId="9" fillId="0" borderId="1" xfId="0" applyFont="1" applyBorder="1" applyAlignment="1">
      <alignment horizontal="center" vertical="justify"/>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0" fillId="0" borderId="1" xfId="0" applyBorder="1"/>
    <xf numFmtId="0" fontId="7" fillId="0" borderId="1" xfId="0" applyFont="1" applyBorder="1" applyAlignment="1">
      <alignment horizontal="center"/>
    </xf>
    <xf numFmtId="0" fontId="0" fillId="0" borderId="1" xfId="0" applyFont="1" applyBorder="1"/>
    <xf numFmtId="0" fontId="0" fillId="0" borderId="1" xfId="0" applyFont="1" applyBorder="1" applyAlignment="1">
      <alignment horizontal="center" vertical="center"/>
    </xf>
    <xf numFmtId="0" fontId="9" fillId="0" borderId="1" xfId="0" applyFont="1" applyBorder="1"/>
    <xf numFmtId="0" fontId="2" fillId="0" borderId="1" xfId="0" applyFont="1" applyBorder="1" applyAlignment="1">
      <alignment horizontal="center" vertical="center"/>
    </xf>
    <xf numFmtId="0" fontId="7" fillId="0" borderId="1" xfId="0" applyFont="1" applyBorder="1" applyAlignment="1">
      <alignment horizontal="justify"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7" fillId="0" borderId="1" xfId="3" applyFont="1" applyFill="1" applyBorder="1" applyAlignment="1">
      <alignment horizontal="justify" vertical="center"/>
    </xf>
    <xf numFmtId="164" fontId="8" fillId="0" borderId="1" xfId="3" applyFont="1" applyFill="1" applyBorder="1" applyAlignment="1">
      <alignment horizontal="justify" vertical="center"/>
    </xf>
    <xf numFmtId="2" fontId="0" fillId="3" borderId="1" xfId="0" applyNumberForma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64" fontId="0" fillId="0" borderId="0" xfId="0" applyNumberFormat="1"/>
    <xf numFmtId="0" fontId="8" fillId="0" borderId="2" xfId="0" applyFont="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7" fillId="4" borderId="1" xfId="0" applyFont="1" applyFill="1" applyBorder="1" applyAlignment="1">
      <alignment horizontal="center" vertical="center"/>
    </xf>
    <xf numFmtId="0" fontId="8" fillId="4" borderId="1" xfId="0" applyFont="1" applyFill="1" applyBorder="1" applyAlignment="1">
      <alignment horizontal="center" vertical="center"/>
    </xf>
    <xf numFmtId="164" fontId="11" fillId="0" borderId="1" xfId="3" applyFont="1" applyBorder="1" applyAlignment="1">
      <alignment horizontal="justify" vertical="center"/>
    </xf>
    <xf numFmtId="164" fontId="12" fillId="0" borderId="1" xfId="3" applyFont="1" applyBorder="1" applyAlignment="1">
      <alignment horizontal="justify" vertical="center"/>
    </xf>
    <xf numFmtId="0" fontId="8" fillId="0" borderId="1" xfId="0" applyFont="1" applyFill="1" applyBorder="1" applyAlignment="1">
      <alignment horizontal="center" vertical="center"/>
    </xf>
    <xf numFmtId="164" fontId="11" fillId="0" borderId="2" xfId="3" applyFont="1" applyBorder="1" applyAlignment="1">
      <alignment horizontal="justify" vertical="center"/>
    </xf>
    <xf numFmtId="164" fontId="12" fillId="0" borderId="2" xfId="3" applyFont="1" applyBorder="1" applyAlignment="1">
      <alignment horizontal="justify" vertical="center"/>
    </xf>
    <xf numFmtId="164" fontId="12" fillId="0" borderId="1" xfId="3" applyFont="1" applyFill="1" applyBorder="1" applyAlignment="1">
      <alignment horizontal="justify" vertical="center"/>
    </xf>
    <xf numFmtId="0" fontId="3" fillId="0" borderId="1" xfId="0" applyFont="1" applyBorder="1" applyAlignment="1">
      <alignment horizontal="center" vertical="center"/>
    </xf>
    <xf numFmtId="0" fontId="3" fillId="0" borderId="1" xfId="0" applyFont="1" applyBorder="1" applyAlignment="1">
      <alignment vertical="center"/>
    </xf>
    <xf numFmtId="164" fontId="9" fillId="0" borderId="1" xfId="0" applyNumberFormat="1" applyFont="1" applyBorder="1" applyAlignment="1">
      <alignment vertical="center"/>
    </xf>
    <xf numFmtId="0" fontId="0" fillId="0" borderId="0" xfId="0"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vertical="center"/>
    </xf>
    <xf numFmtId="3" fontId="3" fillId="0" borderId="4" xfId="0" applyNumberFormat="1" applyFont="1" applyBorder="1" applyAlignment="1">
      <alignment vertical="center"/>
    </xf>
    <xf numFmtId="0" fontId="3" fillId="0" borderId="4" xfId="0" applyFont="1" applyBorder="1" applyAlignment="1">
      <alignment horizontal="center" vertical="justify"/>
    </xf>
    <xf numFmtId="1" fontId="8" fillId="0" borderId="1" xfId="2" applyNumberFormat="1" applyFont="1" applyBorder="1" applyAlignment="1">
      <alignment horizontal="center" vertical="center"/>
    </xf>
    <xf numFmtId="1" fontId="7" fillId="0" borderId="1" xfId="0" applyNumberFormat="1" applyFont="1" applyFill="1" applyBorder="1" applyAlignment="1">
      <alignment horizontal="center" vertical="center" wrapText="1"/>
    </xf>
    <xf numFmtId="3" fontId="0" fillId="0" borderId="1" xfId="0" applyNumberFormat="1" applyBorder="1" applyAlignment="1">
      <alignment vertical="center"/>
    </xf>
    <xf numFmtId="0" fontId="7" fillId="4" borderId="1" xfId="0" applyFont="1" applyFill="1" applyBorder="1" applyAlignment="1">
      <alignment horizontal="justify" vertical="center" wrapText="1"/>
    </xf>
    <xf numFmtId="0"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3" fontId="0" fillId="0" borderId="1" xfId="0" applyNumberFormat="1" applyBorder="1" applyAlignment="1">
      <alignment horizontal="right" vertical="center"/>
    </xf>
    <xf numFmtId="2" fontId="0" fillId="5" borderId="1" xfId="0" applyNumberFormat="1" applyFill="1" applyBorder="1" applyAlignment="1">
      <alignment horizontal="center" vertical="center"/>
    </xf>
    <xf numFmtId="0" fontId="7"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0" fontId="7" fillId="0" borderId="1"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xf>
    <xf numFmtId="0" fontId="7" fillId="2" borderId="1" xfId="0" applyFont="1" applyFill="1" applyBorder="1" applyAlignment="1">
      <alignment horizontal="left" vertical="center" wrapText="1"/>
    </xf>
    <xf numFmtId="0" fontId="9" fillId="0" borderId="1" xfId="0" applyFont="1" applyBorder="1" applyAlignment="1">
      <alignment vertical="center"/>
    </xf>
    <xf numFmtId="3" fontId="9" fillId="0" borderId="1" xfId="0" applyNumberFormat="1" applyFont="1" applyBorder="1" applyAlignment="1">
      <alignment vertical="center"/>
    </xf>
    <xf numFmtId="2" fontId="0" fillId="0" borderId="1" xfId="0" applyNumberFormat="1" applyBorder="1" applyAlignment="1">
      <alignment horizontal="center" vertical="center"/>
    </xf>
    <xf numFmtId="0" fontId="3" fillId="0" borderId="1" xfId="0" applyFont="1" applyBorder="1"/>
    <xf numFmtId="3" fontId="0" fillId="0" borderId="0" xfId="0" applyNumberFormat="1" applyAlignment="1">
      <alignment vertical="center"/>
    </xf>
    <xf numFmtId="0" fontId="4" fillId="0" borderId="0" xfId="0" applyFont="1" applyAlignment="1">
      <alignment horizontal="center" vertical="center"/>
    </xf>
    <xf numFmtId="3" fontId="7"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3" fontId="7" fillId="0" borderId="2" xfId="1" applyFont="1" applyFill="1" applyBorder="1" applyAlignment="1">
      <alignment horizontal="justify" vertical="center"/>
    </xf>
    <xf numFmtId="43" fontId="8" fillId="0" borderId="2" xfId="1" applyFont="1" applyFill="1" applyBorder="1" applyAlignment="1">
      <alignment horizontal="justify" vertical="center"/>
    </xf>
    <xf numFmtId="43" fontId="8" fillId="0" borderId="1" xfId="1" applyFont="1" applyFill="1" applyBorder="1" applyAlignment="1">
      <alignment horizontal="justify" vertical="center"/>
    </xf>
    <xf numFmtId="3" fontId="7" fillId="0" borderId="1" xfId="0" applyNumberFormat="1" applyFont="1" applyBorder="1" applyAlignment="1">
      <alignment horizontal="center" vertical="center" wrapText="1"/>
    </xf>
    <xf numFmtId="43" fontId="7" fillId="0" borderId="2" xfId="1" applyFont="1" applyBorder="1" applyAlignment="1">
      <alignment horizontal="justify" vertical="center"/>
    </xf>
    <xf numFmtId="43" fontId="8" fillId="0" borderId="2" xfId="1" applyFont="1" applyBorder="1" applyAlignment="1">
      <alignment horizontal="justify" vertical="center"/>
    </xf>
    <xf numFmtId="43" fontId="8" fillId="0" borderId="1" xfId="1" applyFont="1" applyBorder="1" applyAlignment="1">
      <alignment horizontal="justify" vertical="center"/>
    </xf>
    <xf numFmtId="3" fontId="8" fillId="0" borderId="1" xfId="0" applyNumberFormat="1" applyFont="1" applyFill="1" applyBorder="1" applyAlignment="1">
      <alignment horizontal="center" vertical="center" wrapText="1"/>
    </xf>
    <xf numFmtId="2" fontId="14" fillId="6" borderId="1" xfId="0" applyNumberFormat="1" applyFont="1" applyFill="1" applyBorder="1" applyAlignment="1">
      <alignment horizontal="center" vertical="center"/>
    </xf>
    <xf numFmtId="10" fontId="7"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2" fontId="0" fillId="6" borderId="1" xfId="0" applyNumberFormat="1" applyFill="1" applyBorder="1" applyAlignment="1">
      <alignment horizontal="center" vertical="center"/>
    </xf>
    <xf numFmtId="4" fontId="8" fillId="0" borderId="2" xfId="0" applyNumberFormat="1" applyFont="1" applyFill="1" applyBorder="1" applyAlignment="1">
      <alignment horizontal="center" vertical="center" wrapText="1"/>
    </xf>
    <xf numFmtId="43" fontId="7" fillId="0" borderId="1" xfId="1" applyFont="1" applyBorder="1" applyAlignment="1">
      <alignment horizontal="justify" vertical="center"/>
    </xf>
    <xf numFmtId="3" fontId="7"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3" fontId="2" fillId="0" borderId="2" xfId="0" applyNumberFormat="1" applyFont="1" applyFill="1" applyBorder="1" applyAlignment="1">
      <alignment horizontal="center" vertical="center"/>
    </xf>
    <xf numFmtId="0" fontId="7" fillId="0" borderId="2" xfId="0" applyFont="1" applyFill="1" applyBorder="1" applyAlignment="1">
      <alignment horizontal="justify" vertical="center" wrapText="1"/>
    </xf>
    <xf numFmtId="3" fontId="7" fillId="2" borderId="1"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7"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2" fontId="8" fillId="0" borderId="2"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9" fontId="7" fillId="0" borderId="1" xfId="5" applyFont="1" applyFill="1" applyBorder="1" applyAlignment="1">
      <alignment horizontal="center" vertical="center" wrapText="1"/>
    </xf>
    <xf numFmtId="9" fontId="8" fillId="0" borderId="1" xfId="5" applyFont="1" applyFill="1" applyBorder="1" applyAlignment="1">
      <alignment horizontal="center" vertical="center" wrapText="1"/>
    </xf>
    <xf numFmtId="0" fontId="0" fillId="0" borderId="1" xfId="0" applyFont="1" applyFill="1" applyBorder="1" applyAlignment="1">
      <alignment horizontal="justify" vertical="center" wrapText="1"/>
    </xf>
    <xf numFmtId="3" fontId="8" fillId="2" borderId="4"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0" fontId="2" fillId="0" borderId="1" xfId="0" applyFont="1" applyBorder="1" applyAlignment="1">
      <alignment vertical="center"/>
    </xf>
    <xf numFmtId="43" fontId="2" fillId="0" borderId="1" xfId="0" applyNumberFormat="1" applyFont="1" applyBorder="1" applyAlignment="1">
      <alignment vertical="center"/>
    </xf>
    <xf numFmtId="2" fontId="7" fillId="0" borderId="1" xfId="0" applyNumberFormat="1" applyFont="1" applyBorder="1" applyAlignment="1">
      <alignment horizontal="center"/>
    </xf>
    <xf numFmtId="2" fontId="8" fillId="0" borderId="1" xfId="0" applyNumberFormat="1" applyFont="1" applyBorder="1" applyAlignment="1">
      <alignment horizontal="center"/>
    </xf>
    <xf numFmtId="0" fontId="7" fillId="0" borderId="3" xfId="0" applyFont="1" applyFill="1" applyBorder="1" applyAlignment="1">
      <alignment horizontal="left" vertical="center" wrapText="1"/>
    </xf>
    <xf numFmtId="0" fontId="7" fillId="0" borderId="2" xfId="0" applyNumberFormat="1" applyFont="1" applyBorder="1" applyAlignment="1">
      <alignment horizontal="center" vertical="center"/>
    </xf>
    <xf numFmtId="0" fontId="7" fillId="0" borderId="2" xfId="0" applyNumberFormat="1" applyFont="1" applyFill="1" applyBorder="1" applyAlignment="1">
      <alignment horizontal="center" vertical="center"/>
    </xf>
    <xf numFmtId="0" fontId="8" fillId="2" borderId="2" xfId="0" applyNumberFormat="1" applyFont="1" applyFill="1" applyBorder="1" applyAlignment="1">
      <alignment horizontal="center" vertical="center"/>
    </xf>
    <xf numFmtId="165" fontId="7" fillId="0" borderId="2" xfId="3" applyNumberFormat="1" applyFont="1" applyBorder="1" applyAlignment="1">
      <alignment horizontal="justify" vertical="center"/>
    </xf>
    <xf numFmtId="165" fontId="8" fillId="0" borderId="2" xfId="3" applyNumberFormat="1" applyFont="1" applyBorder="1" applyAlignment="1">
      <alignment horizontal="justify" vertical="center"/>
    </xf>
    <xf numFmtId="165" fontId="7" fillId="0" borderId="1" xfId="3" applyNumberFormat="1" applyFont="1" applyBorder="1" applyAlignment="1">
      <alignment horizontal="justify" vertical="center"/>
    </xf>
    <xf numFmtId="165" fontId="8" fillId="0" borderId="1" xfId="3" applyNumberFormat="1" applyFont="1" applyBorder="1" applyAlignment="1">
      <alignment horizontal="justify" vertical="center"/>
    </xf>
    <xf numFmtId="0" fontId="7" fillId="0" borderId="4" xfId="0" applyFont="1" applyFill="1" applyBorder="1" applyAlignment="1">
      <alignment horizontal="left" vertical="center" wrapText="1"/>
    </xf>
    <xf numFmtId="0" fontId="7" fillId="0" borderId="4" xfId="0" applyFont="1" applyFill="1" applyBorder="1" applyAlignment="1">
      <alignment horizontal="justify" vertical="center" wrapText="1"/>
    </xf>
    <xf numFmtId="0" fontId="7" fillId="0" borderId="4" xfId="0" applyNumberFormat="1" applyFont="1" applyBorder="1" applyAlignment="1">
      <alignment horizontal="center" vertical="center"/>
    </xf>
    <xf numFmtId="0" fontId="7" fillId="0" borderId="4" xfId="0" applyNumberFormat="1" applyFont="1" applyFill="1" applyBorder="1" applyAlignment="1">
      <alignment horizontal="center" vertical="center"/>
    </xf>
    <xf numFmtId="2" fontId="8" fillId="2" borderId="4" xfId="0" applyNumberFormat="1" applyFont="1" applyFill="1" applyBorder="1" applyAlignment="1">
      <alignment horizontal="center" vertical="center"/>
    </xf>
    <xf numFmtId="2" fontId="8" fillId="2" borderId="1" xfId="0" applyNumberFormat="1" applyFont="1" applyFill="1" applyBorder="1" applyAlignment="1">
      <alignment horizontal="center" vertical="center"/>
    </xf>
    <xf numFmtId="0" fontId="8" fillId="2" borderId="4"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justify" vertical="center" wrapText="1"/>
    </xf>
    <xf numFmtId="165" fontId="7" fillId="0" borderId="4" xfId="3" applyNumberFormat="1" applyFont="1" applyBorder="1" applyAlignment="1">
      <alignment horizontal="justify" vertical="center"/>
    </xf>
    <xf numFmtId="165" fontId="8" fillId="0" borderId="3" xfId="3" applyNumberFormat="1" applyFont="1" applyBorder="1" applyAlignment="1">
      <alignment horizontal="justify" vertical="center"/>
    </xf>
    <xf numFmtId="165" fontId="8" fillId="0" borderId="4" xfId="3" applyNumberFormat="1" applyFont="1" applyBorder="1" applyAlignment="1">
      <alignment horizontal="justify" vertical="center"/>
    </xf>
    <xf numFmtId="0" fontId="0" fillId="0" borderId="1" xfId="0" applyBorder="1" applyAlignment="1">
      <alignment horizontal="center"/>
    </xf>
    <xf numFmtId="165" fontId="7" fillId="0" borderId="1" xfId="0" applyNumberFormat="1" applyFont="1" applyBorder="1"/>
    <xf numFmtId="1" fontId="8" fillId="2" borderId="1" xfId="0" applyNumberFormat="1" applyFont="1" applyFill="1" applyBorder="1" applyAlignment="1">
      <alignment horizontal="center" vertical="center"/>
    </xf>
    <xf numFmtId="164" fontId="7" fillId="0" borderId="1" xfId="3" applyFont="1" applyBorder="1" applyAlignment="1">
      <alignment horizontal="justify" vertical="center"/>
    </xf>
    <xf numFmtId="0" fontId="16" fillId="0"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4"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2" borderId="4" xfId="0" applyFont="1" applyFill="1" applyBorder="1" applyAlignment="1">
      <alignment horizontal="center" vertical="center"/>
    </xf>
    <xf numFmtId="0" fontId="8" fillId="0" borderId="1" xfId="0" applyFont="1" applyBorder="1" applyAlignment="1">
      <alignment horizontal="justify"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justify" vertical="justify"/>
    </xf>
    <xf numFmtId="0" fontId="2" fillId="0" borderId="1" xfId="0" applyFont="1" applyBorder="1" applyAlignment="1">
      <alignment horizontal="center" vertical="justify"/>
    </xf>
    <xf numFmtId="0" fontId="2" fillId="0" borderId="1" xfId="0" applyFont="1" applyBorder="1"/>
    <xf numFmtId="0" fontId="0" fillId="0" borderId="0" xfId="0" applyBorder="1"/>
    <xf numFmtId="3" fontId="3" fillId="7" borderId="4" xfId="0" applyNumberFormat="1" applyFont="1" applyFill="1" applyBorder="1" applyAlignment="1">
      <alignment horizontal="center" vertical="center" wrapText="1"/>
    </xf>
    <xf numFmtId="3" fontId="3" fillId="7" borderId="1" xfId="0" applyNumberFormat="1" applyFont="1" applyFill="1" applyBorder="1" applyAlignment="1">
      <alignment horizontal="justify" vertical="justify"/>
    </xf>
    <xf numFmtId="0" fontId="3" fillId="0" borderId="0" xfId="0" applyFont="1" applyBorder="1" applyAlignment="1">
      <alignment horizontal="center" vertical="justify"/>
    </xf>
    <xf numFmtId="0" fontId="3" fillId="0" borderId="0" xfId="0" applyFont="1" applyAlignment="1">
      <alignment horizontal="center" vertical="justify"/>
    </xf>
    <xf numFmtId="0" fontId="0" fillId="0" borderId="1" xfId="0" applyFont="1" applyFill="1" applyBorder="1" applyAlignment="1">
      <alignment horizontal="center" vertical="center"/>
    </xf>
    <xf numFmtId="0" fontId="0" fillId="0" borderId="1" xfId="0" applyFont="1" applyFill="1" applyBorder="1" applyAlignment="1">
      <alignment horizontal="justify" vertical="center"/>
    </xf>
    <xf numFmtId="3" fontId="0" fillId="0" borderId="1" xfId="0" applyNumberFormat="1" applyFont="1" applyFill="1" applyBorder="1" applyAlignment="1">
      <alignment horizontal="right" vertical="center"/>
    </xf>
    <xf numFmtId="3" fontId="0" fillId="2" borderId="1" xfId="0" applyNumberFormat="1" applyFont="1" applyFill="1" applyBorder="1" applyAlignment="1">
      <alignment horizontal="right" vertical="center"/>
    </xf>
    <xf numFmtId="0" fontId="0" fillId="6" borderId="1" xfId="0" applyFill="1" applyBorder="1" applyAlignment="1">
      <alignment horizontal="center" vertical="center"/>
    </xf>
    <xf numFmtId="0" fontId="0" fillId="0" borderId="0" xfId="0" applyFill="1"/>
    <xf numFmtId="0" fontId="0" fillId="2" borderId="1" xfId="0" applyFill="1" applyBorder="1" applyAlignment="1">
      <alignment horizontal="center" vertical="center"/>
    </xf>
    <xf numFmtId="3" fontId="0" fillId="0" borderId="0" xfId="0" applyNumberFormat="1" applyFill="1"/>
    <xf numFmtId="0" fontId="2" fillId="2" borderId="1" xfId="0" applyFont="1" applyFill="1" applyBorder="1" applyAlignment="1">
      <alignment horizontal="center"/>
    </xf>
    <xf numFmtId="0" fontId="2" fillId="2" borderId="1" xfId="0" applyFont="1" applyFill="1" applyBorder="1"/>
    <xf numFmtId="0" fontId="9" fillId="2" borderId="1" xfId="0" applyFont="1" applyFill="1" applyBorder="1" applyAlignment="1">
      <alignment vertical="center"/>
    </xf>
    <xf numFmtId="3" fontId="9" fillId="2" borderId="1" xfId="0" applyNumberFormat="1" applyFont="1" applyFill="1" applyBorder="1" applyAlignment="1">
      <alignment vertical="center"/>
    </xf>
    <xf numFmtId="2" fontId="0" fillId="2" borderId="1" xfId="0" applyNumberFormat="1" applyFill="1" applyBorder="1" applyAlignment="1">
      <alignment horizontal="center" vertical="center"/>
    </xf>
    <xf numFmtId="0" fontId="0" fillId="2" borderId="0" xfId="0" applyFill="1"/>
    <xf numFmtId="0" fontId="9" fillId="2" borderId="1" xfId="0" applyFont="1" applyFill="1" applyBorder="1" applyAlignment="1">
      <alignment horizontal="center"/>
    </xf>
    <xf numFmtId="0" fontId="9" fillId="2" borderId="1" xfId="0" applyFont="1" applyFill="1" applyBorder="1"/>
    <xf numFmtId="2" fontId="9" fillId="2" borderId="1" xfId="0" applyNumberFormat="1" applyFont="1" applyFill="1" applyBorder="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3" fillId="0" borderId="1" xfId="0" applyFont="1" applyFill="1" applyBorder="1" applyAlignment="1">
      <alignment horizontal="center" vertical="center" wrapText="1"/>
    </xf>
    <xf numFmtId="164" fontId="17" fillId="0" borderId="1" xfId="3" applyFont="1" applyBorder="1" applyAlignment="1">
      <alignment horizontal="justify" vertical="center"/>
    </xf>
    <xf numFmtId="164" fontId="18" fillId="0" borderId="1" xfId="3" applyFont="1" applyBorder="1" applyAlignment="1">
      <alignment horizontal="justify" vertical="center"/>
    </xf>
    <xf numFmtId="166" fontId="0" fillId="5" borderId="1" xfId="0" applyNumberFormat="1" applyFill="1" applyBorder="1" applyAlignment="1">
      <alignment horizontal="center" vertical="center"/>
    </xf>
    <xf numFmtId="164" fontId="17" fillId="0" borderId="2" xfId="3" applyFont="1" applyBorder="1" applyAlignment="1">
      <alignment horizontal="justify" vertical="center"/>
    </xf>
    <xf numFmtId="164" fontId="18" fillId="0" borderId="2" xfId="3" applyFont="1" applyBorder="1" applyAlignment="1">
      <alignment horizontal="justify" vertical="center"/>
    </xf>
    <xf numFmtId="166" fontId="0" fillId="3" borderId="1" xfId="0" applyNumberFormat="1" applyFill="1" applyBorder="1" applyAlignment="1">
      <alignment horizontal="center" vertical="center"/>
    </xf>
    <xf numFmtId="0" fontId="7" fillId="0" borderId="2" xfId="0" applyFont="1" applyFill="1" applyBorder="1" applyAlignment="1">
      <alignment horizontal="left" vertical="center" wrapText="1"/>
    </xf>
    <xf numFmtId="1" fontId="7" fillId="0" borderId="4"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7" fillId="2" borderId="4" xfId="0" applyFont="1" applyFill="1" applyBorder="1" applyAlignment="1">
      <alignment vertical="center" wrapText="1"/>
    </xf>
    <xf numFmtId="0"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2" fillId="0" borderId="0" xfId="0" applyFont="1" applyAlignment="1">
      <alignment vertical="center"/>
    </xf>
    <xf numFmtId="0" fontId="7" fillId="0" borderId="0" xfId="0" applyFont="1" applyBorder="1" applyAlignment="1">
      <alignment horizontal="center"/>
    </xf>
    <xf numFmtId="0" fontId="7" fillId="0"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2" borderId="1" xfId="0" applyFont="1" applyFill="1" applyBorder="1" applyAlignment="1">
      <alignment vertical="center" wrapText="1"/>
    </xf>
    <xf numFmtId="167" fontId="8" fillId="0" borderId="1" xfId="0" applyNumberFormat="1" applyFont="1" applyFill="1" applyBorder="1" applyAlignment="1">
      <alignment vertical="center"/>
    </xf>
    <xf numFmtId="43" fontId="11" fillId="0" borderId="2" xfId="1" applyFont="1" applyBorder="1" applyAlignment="1">
      <alignment horizontal="justify" vertical="center"/>
    </xf>
    <xf numFmtId="43" fontId="12" fillId="0" borderId="2" xfId="1" applyFont="1" applyBorder="1" applyAlignment="1">
      <alignment horizontal="justify" vertical="center"/>
    </xf>
    <xf numFmtId="43" fontId="12" fillId="0" borderId="1" xfId="1" applyFont="1" applyBorder="1" applyAlignment="1">
      <alignment horizontal="justify" vertical="center"/>
    </xf>
    <xf numFmtId="1" fontId="8" fillId="0" borderId="1" xfId="0" applyNumberFormat="1"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2" fillId="0" borderId="0" xfId="0" applyFont="1" applyAlignment="1">
      <alignment horizontal="center"/>
    </xf>
    <xf numFmtId="0" fontId="7" fillId="0" borderId="8"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43" fontId="11" fillId="0" borderId="3" xfId="1" applyFont="1" applyBorder="1" applyAlignment="1">
      <alignment horizontal="justify" vertical="center"/>
    </xf>
    <xf numFmtId="43" fontId="12" fillId="0" borderId="3" xfId="1" applyFont="1" applyBorder="1" applyAlignment="1">
      <alignment horizontal="justify" vertical="center"/>
    </xf>
    <xf numFmtId="43" fontId="12" fillId="0" borderId="4" xfId="1" applyFont="1" applyBorder="1" applyAlignment="1">
      <alignment horizontal="justify" vertical="center"/>
    </xf>
    <xf numFmtId="0" fontId="0" fillId="0" borderId="1" xfId="0" applyBorder="1" applyAlignment="1">
      <alignment vertical="center"/>
    </xf>
    <xf numFmtId="0" fontId="9" fillId="0" borderId="6" xfId="0" applyFont="1" applyBorder="1" applyAlignment="1">
      <alignment horizontal="center" vertical="center"/>
    </xf>
    <xf numFmtId="43" fontId="9" fillId="0" borderId="1" xfId="0" applyNumberFormat="1" applyFont="1" applyBorder="1" applyAlignment="1">
      <alignment vertical="center"/>
    </xf>
    <xf numFmtId="2" fontId="0" fillId="0" borderId="1" xfId="0" applyNumberFormat="1" applyBorder="1" applyAlignment="1">
      <alignment horizontal="center"/>
    </xf>
    <xf numFmtId="0" fontId="7"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2" borderId="1" xfId="0" applyFont="1" applyFill="1" applyBorder="1" applyAlignment="1">
      <alignment horizontal="center" vertical="center"/>
    </xf>
    <xf numFmtId="4" fontId="8" fillId="2" borderId="1" xfId="0" applyNumberFormat="1" applyFont="1" applyFill="1" applyBorder="1" applyAlignment="1">
      <alignment horizontal="center" vertical="center" wrapText="1"/>
    </xf>
    <xf numFmtId="0" fontId="16" fillId="2" borderId="1" xfId="0" applyFont="1" applyFill="1" applyBorder="1" applyAlignment="1">
      <alignment horizontal="justify" vertical="center" wrapText="1"/>
    </xf>
    <xf numFmtId="0" fontId="2" fillId="2" borderId="0" xfId="0" applyFont="1" applyFill="1"/>
    <xf numFmtId="0" fontId="0" fillId="0" borderId="4" xfId="0" applyBorder="1" applyAlignment="1">
      <alignment horizontal="center" vertical="center"/>
    </xf>
    <xf numFmtId="0" fontId="7" fillId="0" borderId="4" xfId="0" applyFont="1" applyBorder="1" applyAlignment="1">
      <alignment horizontal="justify" vertical="center" wrapText="1"/>
    </xf>
    <xf numFmtId="0" fontId="7" fillId="2" borderId="4" xfId="0" applyNumberFormat="1" applyFont="1" applyFill="1" applyBorder="1" applyAlignment="1">
      <alignment horizontal="center" vertical="center"/>
    </xf>
    <xf numFmtId="0" fontId="10" fillId="0" borderId="0" xfId="0" applyFont="1" applyBorder="1" applyAlignment="1">
      <alignment horizontal="center" vertical="center"/>
    </xf>
    <xf numFmtId="0" fontId="0" fillId="5" borderId="1" xfId="0" applyFill="1" applyBorder="1" applyAlignment="1">
      <alignment horizontal="center" vertical="center"/>
    </xf>
    <xf numFmtId="0" fontId="6" fillId="0" borderId="0" xfId="0" applyFont="1" applyAlignment="1">
      <alignment horizontal="center"/>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7" fillId="2" borderId="4"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9" fillId="0" borderId="0" xfId="0" applyFont="1" applyAlignment="1">
      <alignment horizontal="center" vertical="center"/>
    </xf>
    <xf numFmtId="0" fontId="0" fillId="0" borderId="0" xfId="0" applyAlignment="1">
      <alignment horizontal="center" vertical="center"/>
    </xf>
    <xf numFmtId="1" fontId="7" fillId="0" borderId="4"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9" fillId="0" borderId="5" xfId="0" applyFont="1" applyBorder="1" applyAlignment="1">
      <alignment horizontal="center" vertical="center" wrapText="1"/>
    </xf>
    <xf numFmtId="1" fontId="7" fillId="0" borderId="1" xfId="0" applyNumberFormat="1" applyFont="1" applyFill="1" applyBorder="1" applyAlignment="1">
      <alignment horizontal="center" vertical="center" wrapText="1"/>
    </xf>
    <xf numFmtId="165" fontId="7" fillId="0" borderId="1" xfId="4" applyNumberFormat="1" applyFont="1" applyFill="1" applyBorder="1" applyAlignment="1">
      <alignment horizontal="justify" vertical="center" wrapText="1"/>
    </xf>
    <xf numFmtId="3" fontId="7" fillId="0" borderId="4" xfId="0" applyNumberFormat="1" applyFont="1" applyFill="1" applyBorder="1" applyAlignment="1">
      <alignment horizontal="left" vertical="center" wrapText="1"/>
    </xf>
    <xf numFmtId="3" fontId="7" fillId="0" borderId="3" xfId="0" applyNumberFormat="1" applyFont="1" applyFill="1" applyBorder="1" applyAlignment="1">
      <alignment horizontal="left" vertical="center" wrapText="1"/>
    </xf>
    <xf numFmtId="3" fontId="7" fillId="0" borderId="2" xfId="0" applyNumberFormat="1" applyFont="1" applyFill="1" applyBorder="1" applyAlignment="1">
      <alignment horizontal="left" vertical="center" wrapText="1"/>
    </xf>
    <xf numFmtId="3" fontId="7" fillId="0" borderId="4" xfId="5" applyNumberFormat="1" applyFont="1" applyFill="1" applyBorder="1" applyAlignment="1">
      <alignment horizontal="center" vertical="center" wrapText="1"/>
    </xf>
    <xf numFmtId="3" fontId="7" fillId="0" borderId="2" xfId="5" applyNumberFormat="1" applyFont="1" applyFill="1" applyBorder="1" applyAlignment="1">
      <alignment horizontal="center" vertical="center" wrapText="1"/>
    </xf>
  </cellXfs>
  <cellStyles count="6">
    <cellStyle name="Millares" xfId="1" builtinId="3"/>
    <cellStyle name="Millares 2" xfId="3"/>
    <cellStyle name="Millares 2 2" xfId="4"/>
    <cellStyle name="Normal" xfId="0" builtinId="0"/>
    <cellStyle name="Porcentaje" xfId="2" builtinId="5"/>
    <cellStyle name="Porcentaj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r>
              <a:rPr lang="es-CO">
                <a:solidFill>
                  <a:srgbClr val="FF0000"/>
                </a:solidFill>
              </a:rPr>
              <a:t>ESTADO</a:t>
            </a:r>
            <a:r>
              <a:rPr lang="es-CO" baseline="0">
                <a:solidFill>
                  <a:srgbClr val="FF0000"/>
                </a:solidFill>
              </a:rPr>
              <a:t> DE EJECUCION METAS PRODUCTO SECRETARÍA DE REPRESENTACION JUDICIAL  CON CORTE AL 30 DE SEPTIEMBRE DE 2016</a:t>
            </a:r>
          </a:p>
          <a:p>
            <a:pPr>
              <a:defRPr>
                <a:solidFill>
                  <a:srgbClr val="FF0000"/>
                </a:solidFill>
              </a:defRPr>
            </a:pPr>
            <a:endParaRPr lang="es-CO">
              <a:solidFill>
                <a:srgbClr val="FF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endParaRPr lang="es-CO"/>
        </a:p>
      </c:txPr>
    </c:title>
    <c:autoTitleDeleted val="0"/>
    <c:plotArea>
      <c:layout/>
      <c:barChart>
        <c:barDir val="col"/>
        <c:grouping val="clustered"/>
        <c:varyColors val="0"/>
        <c:ser>
          <c:idx val="0"/>
          <c:order val="0"/>
          <c:tx>
            <c:strRef>
              <c:f>'Representación Judicial'!$E$11</c:f>
              <c:strCache>
                <c:ptCount val="1"/>
                <c:pt idx="0">
                  <c:v>NÚMERO DE METAS  PRODUCTO </c:v>
                </c:pt>
              </c:strCache>
            </c:strRef>
          </c:tx>
          <c:spPr>
            <a:solidFill>
              <a:schemeClr val="accent1"/>
            </a:solidFill>
            <a:ln>
              <a:noFill/>
            </a:ln>
            <a:effectLst/>
          </c:spPr>
          <c:invertIfNegative val="0"/>
          <c:cat>
            <c:strRef>
              <c:f>'Representación Judicial'!$D$12:$D$15</c:f>
              <c:strCache>
                <c:ptCount val="4"/>
                <c:pt idx="0">
                  <c:v>S. VERDE ( 80%-100%) </c:v>
                </c:pt>
                <c:pt idx="1">
                  <c:v>S. AMARILLO (49%-79%)</c:v>
                </c:pt>
                <c:pt idx="2">
                  <c:v>S. ROJO ( 0-49%)</c:v>
                </c:pt>
                <c:pt idx="3">
                  <c:v>TOTAL </c:v>
                </c:pt>
              </c:strCache>
            </c:strRef>
          </c:cat>
          <c:val>
            <c:numRef>
              <c:f>'Representación Judicial'!$E$12:$E$15</c:f>
              <c:numCache>
                <c:formatCode>General</c:formatCode>
                <c:ptCount val="4"/>
                <c:pt idx="0">
                  <c:v>0</c:v>
                </c:pt>
                <c:pt idx="1">
                  <c:v>1</c:v>
                </c:pt>
                <c:pt idx="2">
                  <c:v>0</c:v>
                </c:pt>
                <c:pt idx="3">
                  <c:v>1</c:v>
                </c:pt>
              </c:numCache>
            </c:numRef>
          </c:val>
          <c:extLst xmlns:c16r2="http://schemas.microsoft.com/office/drawing/2015/06/chart">
            <c:ext xmlns:c16="http://schemas.microsoft.com/office/drawing/2014/chart" uri="{C3380CC4-5D6E-409C-BE32-E72D297353CC}">
              <c16:uniqueId val="{00000000-289A-49BF-87F2-1AE7EAA4B8BA}"/>
            </c:ext>
          </c:extLst>
        </c:ser>
        <c:ser>
          <c:idx val="1"/>
          <c:order val="1"/>
          <c:tx>
            <c:strRef>
              <c:f>'Representación Judicial'!$F$11</c:f>
              <c:strCache>
                <c:ptCount val="1"/>
                <c:pt idx="0">
                  <c:v>%</c:v>
                </c:pt>
              </c:strCache>
            </c:strRef>
          </c:tx>
          <c:spPr>
            <a:solidFill>
              <a:schemeClr val="accent2"/>
            </a:solidFill>
            <a:ln>
              <a:noFill/>
            </a:ln>
            <a:effectLst/>
          </c:spPr>
          <c:invertIfNegative val="0"/>
          <c:cat>
            <c:strRef>
              <c:f>'Representación Judicial'!$D$12:$D$15</c:f>
              <c:strCache>
                <c:ptCount val="4"/>
                <c:pt idx="0">
                  <c:v>S. VERDE ( 80%-100%) </c:v>
                </c:pt>
                <c:pt idx="1">
                  <c:v>S. AMARILLO (49%-79%)</c:v>
                </c:pt>
                <c:pt idx="2">
                  <c:v>S. ROJO ( 0-49%)</c:v>
                </c:pt>
                <c:pt idx="3">
                  <c:v>TOTAL </c:v>
                </c:pt>
              </c:strCache>
            </c:strRef>
          </c:cat>
          <c:val>
            <c:numRef>
              <c:f>'Representación Judicial'!$F$12:$F$15</c:f>
              <c:numCache>
                <c:formatCode>General</c:formatCode>
                <c:ptCount val="4"/>
                <c:pt idx="0">
                  <c:v>0</c:v>
                </c:pt>
                <c:pt idx="1">
                  <c:v>100</c:v>
                </c:pt>
                <c:pt idx="2">
                  <c:v>0</c:v>
                </c:pt>
                <c:pt idx="3">
                  <c:v>100</c:v>
                </c:pt>
              </c:numCache>
            </c:numRef>
          </c:val>
          <c:extLst xmlns:c16r2="http://schemas.microsoft.com/office/drawing/2015/06/chart">
            <c:ext xmlns:c16="http://schemas.microsoft.com/office/drawing/2014/chart" uri="{C3380CC4-5D6E-409C-BE32-E72D297353CC}">
              <c16:uniqueId val="{00000001-289A-49BF-87F2-1AE7EAA4B8BA}"/>
            </c:ext>
          </c:extLst>
        </c:ser>
        <c:dLbls>
          <c:showLegendKey val="0"/>
          <c:showVal val="0"/>
          <c:showCatName val="0"/>
          <c:showSerName val="0"/>
          <c:showPercent val="0"/>
          <c:showBubbleSize val="0"/>
        </c:dLbls>
        <c:gapWidth val="219"/>
        <c:overlap val="-27"/>
        <c:axId val="103202064"/>
        <c:axId val="103202624"/>
      </c:barChart>
      <c:catAx>
        <c:axId val="10320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3202624"/>
        <c:crosses val="autoZero"/>
        <c:auto val="1"/>
        <c:lblAlgn val="ctr"/>
        <c:lblOffset val="100"/>
        <c:noMultiLvlLbl val="0"/>
      </c:catAx>
      <c:valAx>
        <c:axId val="10320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r>
                  <a:rPr lang="en-US">
                    <a:solidFill>
                      <a:srgbClr val="FF0000"/>
                    </a:solidFill>
                  </a:rPr>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32020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FF0000"/>
                </a:solidFill>
                <a:latin typeface="+mn-lt"/>
                <a:ea typeface="+mn-ea"/>
                <a:cs typeface="+mn-cs"/>
              </a:defRPr>
            </a:pPr>
            <a:r>
              <a:rPr lang="en-US" b="1">
                <a:solidFill>
                  <a:srgbClr val="FF0000"/>
                </a:solidFill>
              </a:rPr>
              <a:t>ESTADO DE EJECUCION METAS PRODUCTO SECRETARIA DE EDUCACION CON CORTE A OCTUBRE DE 2016</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FF0000"/>
              </a:solidFill>
              <a:latin typeface="+mn-lt"/>
              <a:ea typeface="+mn-ea"/>
              <a:cs typeface="+mn-cs"/>
            </a:defRPr>
          </a:pPr>
          <a:endParaRPr lang="es-CO"/>
        </a:p>
      </c:txPr>
    </c:title>
    <c:autoTitleDeleted val="0"/>
    <c:plotArea>
      <c:layout/>
      <c:barChart>
        <c:barDir val="col"/>
        <c:grouping val="clustered"/>
        <c:varyColors val="0"/>
        <c:ser>
          <c:idx val="0"/>
          <c:order val="0"/>
          <c:tx>
            <c:strRef>
              <c:f>'[1]METAS PRODUCTO '!$I$64</c:f>
              <c:strCache>
                <c:ptCount val="1"/>
                <c:pt idx="0">
                  <c:v>NÚMERO DE METAS  PRODUCTO </c:v>
                </c:pt>
              </c:strCache>
            </c:strRef>
          </c:tx>
          <c:spPr>
            <a:solidFill>
              <a:schemeClr val="accent1"/>
            </a:solidFill>
            <a:ln>
              <a:noFill/>
            </a:ln>
            <a:effectLst/>
          </c:spPr>
          <c:invertIfNegative val="0"/>
          <c:val>
            <c:numRef>
              <c:f>'[1]METAS PRODUCTO '!$I$65:$I$68</c:f>
              <c:numCache>
                <c:formatCode>General</c:formatCode>
                <c:ptCount val="4"/>
                <c:pt idx="0">
                  <c:v>19</c:v>
                </c:pt>
                <c:pt idx="1">
                  <c:v>4</c:v>
                </c:pt>
                <c:pt idx="2">
                  <c:v>30</c:v>
                </c:pt>
                <c:pt idx="3">
                  <c:v>53</c:v>
                </c:pt>
              </c:numCache>
            </c:numRef>
          </c:val>
          <c:extLst xmlns:c16r2="http://schemas.microsoft.com/office/drawing/2015/06/chart">
            <c:ext xmlns:c16="http://schemas.microsoft.com/office/drawing/2014/chart" uri="{C3380CC4-5D6E-409C-BE32-E72D297353CC}">
              <c16:uniqueId val="{00000000-229D-4E2F-9D61-0716E8E39D9A}"/>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'[1]METAS PRODUCTO '!$H$65:$H$68</c15:sqref>
                        </c15:formulaRef>
                      </c:ext>
                    </c:extLst>
                    <c:strCache>
                      <c:ptCount val="4"/>
                      <c:pt idx="0">
                        <c:v>S. VERDE ( 80%-100%) </c:v>
                      </c:pt>
                      <c:pt idx="1">
                        <c:v>S. AMARILLO (49%-79%)</c:v>
                      </c:pt>
                      <c:pt idx="2">
                        <c:v>S. ROJO ( 0-49%)</c:v>
                      </c:pt>
                      <c:pt idx="3">
                        <c:v>TOTAL </c:v>
                      </c:pt>
                    </c:strCache>
                  </c:strRef>
                </c15:cat>
              </c15:filteredCategoryTitle>
            </c:ext>
          </c:extLst>
        </c:ser>
        <c:ser>
          <c:idx val="1"/>
          <c:order val="1"/>
          <c:tx>
            <c:strRef>
              <c:f>Educación!$J$64</c:f>
              <c:strCache>
                <c:ptCount val="1"/>
                <c:pt idx="0">
                  <c:v>%</c:v>
                </c:pt>
              </c:strCache>
            </c:strRef>
          </c:tx>
          <c:spPr>
            <a:solidFill>
              <a:schemeClr val="accent2"/>
            </a:solidFill>
            <a:ln>
              <a:noFill/>
            </a:ln>
            <a:effectLst/>
          </c:spPr>
          <c:invertIfNegative val="0"/>
          <c:val>
            <c:numRef>
              <c:f>Educación!$J$65:$J$68</c:f>
              <c:numCache>
                <c:formatCode>0.00</c:formatCode>
                <c:ptCount val="4"/>
                <c:pt idx="0">
                  <c:v>20.87912087912088</c:v>
                </c:pt>
                <c:pt idx="1">
                  <c:v>4.395604395604396</c:v>
                </c:pt>
                <c:pt idx="2">
                  <c:v>32.967032967032964</c:v>
                </c:pt>
                <c:pt idx="3">
                  <c:v>58.241758241758248</c:v>
                </c:pt>
              </c:numCache>
            </c:numRef>
          </c:val>
          <c:extLst xmlns:c16r2="http://schemas.microsoft.com/office/drawing/2015/06/chart">
            <c:ext xmlns:c16="http://schemas.microsoft.com/office/drawing/2014/chart" uri="{C3380CC4-5D6E-409C-BE32-E72D297353CC}">
              <c16:uniqueId val="{00000001-229D-4E2F-9D61-0716E8E39D9A}"/>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'[1]METAS PRODUCTO '!$H$65:$H$68</c15:sqref>
                        </c15:formulaRef>
                      </c:ext>
                    </c:extLst>
                    <c:strCache>
                      <c:ptCount val="4"/>
                      <c:pt idx="0">
                        <c:v>S. VERDE ( 80%-100%) </c:v>
                      </c:pt>
                      <c:pt idx="1">
                        <c:v>S. AMARILLO (49%-79%)</c:v>
                      </c:pt>
                      <c:pt idx="2">
                        <c:v>S. ROJO ( 0-49%)</c:v>
                      </c:pt>
                      <c:pt idx="3">
                        <c:v>TOTAL </c:v>
                      </c:pt>
                    </c:strCache>
                  </c:strRef>
                </c15:cat>
              </c15:filteredCategoryTitle>
            </c:ext>
          </c:extLst>
        </c:ser>
        <c:dLbls>
          <c:showLegendKey val="0"/>
          <c:showVal val="0"/>
          <c:showCatName val="0"/>
          <c:showSerName val="0"/>
          <c:showPercent val="0"/>
          <c:showBubbleSize val="0"/>
        </c:dLbls>
        <c:gapWidth val="219"/>
        <c:overlap val="-27"/>
        <c:axId val="170339280"/>
        <c:axId val="170339840"/>
      </c:barChart>
      <c:catAx>
        <c:axId val="170339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339840"/>
        <c:crosses val="autoZero"/>
        <c:auto val="1"/>
        <c:lblAlgn val="ctr"/>
        <c:lblOffset val="100"/>
        <c:noMultiLvlLbl val="0"/>
      </c:catAx>
      <c:valAx>
        <c:axId val="170339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339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r>
              <a:rPr lang="en-US">
                <a:solidFill>
                  <a:srgbClr val="FF0000"/>
                </a:solidFill>
              </a:rPr>
              <a:t>ESTADO DE EJECUCIÓN METAS PRODUCTO SECRETARIA DEL INTERIOR CON CORTE A OCTUBRE 31 DE 2016</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endParaRPr lang="es-CO"/>
        </a:p>
      </c:txPr>
    </c:title>
    <c:autoTitleDeleted val="0"/>
    <c:plotArea>
      <c:layout/>
      <c:barChart>
        <c:barDir val="col"/>
        <c:grouping val="clustered"/>
        <c:varyColors val="0"/>
        <c:ser>
          <c:idx val="0"/>
          <c:order val="0"/>
          <c:tx>
            <c:strRef>
              <c:f>Interior!$E$44</c:f>
              <c:strCache>
                <c:ptCount val="1"/>
                <c:pt idx="0">
                  <c:v>NÚMERO DE METAS  PRODUCTO </c:v>
                </c:pt>
              </c:strCache>
            </c:strRef>
          </c:tx>
          <c:spPr>
            <a:solidFill>
              <a:schemeClr val="accent1"/>
            </a:solidFill>
            <a:ln>
              <a:noFill/>
            </a:ln>
            <a:effectLst/>
          </c:spPr>
          <c:invertIfNegative val="0"/>
          <c:cat>
            <c:strRef>
              <c:f>Interior!$D$45:$D$48</c:f>
              <c:strCache>
                <c:ptCount val="4"/>
                <c:pt idx="0">
                  <c:v>S. VERDE ( 80%-100%) </c:v>
                </c:pt>
                <c:pt idx="1">
                  <c:v>S. AMARILLO (49%-79%)</c:v>
                </c:pt>
                <c:pt idx="2">
                  <c:v>S. ROJO ( 0-49%)</c:v>
                </c:pt>
                <c:pt idx="3">
                  <c:v>TOTAL </c:v>
                </c:pt>
              </c:strCache>
            </c:strRef>
          </c:cat>
          <c:val>
            <c:numRef>
              <c:f>Interior!$E$45:$E$48</c:f>
              <c:numCache>
                <c:formatCode>General</c:formatCode>
                <c:ptCount val="4"/>
                <c:pt idx="0">
                  <c:v>0</c:v>
                </c:pt>
                <c:pt idx="1">
                  <c:v>0</c:v>
                </c:pt>
                <c:pt idx="2">
                  <c:v>15</c:v>
                </c:pt>
                <c:pt idx="3">
                  <c:v>15</c:v>
                </c:pt>
              </c:numCache>
            </c:numRef>
          </c:val>
          <c:extLst xmlns:c16r2="http://schemas.microsoft.com/office/drawing/2015/06/chart">
            <c:ext xmlns:c16="http://schemas.microsoft.com/office/drawing/2014/chart" uri="{C3380CC4-5D6E-409C-BE32-E72D297353CC}">
              <c16:uniqueId val="{00000000-1A4F-48F3-8A38-E01C8DA57DB2}"/>
            </c:ext>
          </c:extLst>
        </c:ser>
        <c:ser>
          <c:idx val="1"/>
          <c:order val="1"/>
          <c:tx>
            <c:strRef>
              <c:f>Interior!$F$44</c:f>
              <c:strCache>
                <c:ptCount val="1"/>
                <c:pt idx="0">
                  <c:v>%</c:v>
                </c:pt>
              </c:strCache>
            </c:strRef>
          </c:tx>
          <c:spPr>
            <a:solidFill>
              <a:schemeClr val="accent2"/>
            </a:solidFill>
            <a:ln>
              <a:noFill/>
            </a:ln>
            <a:effectLst/>
          </c:spPr>
          <c:invertIfNegative val="0"/>
          <c:cat>
            <c:strRef>
              <c:f>Interior!$D$45:$D$48</c:f>
              <c:strCache>
                <c:ptCount val="4"/>
                <c:pt idx="0">
                  <c:v>S. VERDE ( 80%-100%) </c:v>
                </c:pt>
                <c:pt idx="1">
                  <c:v>S. AMARILLO (49%-79%)</c:v>
                </c:pt>
                <c:pt idx="2">
                  <c:v>S. ROJO ( 0-49%)</c:v>
                </c:pt>
                <c:pt idx="3">
                  <c:v>TOTAL </c:v>
                </c:pt>
              </c:strCache>
            </c:strRef>
          </c:cat>
          <c:val>
            <c:numRef>
              <c:f>Interior!$F$45:$F$48</c:f>
              <c:numCache>
                <c:formatCode>General</c:formatCode>
                <c:ptCount val="4"/>
                <c:pt idx="0">
                  <c:v>0</c:v>
                </c:pt>
                <c:pt idx="1">
                  <c:v>0</c:v>
                </c:pt>
                <c:pt idx="2">
                  <c:v>100</c:v>
                </c:pt>
                <c:pt idx="3">
                  <c:v>100</c:v>
                </c:pt>
              </c:numCache>
            </c:numRef>
          </c:val>
          <c:extLst xmlns:c16r2="http://schemas.microsoft.com/office/drawing/2015/06/chart">
            <c:ext xmlns:c16="http://schemas.microsoft.com/office/drawing/2014/chart" uri="{C3380CC4-5D6E-409C-BE32-E72D297353CC}">
              <c16:uniqueId val="{00000001-1A4F-48F3-8A38-E01C8DA57DB2}"/>
            </c:ext>
          </c:extLst>
        </c:ser>
        <c:dLbls>
          <c:showLegendKey val="0"/>
          <c:showVal val="0"/>
          <c:showCatName val="0"/>
          <c:showSerName val="0"/>
          <c:showPercent val="0"/>
          <c:showBubbleSize val="0"/>
        </c:dLbls>
        <c:gapWidth val="219"/>
        <c:overlap val="-27"/>
        <c:axId val="170343200"/>
        <c:axId val="170343760"/>
      </c:barChart>
      <c:catAx>
        <c:axId val="170343200"/>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343760"/>
        <c:crosses val="autoZero"/>
        <c:auto val="1"/>
        <c:lblAlgn val="ctr"/>
        <c:lblOffset val="100"/>
        <c:noMultiLvlLbl val="0"/>
      </c:catAx>
      <c:valAx>
        <c:axId val="170343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r>
                  <a:rPr lang="en-US">
                    <a:solidFill>
                      <a:srgbClr val="FF0000"/>
                    </a:solidFill>
                  </a:rPr>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3432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r>
              <a:rPr lang="en-US">
                <a:solidFill>
                  <a:srgbClr val="FF0000"/>
                </a:solidFill>
              </a:rPr>
              <a:t>ESTADO DE EJECUCIÓN METAS PRODUCTO PLAN DE DESARROLLO                       SECRETARIA DE AGRICULTURA, DESARROLLO RURAL Y MEDIO AMBIENTE  CON CORTE AL 30 DE SEPTIEMBRE DE 2016</a:t>
            </a:r>
          </a:p>
          <a:p>
            <a:pPr>
              <a:defRPr>
                <a:solidFill>
                  <a:srgbClr val="FF0000"/>
                </a:solidFill>
              </a:defRPr>
            </a:pPr>
            <a:endParaRPr lang="en-US">
              <a:solidFill>
                <a:srgbClr val="FF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endParaRPr lang="es-CO"/>
        </a:p>
      </c:txPr>
    </c:title>
    <c:autoTitleDeleted val="0"/>
    <c:plotArea>
      <c:layout>
        <c:manualLayout>
          <c:layoutTarget val="inner"/>
          <c:xMode val="edge"/>
          <c:yMode val="edge"/>
          <c:x val="0.26268439827067541"/>
          <c:y val="0.16557781031139951"/>
          <c:w val="0.72729472490260216"/>
          <c:h val="0.72679096268745302"/>
        </c:manualLayout>
      </c:layout>
      <c:barChart>
        <c:barDir val="col"/>
        <c:grouping val="clustered"/>
        <c:varyColors val="0"/>
        <c:ser>
          <c:idx val="0"/>
          <c:order val="0"/>
          <c:tx>
            <c:strRef>
              <c:f>Agricultura!$E$32</c:f>
              <c:strCache>
                <c:ptCount val="1"/>
                <c:pt idx="0">
                  <c:v>NÚMERO DE METAS  PRODUCTO </c:v>
                </c:pt>
              </c:strCache>
            </c:strRef>
          </c:tx>
          <c:spPr>
            <a:solidFill>
              <a:schemeClr val="accent1"/>
            </a:solidFill>
            <a:ln>
              <a:noFill/>
            </a:ln>
            <a:effectLst/>
          </c:spPr>
          <c:invertIfNegative val="0"/>
          <c:cat>
            <c:strRef>
              <c:f>Agricultura!$D$33:$D$36</c:f>
              <c:strCache>
                <c:ptCount val="4"/>
                <c:pt idx="0">
                  <c:v>S. VERDE ( 80%-100%) </c:v>
                </c:pt>
                <c:pt idx="1">
                  <c:v>S. AMARILLO (49%-79%)</c:v>
                </c:pt>
                <c:pt idx="2">
                  <c:v>S. ROJO ( 0-49%)</c:v>
                </c:pt>
                <c:pt idx="3">
                  <c:v>TOTAL </c:v>
                </c:pt>
              </c:strCache>
            </c:strRef>
          </c:cat>
          <c:val>
            <c:numRef>
              <c:f>Agricultura!$E$33:$E$36</c:f>
              <c:numCache>
                <c:formatCode>General</c:formatCode>
                <c:ptCount val="4"/>
                <c:pt idx="0">
                  <c:v>2</c:v>
                </c:pt>
                <c:pt idx="1">
                  <c:v>1</c:v>
                </c:pt>
                <c:pt idx="2">
                  <c:v>26</c:v>
                </c:pt>
                <c:pt idx="3">
                  <c:v>29</c:v>
                </c:pt>
              </c:numCache>
            </c:numRef>
          </c:val>
          <c:extLst xmlns:c16r2="http://schemas.microsoft.com/office/drawing/2015/06/chart">
            <c:ext xmlns:c16="http://schemas.microsoft.com/office/drawing/2014/chart" uri="{C3380CC4-5D6E-409C-BE32-E72D297353CC}">
              <c16:uniqueId val="{00000000-1C1F-4AA2-9DC6-B9FEE38A4081}"/>
            </c:ext>
          </c:extLst>
        </c:ser>
        <c:ser>
          <c:idx val="1"/>
          <c:order val="1"/>
          <c:tx>
            <c:strRef>
              <c:f>Agricultura!$F$32</c:f>
              <c:strCache>
                <c:ptCount val="1"/>
                <c:pt idx="0">
                  <c:v>%</c:v>
                </c:pt>
              </c:strCache>
            </c:strRef>
          </c:tx>
          <c:spPr>
            <a:solidFill>
              <a:schemeClr val="accent2"/>
            </a:solidFill>
            <a:ln>
              <a:noFill/>
            </a:ln>
            <a:effectLst/>
          </c:spPr>
          <c:invertIfNegative val="0"/>
          <c:cat>
            <c:strRef>
              <c:f>Agricultura!$D$33:$D$36</c:f>
              <c:strCache>
                <c:ptCount val="4"/>
                <c:pt idx="0">
                  <c:v>S. VERDE ( 80%-100%) </c:v>
                </c:pt>
                <c:pt idx="1">
                  <c:v>S. AMARILLO (49%-79%)</c:v>
                </c:pt>
                <c:pt idx="2">
                  <c:v>S. ROJO ( 0-49%)</c:v>
                </c:pt>
                <c:pt idx="3">
                  <c:v>TOTAL </c:v>
                </c:pt>
              </c:strCache>
            </c:strRef>
          </c:cat>
          <c:val>
            <c:numRef>
              <c:f>Agricultura!$F$33:$F$36</c:f>
              <c:numCache>
                <c:formatCode>0.00</c:formatCode>
                <c:ptCount val="4"/>
                <c:pt idx="0">
                  <c:v>6.8965517241379306</c:v>
                </c:pt>
                <c:pt idx="1">
                  <c:v>3.4482758620689653</c:v>
                </c:pt>
                <c:pt idx="2">
                  <c:v>89.65517241379311</c:v>
                </c:pt>
                <c:pt idx="3">
                  <c:v>100</c:v>
                </c:pt>
              </c:numCache>
            </c:numRef>
          </c:val>
          <c:extLst xmlns:c16r2="http://schemas.microsoft.com/office/drawing/2015/06/chart">
            <c:ext xmlns:c16="http://schemas.microsoft.com/office/drawing/2014/chart" uri="{C3380CC4-5D6E-409C-BE32-E72D297353CC}">
              <c16:uniqueId val="{00000001-1C1F-4AA2-9DC6-B9FEE38A4081}"/>
            </c:ext>
          </c:extLst>
        </c:ser>
        <c:dLbls>
          <c:showLegendKey val="0"/>
          <c:showVal val="0"/>
          <c:showCatName val="0"/>
          <c:showSerName val="0"/>
          <c:showPercent val="0"/>
          <c:showBubbleSize val="0"/>
        </c:dLbls>
        <c:gapWidth val="219"/>
        <c:overlap val="-27"/>
        <c:axId val="168902576"/>
        <c:axId val="168903136"/>
      </c:barChart>
      <c:catAx>
        <c:axId val="168902576"/>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8903136"/>
        <c:crosses val="autoZero"/>
        <c:auto val="1"/>
        <c:lblAlgn val="ctr"/>
        <c:lblOffset val="100"/>
        <c:noMultiLvlLbl val="0"/>
      </c:catAx>
      <c:valAx>
        <c:axId val="168903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r>
                  <a:rPr lang="en-US">
                    <a:solidFill>
                      <a:srgbClr val="FF0000"/>
                    </a:solidFill>
                  </a:rPr>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89025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r>
              <a:rPr lang="en-US">
                <a:solidFill>
                  <a:srgbClr val="FF0000"/>
                </a:solidFill>
              </a:rPr>
              <a:t>ESTADO DE EJECUCIÓN METAS PRODUCTO PLAN DE DESARROLLO  SECRETARIA DE FAMILIA CON CORTE AL 30 DE SEPTIEMBRE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endParaRPr lang="es-CO"/>
        </a:p>
      </c:txPr>
    </c:title>
    <c:autoTitleDeleted val="0"/>
    <c:plotArea>
      <c:layout/>
      <c:barChart>
        <c:barDir val="col"/>
        <c:grouping val="clustered"/>
        <c:varyColors val="0"/>
        <c:ser>
          <c:idx val="0"/>
          <c:order val="0"/>
          <c:tx>
            <c:strRef>
              <c:f>Familia!$E$33</c:f>
              <c:strCache>
                <c:ptCount val="1"/>
                <c:pt idx="0">
                  <c:v>NÚMERO DE METAS  PRODUCTO </c:v>
                </c:pt>
              </c:strCache>
            </c:strRef>
          </c:tx>
          <c:spPr>
            <a:solidFill>
              <a:schemeClr val="accent1"/>
            </a:solidFill>
            <a:ln>
              <a:noFill/>
            </a:ln>
            <a:effectLst/>
          </c:spPr>
          <c:invertIfNegative val="0"/>
          <c:cat>
            <c:strRef>
              <c:f>Familia!$D$34:$D$37</c:f>
              <c:strCache>
                <c:ptCount val="4"/>
                <c:pt idx="0">
                  <c:v>S. VERDE ( 80%-100%) </c:v>
                </c:pt>
                <c:pt idx="1">
                  <c:v>S. AMARILLO (49%-79%)</c:v>
                </c:pt>
                <c:pt idx="2">
                  <c:v>S. ROJO ( 0-49%)</c:v>
                </c:pt>
                <c:pt idx="3">
                  <c:v>TOTAL </c:v>
                </c:pt>
              </c:strCache>
            </c:strRef>
          </c:cat>
          <c:val>
            <c:numRef>
              <c:f>Familia!$E$34:$E$37</c:f>
              <c:numCache>
                <c:formatCode>General</c:formatCode>
                <c:ptCount val="4"/>
                <c:pt idx="0">
                  <c:v>0</c:v>
                </c:pt>
                <c:pt idx="1">
                  <c:v>1</c:v>
                </c:pt>
                <c:pt idx="2">
                  <c:v>18</c:v>
                </c:pt>
                <c:pt idx="3">
                  <c:v>19</c:v>
                </c:pt>
              </c:numCache>
            </c:numRef>
          </c:val>
          <c:extLst xmlns:c16r2="http://schemas.microsoft.com/office/drawing/2015/06/chart">
            <c:ext xmlns:c16="http://schemas.microsoft.com/office/drawing/2014/chart" uri="{C3380CC4-5D6E-409C-BE32-E72D297353CC}">
              <c16:uniqueId val="{00000000-1801-40AD-9D3D-FAADD0E56724}"/>
            </c:ext>
          </c:extLst>
        </c:ser>
        <c:ser>
          <c:idx val="1"/>
          <c:order val="1"/>
          <c:tx>
            <c:strRef>
              <c:f>Familia!$F$33</c:f>
              <c:strCache>
                <c:ptCount val="1"/>
                <c:pt idx="0">
                  <c:v>%</c:v>
                </c:pt>
              </c:strCache>
            </c:strRef>
          </c:tx>
          <c:spPr>
            <a:solidFill>
              <a:schemeClr val="accent2"/>
            </a:solidFill>
            <a:ln>
              <a:noFill/>
            </a:ln>
            <a:effectLst/>
          </c:spPr>
          <c:invertIfNegative val="0"/>
          <c:cat>
            <c:strRef>
              <c:f>Familia!$D$34:$D$37</c:f>
              <c:strCache>
                <c:ptCount val="4"/>
                <c:pt idx="0">
                  <c:v>S. VERDE ( 80%-100%) </c:v>
                </c:pt>
                <c:pt idx="1">
                  <c:v>S. AMARILLO (49%-79%)</c:v>
                </c:pt>
                <c:pt idx="2">
                  <c:v>S. ROJO ( 0-49%)</c:v>
                </c:pt>
                <c:pt idx="3">
                  <c:v>TOTAL </c:v>
                </c:pt>
              </c:strCache>
            </c:strRef>
          </c:cat>
          <c:val>
            <c:numRef>
              <c:f>Familia!$F$34:$F$37</c:f>
              <c:numCache>
                <c:formatCode>0.00</c:formatCode>
                <c:ptCount val="4"/>
                <c:pt idx="0" formatCode="General">
                  <c:v>0</c:v>
                </c:pt>
                <c:pt idx="1">
                  <c:v>5.2631578947368416</c:v>
                </c:pt>
                <c:pt idx="2">
                  <c:v>94.73684210526315</c:v>
                </c:pt>
                <c:pt idx="3" formatCode="General">
                  <c:v>100</c:v>
                </c:pt>
              </c:numCache>
            </c:numRef>
          </c:val>
          <c:extLst xmlns:c16r2="http://schemas.microsoft.com/office/drawing/2015/06/chart">
            <c:ext xmlns:c16="http://schemas.microsoft.com/office/drawing/2014/chart" uri="{C3380CC4-5D6E-409C-BE32-E72D297353CC}">
              <c16:uniqueId val="{00000001-1801-40AD-9D3D-FAADD0E56724}"/>
            </c:ext>
          </c:extLst>
        </c:ser>
        <c:dLbls>
          <c:showLegendKey val="0"/>
          <c:showVal val="0"/>
          <c:showCatName val="0"/>
          <c:showSerName val="0"/>
          <c:showPercent val="0"/>
          <c:showBubbleSize val="0"/>
        </c:dLbls>
        <c:gapWidth val="219"/>
        <c:overlap val="-27"/>
        <c:axId val="168907056"/>
        <c:axId val="168907616"/>
      </c:barChart>
      <c:catAx>
        <c:axId val="168907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8907616"/>
        <c:crosses val="autoZero"/>
        <c:auto val="1"/>
        <c:lblAlgn val="ctr"/>
        <c:lblOffset val="100"/>
        <c:noMultiLvlLbl val="0"/>
      </c:catAx>
      <c:valAx>
        <c:axId val="16890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r>
                  <a:rPr lang="en-US">
                    <a:solidFill>
                      <a:srgbClr val="FF0000"/>
                    </a:solidFill>
                  </a:rPr>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89070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r>
              <a:rPr lang="en-US">
                <a:solidFill>
                  <a:srgbClr val="FF0000"/>
                </a:solidFill>
              </a:rPr>
              <a:t>ESTADO DE EJECUCIÓN METAS PRODUCTO  SECRETARIA DE TURÍSMO, INDUSTRIA Y COMERCIO  CON CORTE AL 30 DE SEPTIEMBRE DE 2016</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endParaRPr lang="es-CO"/>
        </a:p>
      </c:txPr>
    </c:title>
    <c:autoTitleDeleted val="0"/>
    <c:plotArea>
      <c:layout/>
      <c:barChart>
        <c:barDir val="col"/>
        <c:grouping val="clustered"/>
        <c:varyColors val="0"/>
        <c:ser>
          <c:idx val="0"/>
          <c:order val="0"/>
          <c:tx>
            <c:strRef>
              <c:f>Turismo!$F$30</c:f>
              <c:strCache>
                <c:ptCount val="1"/>
                <c:pt idx="0">
                  <c:v>NÚMERO DE METAS  PRODUCTO </c:v>
                </c:pt>
              </c:strCache>
            </c:strRef>
          </c:tx>
          <c:spPr>
            <a:solidFill>
              <a:schemeClr val="accent1"/>
            </a:solidFill>
            <a:ln>
              <a:noFill/>
            </a:ln>
            <a:effectLst/>
          </c:spPr>
          <c:invertIfNegative val="0"/>
          <c:cat>
            <c:strRef>
              <c:f>Turismo!$E$31:$E$34</c:f>
              <c:strCache>
                <c:ptCount val="4"/>
                <c:pt idx="0">
                  <c:v>S. VERDE ( 80%-100%) </c:v>
                </c:pt>
                <c:pt idx="1">
                  <c:v>S. AMARILLO (49%-79%)</c:v>
                </c:pt>
                <c:pt idx="2">
                  <c:v>S. ROJO ( 0-49%)</c:v>
                </c:pt>
                <c:pt idx="3">
                  <c:v>TOTAL </c:v>
                </c:pt>
              </c:strCache>
            </c:strRef>
          </c:cat>
          <c:val>
            <c:numRef>
              <c:f>Turismo!$F$31:$F$34</c:f>
              <c:numCache>
                <c:formatCode>General</c:formatCode>
                <c:ptCount val="4"/>
                <c:pt idx="0">
                  <c:v>0</c:v>
                </c:pt>
                <c:pt idx="1">
                  <c:v>0</c:v>
                </c:pt>
                <c:pt idx="2">
                  <c:v>15</c:v>
                </c:pt>
                <c:pt idx="3">
                  <c:v>15</c:v>
                </c:pt>
              </c:numCache>
            </c:numRef>
          </c:val>
          <c:extLst xmlns:c16r2="http://schemas.microsoft.com/office/drawing/2015/06/chart">
            <c:ext xmlns:c16="http://schemas.microsoft.com/office/drawing/2014/chart" uri="{C3380CC4-5D6E-409C-BE32-E72D297353CC}">
              <c16:uniqueId val="{00000000-FE85-4057-ACC1-5BABD31E34DE}"/>
            </c:ext>
          </c:extLst>
        </c:ser>
        <c:ser>
          <c:idx val="1"/>
          <c:order val="1"/>
          <c:tx>
            <c:strRef>
              <c:f>Turismo!$G$30</c:f>
              <c:strCache>
                <c:ptCount val="1"/>
                <c:pt idx="0">
                  <c:v>%</c:v>
                </c:pt>
              </c:strCache>
            </c:strRef>
          </c:tx>
          <c:spPr>
            <a:solidFill>
              <a:schemeClr val="accent2"/>
            </a:solidFill>
            <a:ln>
              <a:noFill/>
            </a:ln>
            <a:effectLst/>
          </c:spPr>
          <c:invertIfNegative val="0"/>
          <c:cat>
            <c:strRef>
              <c:f>Turismo!$E$31:$E$34</c:f>
              <c:strCache>
                <c:ptCount val="4"/>
                <c:pt idx="0">
                  <c:v>S. VERDE ( 80%-100%) </c:v>
                </c:pt>
                <c:pt idx="1">
                  <c:v>S. AMARILLO (49%-79%)</c:v>
                </c:pt>
                <c:pt idx="2">
                  <c:v>S. ROJO ( 0-49%)</c:v>
                </c:pt>
                <c:pt idx="3">
                  <c:v>TOTAL </c:v>
                </c:pt>
              </c:strCache>
            </c:strRef>
          </c:cat>
          <c:val>
            <c:numRef>
              <c:f>Turismo!$G$31:$G$34</c:f>
              <c:numCache>
                <c:formatCode>General</c:formatCode>
                <c:ptCount val="4"/>
                <c:pt idx="0">
                  <c:v>0</c:v>
                </c:pt>
                <c:pt idx="1">
                  <c:v>0</c:v>
                </c:pt>
                <c:pt idx="2">
                  <c:v>100</c:v>
                </c:pt>
                <c:pt idx="3">
                  <c:v>100</c:v>
                </c:pt>
              </c:numCache>
            </c:numRef>
          </c:val>
          <c:extLst xmlns:c16r2="http://schemas.microsoft.com/office/drawing/2015/06/chart">
            <c:ext xmlns:c16="http://schemas.microsoft.com/office/drawing/2014/chart" uri="{C3380CC4-5D6E-409C-BE32-E72D297353CC}">
              <c16:uniqueId val="{00000001-FE85-4057-ACC1-5BABD31E34DE}"/>
            </c:ext>
          </c:extLst>
        </c:ser>
        <c:dLbls>
          <c:showLegendKey val="0"/>
          <c:showVal val="0"/>
          <c:showCatName val="0"/>
          <c:showSerName val="0"/>
          <c:showPercent val="0"/>
          <c:showBubbleSize val="0"/>
        </c:dLbls>
        <c:gapWidth val="219"/>
        <c:overlap val="-27"/>
        <c:axId val="169323552"/>
        <c:axId val="169324112"/>
      </c:barChart>
      <c:catAx>
        <c:axId val="169323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9324112"/>
        <c:crosses val="autoZero"/>
        <c:auto val="1"/>
        <c:lblAlgn val="ctr"/>
        <c:lblOffset val="100"/>
        <c:noMultiLvlLbl val="0"/>
      </c:catAx>
      <c:valAx>
        <c:axId val="169324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FF0000"/>
                    </a:solidFill>
                  </a:rPr>
                  <a:t>PORCENTAJE</a:t>
                </a:r>
                <a:r>
                  <a:rPr lang="en-US"/>
                  <a:t>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93235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FF0000"/>
                </a:solidFill>
                <a:latin typeface="+mn-lt"/>
                <a:ea typeface="+mn-ea"/>
                <a:cs typeface="+mn-cs"/>
              </a:defRPr>
            </a:pPr>
            <a:r>
              <a:rPr lang="en-US" b="1">
                <a:solidFill>
                  <a:srgbClr val="FF0000"/>
                </a:solidFill>
              </a:rPr>
              <a:t>ESTADO DE EJECUCIÓN METAS PLAN DE DESARROLLO                                SECRETARIA DE HACIENDA CON CORTE AL 30 DE SEPTIEMBRE DE 2016</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FF0000"/>
              </a:solidFill>
              <a:latin typeface="+mn-lt"/>
              <a:ea typeface="+mn-ea"/>
              <a:cs typeface="+mn-cs"/>
            </a:defRPr>
          </a:pPr>
          <a:endParaRPr lang="es-CO"/>
        </a:p>
      </c:txPr>
    </c:title>
    <c:autoTitleDeleted val="0"/>
    <c:plotArea>
      <c:layout/>
      <c:barChart>
        <c:barDir val="col"/>
        <c:grouping val="clustered"/>
        <c:varyColors val="0"/>
        <c:ser>
          <c:idx val="0"/>
          <c:order val="0"/>
          <c:tx>
            <c:strRef>
              <c:f>Hacienda!$E$14</c:f>
              <c:strCache>
                <c:ptCount val="1"/>
                <c:pt idx="0">
                  <c:v>NÚMERO DE METAS  PRODUCTO </c:v>
                </c:pt>
              </c:strCache>
            </c:strRef>
          </c:tx>
          <c:spPr>
            <a:solidFill>
              <a:schemeClr val="accent1"/>
            </a:solidFill>
            <a:ln>
              <a:noFill/>
            </a:ln>
            <a:effectLst/>
          </c:spPr>
          <c:invertIfNegative val="0"/>
          <c:cat>
            <c:strRef>
              <c:f>Hacienda!$D$15:$D$18</c:f>
              <c:strCache>
                <c:ptCount val="4"/>
                <c:pt idx="0">
                  <c:v>S. VERDE ( 80%-100%) </c:v>
                </c:pt>
                <c:pt idx="1">
                  <c:v>S. AMARILLO (49%-79%)</c:v>
                </c:pt>
                <c:pt idx="2">
                  <c:v>S. ROJO ( 0-49%)</c:v>
                </c:pt>
                <c:pt idx="3">
                  <c:v>TOTAL </c:v>
                </c:pt>
              </c:strCache>
            </c:strRef>
          </c:cat>
          <c:val>
            <c:numRef>
              <c:f>Hacienda!$E$15:$E$18</c:f>
              <c:numCache>
                <c:formatCode>0.00</c:formatCode>
                <c:ptCount val="4"/>
                <c:pt idx="0" formatCode="General">
                  <c:v>0</c:v>
                </c:pt>
                <c:pt idx="1">
                  <c:v>1</c:v>
                </c:pt>
                <c:pt idx="2">
                  <c:v>4</c:v>
                </c:pt>
                <c:pt idx="3" formatCode="General">
                  <c:v>5</c:v>
                </c:pt>
              </c:numCache>
            </c:numRef>
          </c:val>
          <c:extLst xmlns:c16r2="http://schemas.microsoft.com/office/drawing/2015/06/chart">
            <c:ext xmlns:c16="http://schemas.microsoft.com/office/drawing/2014/chart" uri="{C3380CC4-5D6E-409C-BE32-E72D297353CC}">
              <c16:uniqueId val="{00000000-826A-4CA4-AA75-52ABB6707B61}"/>
            </c:ext>
          </c:extLst>
        </c:ser>
        <c:ser>
          <c:idx val="1"/>
          <c:order val="1"/>
          <c:tx>
            <c:strRef>
              <c:f>Hacienda!$F$14</c:f>
              <c:strCache>
                <c:ptCount val="1"/>
                <c:pt idx="0">
                  <c:v>%</c:v>
                </c:pt>
              </c:strCache>
            </c:strRef>
          </c:tx>
          <c:spPr>
            <a:solidFill>
              <a:schemeClr val="accent2"/>
            </a:solidFill>
            <a:ln>
              <a:noFill/>
            </a:ln>
            <a:effectLst/>
          </c:spPr>
          <c:invertIfNegative val="0"/>
          <c:cat>
            <c:strRef>
              <c:f>Hacienda!$D$15:$D$18</c:f>
              <c:strCache>
                <c:ptCount val="4"/>
                <c:pt idx="0">
                  <c:v>S. VERDE ( 80%-100%) </c:v>
                </c:pt>
                <c:pt idx="1">
                  <c:v>S. AMARILLO (49%-79%)</c:v>
                </c:pt>
                <c:pt idx="2">
                  <c:v>S. ROJO ( 0-49%)</c:v>
                </c:pt>
                <c:pt idx="3">
                  <c:v>TOTAL </c:v>
                </c:pt>
              </c:strCache>
            </c:strRef>
          </c:cat>
          <c:val>
            <c:numRef>
              <c:f>Hacienda!$F$15:$F$18</c:f>
              <c:numCache>
                <c:formatCode>General</c:formatCode>
                <c:ptCount val="4"/>
                <c:pt idx="0">
                  <c:v>0</c:v>
                </c:pt>
                <c:pt idx="1">
                  <c:v>20</c:v>
                </c:pt>
                <c:pt idx="2">
                  <c:v>80</c:v>
                </c:pt>
                <c:pt idx="3">
                  <c:v>100</c:v>
                </c:pt>
              </c:numCache>
            </c:numRef>
          </c:val>
          <c:extLst xmlns:c16r2="http://schemas.microsoft.com/office/drawing/2015/06/chart">
            <c:ext xmlns:c16="http://schemas.microsoft.com/office/drawing/2014/chart" uri="{C3380CC4-5D6E-409C-BE32-E72D297353CC}">
              <c16:uniqueId val="{00000001-826A-4CA4-AA75-52ABB6707B61}"/>
            </c:ext>
          </c:extLst>
        </c:ser>
        <c:dLbls>
          <c:showLegendKey val="0"/>
          <c:showVal val="0"/>
          <c:showCatName val="0"/>
          <c:showSerName val="0"/>
          <c:showPercent val="0"/>
          <c:showBubbleSize val="0"/>
        </c:dLbls>
        <c:gapWidth val="219"/>
        <c:overlap val="-27"/>
        <c:axId val="169328032"/>
        <c:axId val="169591760"/>
      </c:barChart>
      <c:catAx>
        <c:axId val="16932803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9591760"/>
        <c:crosses val="autoZero"/>
        <c:auto val="1"/>
        <c:lblAlgn val="ctr"/>
        <c:lblOffset val="100"/>
        <c:noMultiLvlLbl val="0"/>
      </c:catAx>
      <c:valAx>
        <c:axId val="169591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r>
                  <a:rPr lang="en-US">
                    <a:solidFill>
                      <a:srgbClr val="FF0000"/>
                    </a:solidFill>
                  </a:rPr>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93280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FF0000"/>
                </a:solidFill>
                <a:latin typeface="+mn-lt"/>
                <a:ea typeface="+mn-ea"/>
                <a:cs typeface="+mn-cs"/>
              </a:defRPr>
            </a:pPr>
            <a:r>
              <a:rPr lang="en-US" b="1">
                <a:solidFill>
                  <a:srgbClr val="FF0000"/>
                </a:solidFill>
              </a:rPr>
              <a:t>ESTADO DE EJECUCIÓN METAS PRODUCTO                                                                         PLAN DE DESARROLLO" EN DEFENSA DEL BIEN COMÚN"  SECRETARIA ADMINISTRATIVA   A SEPTIEMBRE 30 DE 2016 </a:t>
            </a:r>
          </a:p>
        </c:rich>
      </c:tx>
      <c:layout>
        <c:manualLayout>
          <c:xMode val="edge"/>
          <c:yMode val="edge"/>
          <c:x val="0.16284649567318937"/>
          <c:y val="2.702702702702702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rgbClr val="FF0000"/>
              </a:solidFill>
              <a:latin typeface="+mn-lt"/>
              <a:ea typeface="+mn-ea"/>
              <a:cs typeface="+mn-cs"/>
            </a:defRPr>
          </a:pPr>
          <a:endParaRPr lang="es-CO"/>
        </a:p>
      </c:txPr>
    </c:title>
    <c:autoTitleDeleted val="0"/>
    <c:plotArea>
      <c:layout/>
      <c:barChart>
        <c:barDir val="col"/>
        <c:grouping val="clustered"/>
        <c:varyColors val="0"/>
        <c:ser>
          <c:idx val="0"/>
          <c:order val="0"/>
          <c:tx>
            <c:strRef>
              <c:f>Administrativa!$F$19</c:f>
              <c:strCache>
                <c:ptCount val="1"/>
                <c:pt idx="0">
                  <c:v>S. VERDE ( 80%-100%) </c:v>
                </c:pt>
              </c:strCache>
            </c:strRef>
          </c:tx>
          <c:spPr>
            <a:solidFill>
              <a:schemeClr val="accent1"/>
            </a:solidFill>
            <a:ln>
              <a:noFill/>
            </a:ln>
            <a:effectLst/>
          </c:spPr>
          <c:invertIfNegative val="0"/>
          <c:dPt>
            <c:idx val="1"/>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D-041E-4884-857C-AB9BAD887389}"/>
              </c:ext>
            </c:extLst>
          </c:dPt>
          <c:cat>
            <c:strRef>
              <c:f>Administrativa!$G$18:$J$18</c:f>
              <c:strCache>
                <c:ptCount val="2"/>
                <c:pt idx="0">
                  <c:v>NÚMERO DE METAS  PRODUCTO </c:v>
                </c:pt>
                <c:pt idx="1">
                  <c:v>%</c:v>
                </c:pt>
              </c:strCache>
            </c:strRef>
          </c:cat>
          <c:val>
            <c:numRef>
              <c:f>Administrativa!$G$19:$J$19</c:f>
              <c:numCache>
                <c:formatCode>General</c:formatCode>
                <c:ptCount val="2"/>
                <c:pt idx="0">
                  <c:v>1</c:v>
                </c:pt>
                <c:pt idx="1">
                  <c:v>20</c:v>
                </c:pt>
              </c:numCache>
            </c:numRef>
          </c:val>
          <c:extLst xmlns:c16r2="http://schemas.microsoft.com/office/drawing/2015/06/chart">
            <c:ext xmlns:c16="http://schemas.microsoft.com/office/drawing/2014/chart" uri="{C3380CC4-5D6E-409C-BE32-E72D297353CC}">
              <c16:uniqueId val="{00000000-041E-4884-857C-AB9BAD887389}"/>
            </c:ext>
          </c:extLst>
        </c:ser>
        <c:ser>
          <c:idx val="1"/>
          <c:order val="1"/>
          <c:tx>
            <c:strRef>
              <c:f>Administrativa!$F$20</c:f>
              <c:strCache>
                <c:ptCount val="1"/>
                <c:pt idx="0">
                  <c:v>S. AMARILLO (49%-79%)</c:v>
                </c:pt>
              </c:strCache>
            </c:strRef>
          </c:tx>
          <c:spPr>
            <a:solidFill>
              <a:schemeClr val="accent2"/>
            </a:solidFill>
            <a:ln>
              <a:noFill/>
            </a:ln>
            <a:effectLst/>
          </c:spPr>
          <c:invertIfNegative val="0"/>
          <c:cat>
            <c:strRef>
              <c:f>Administrativa!$G$18:$J$18</c:f>
              <c:strCache>
                <c:ptCount val="2"/>
                <c:pt idx="0">
                  <c:v>NÚMERO DE METAS  PRODUCTO </c:v>
                </c:pt>
                <c:pt idx="1">
                  <c:v>%</c:v>
                </c:pt>
              </c:strCache>
            </c:strRef>
          </c:cat>
          <c:val>
            <c:numRef>
              <c:f>Administrativa!$G$20:$J$20</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1-041E-4884-857C-AB9BAD887389}"/>
            </c:ext>
          </c:extLst>
        </c:ser>
        <c:ser>
          <c:idx val="2"/>
          <c:order val="2"/>
          <c:tx>
            <c:strRef>
              <c:f>Administrativa!$F$21</c:f>
              <c:strCache>
                <c:ptCount val="1"/>
                <c:pt idx="0">
                  <c:v>S. ROJO ( 0-49%)</c:v>
                </c:pt>
              </c:strCache>
            </c:strRef>
          </c:tx>
          <c:spPr>
            <a:solidFill>
              <a:schemeClr val="accent3"/>
            </a:solidFill>
            <a:ln>
              <a:noFill/>
            </a:ln>
            <a:effectLst/>
          </c:spPr>
          <c:invertIfNegative val="0"/>
          <c:cat>
            <c:strRef>
              <c:f>Administrativa!$G$18:$J$18</c:f>
              <c:strCache>
                <c:ptCount val="2"/>
                <c:pt idx="0">
                  <c:v>NÚMERO DE METAS  PRODUCTO </c:v>
                </c:pt>
                <c:pt idx="1">
                  <c:v>%</c:v>
                </c:pt>
              </c:strCache>
            </c:strRef>
          </c:cat>
          <c:val>
            <c:numRef>
              <c:f>Administrativa!$G$21:$J$21</c:f>
              <c:numCache>
                <c:formatCode>General</c:formatCode>
                <c:ptCount val="2"/>
                <c:pt idx="0">
                  <c:v>4</c:v>
                </c:pt>
                <c:pt idx="1">
                  <c:v>80</c:v>
                </c:pt>
              </c:numCache>
            </c:numRef>
          </c:val>
          <c:extLst xmlns:c16r2="http://schemas.microsoft.com/office/drawing/2015/06/chart">
            <c:ext xmlns:c16="http://schemas.microsoft.com/office/drawing/2014/chart" uri="{C3380CC4-5D6E-409C-BE32-E72D297353CC}">
              <c16:uniqueId val="{00000002-041E-4884-857C-AB9BAD887389}"/>
            </c:ext>
          </c:extLst>
        </c:ser>
        <c:ser>
          <c:idx val="3"/>
          <c:order val="3"/>
          <c:tx>
            <c:strRef>
              <c:f>Administrativa!$F$22</c:f>
              <c:strCache>
                <c:ptCount val="1"/>
                <c:pt idx="0">
                  <c:v>TOTAL </c:v>
                </c:pt>
              </c:strCache>
            </c:strRef>
          </c:tx>
          <c:spPr>
            <a:solidFill>
              <a:srgbClr val="FFFF00"/>
            </a:solidFill>
            <a:ln>
              <a:noFill/>
            </a:ln>
            <a:effectLst/>
          </c:spPr>
          <c:invertIfNegative val="0"/>
          <c:dPt>
            <c:idx val="1"/>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E-041E-4884-857C-AB9BAD887389}"/>
              </c:ext>
            </c:extLst>
          </c:dPt>
          <c:cat>
            <c:strRef>
              <c:f>Administrativa!$G$18:$J$18</c:f>
              <c:strCache>
                <c:ptCount val="2"/>
                <c:pt idx="0">
                  <c:v>NÚMERO DE METAS  PRODUCTO </c:v>
                </c:pt>
                <c:pt idx="1">
                  <c:v>%</c:v>
                </c:pt>
              </c:strCache>
            </c:strRef>
          </c:cat>
          <c:val>
            <c:numRef>
              <c:f>Administrativa!$G$22:$J$22</c:f>
              <c:numCache>
                <c:formatCode>General</c:formatCode>
                <c:ptCount val="2"/>
                <c:pt idx="0">
                  <c:v>5</c:v>
                </c:pt>
                <c:pt idx="1">
                  <c:v>100</c:v>
                </c:pt>
              </c:numCache>
            </c:numRef>
          </c:val>
          <c:extLst xmlns:c16r2="http://schemas.microsoft.com/office/drawing/2015/06/chart">
            <c:ext xmlns:c16="http://schemas.microsoft.com/office/drawing/2014/chart" uri="{C3380CC4-5D6E-409C-BE32-E72D297353CC}">
              <c16:uniqueId val="{00000003-041E-4884-857C-AB9BAD887389}"/>
            </c:ext>
          </c:extLst>
        </c:ser>
        <c:dLbls>
          <c:showLegendKey val="0"/>
          <c:showVal val="0"/>
          <c:showCatName val="0"/>
          <c:showSerName val="0"/>
          <c:showPercent val="0"/>
          <c:showBubbleSize val="0"/>
        </c:dLbls>
        <c:gapWidth val="219"/>
        <c:overlap val="-27"/>
        <c:axId val="169597360"/>
        <c:axId val="169597920"/>
      </c:barChart>
      <c:catAx>
        <c:axId val="16959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9597920"/>
        <c:crosses val="autoZero"/>
        <c:auto val="1"/>
        <c:lblAlgn val="ctr"/>
        <c:lblOffset val="100"/>
        <c:noMultiLvlLbl val="0"/>
      </c:catAx>
      <c:valAx>
        <c:axId val="169597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r>
                  <a:rPr lang="en-US">
                    <a:solidFill>
                      <a:srgbClr val="FF0000"/>
                    </a:solidFill>
                  </a:rPr>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95973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FF0000"/>
                </a:solidFill>
                <a:latin typeface="+mn-lt"/>
                <a:ea typeface="+mn-ea"/>
                <a:cs typeface="+mn-cs"/>
              </a:defRPr>
            </a:pPr>
            <a:r>
              <a:rPr lang="en-US" b="1">
                <a:solidFill>
                  <a:srgbClr val="FF0000"/>
                </a:solidFill>
              </a:rPr>
              <a:t>ESTADO DE EJECUCIÓN METAS PRODUCTO </a:t>
            </a:r>
          </a:p>
          <a:p>
            <a:pPr>
              <a:defRPr b="1">
                <a:solidFill>
                  <a:srgbClr val="FF0000"/>
                </a:solidFill>
              </a:defRPr>
            </a:pPr>
            <a:r>
              <a:rPr lang="en-US" b="1">
                <a:solidFill>
                  <a:srgbClr val="FF0000"/>
                </a:solidFill>
              </a:rPr>
              <a:t>SECRETARÍA DE PLANEACIÓN   </a:t>
            </a:r>
          </a:p>
          <a:p>
            <a:pPr>
              <a:defRPr b="1">
                <a:solidFill>
                  <a:srgbClr val="FF0000"/>
                </a:solidFill>
              </a:defRPr>
            </a:pPr>
            <a:r>
              <a:rPr lang="en-US" b="1">
                <a:solidFill>
                  <a:srgbClr val="FF0000"/>
                </a:solidFill>
              </a:rPr>
              <a:t>CON CORTE AL 30 DE SEPTIEMBRE DE 2016 </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FF0000"/>
              </a:solidFill>
              <a:latin typeface="+mn-lt"/>
              <a:ea typeface="+mn-ea"/>
              <a:cs typeface="+mn-cs"/>
            </a:defRPr>
          </a:pPr>
          <a:endParaRPr lang="es-CO"/>
        </a:p>
      </c:txPr>
    </c:title>
    <c:autoTitleDeleted val="0"/>
    <c:plotArea>
      <c:layout/>
      <c:barChart>
        <c:barDir val="col"/>
        <c:grouping val="clustered"/>
        <c:varyColors val="0"/>
        <c:ser>
          <c:idx val="0"/>
          <c:order val="0"/>
          <c:tx>
            <c:strRef>
              <c:f>Planeación!$E$34</c:f>
              <c:strCache>
                <c:ptCount val="1"/>
                <c:pt idx="0">
                  <c:v>NÚMERO DE METAS  PRODUCTO </c:v>
                </c:pt>
              </c:strCache>
            </c:strRef>
          </c:tx>
          <c:spPr>
            <a:solidFill>
              <a:schemeClr val="accent1"/>
            </a:solidFill>
            <a:ln>
              <a:noFill/>
            </a:ln>
            <a:effectLst/>
          </c:spPr>
          <c:invertIfNegative val="0"/>
          <c:cat>
            <c:strRef>
              <c:f>Planeación!$D$35:$D$38</c:f>
              <c:strCache>
                <c:ptCount val="4"/>
                <c:pt idx="0">
                  <c:v>S. VERDE ( 80%-100%) </c:v>
                </c:pt>
                <c:pt idx="1">
                  <c:v>S. AMARILLO (49%-79%)</c:v>
                </c:pt>
                <c:pt idx="2">
                  <c:v>S. ROJO ( 0-49%)</c:v>
                </c:pt>
                <c:pt idx="3">
                  <c:v>TOTAL </c:v>
                </c:pt>
              </c:strCache>
            </c:strRef>
          </c:cat>
          <c:val>
            <c:numRef>
              <c:f>Planeación!$E$35:$E$38</c:f>
              <c:numCache>
                <c:formatCode>0.00</c:formatCode>
                <c:ptCount val="4"/>
                <c:pt idx="0" formatCode="General">
                  <c:v>0</c:v>
                </c:pt>
                <c:pt idx="1">
                  <c:v>1</c:v>
                </c:pt>
                <c:pt idx="2">
                  <c:v>21</c:v>
                </c:pt>
                <c:pt idx="3" formatCode="General">
                  <c:v>22</c:v>
                </c:pt>
              </c:numCache>
            </c:numRef>
          </c:val>
          <c:extLst xmlns:c16r2="http://schemas.microsoft.com/office/drawing/2015/06/chart">
            <c:ext xmlns:c16="http://schemas.microsoft.com/office/drawing/2014/chart" uri="{C3380CC4-5D6E-409C-BE32-E72D297353CC}">
              <c16:uniqueId val="{00000000-C0DF-4FDC-9B7F-ED8353EE4096}"/>
            </c:ext>
          </c:extLst>
        </c:ser>
        <c:ser>
          <c:idx val="1"/>
          <c:order val="1"/>
          <c:tx>
            <c:strRef>
              <c:f>Planeación!$F$34</c:f>
              <c:strCache>
                <c:ptCount val="1"/>
                <c:pt idx="0">
                  <c:v>%</c:v>
                </c:pt>
              </c:strCache>
            </c:strRef>
          </c:tx>
          <c:spPr>
            <a:solidFill>
              <a:schemeClr val="accent2"/>
            </a:solidFill>
            <a:ln>
              <a:noFill/>
            </a:ln>
            <a:effectLst/>
          </c:spPr>
          <c:invertIfNegative val="0"/>
          <c:cat>
            <c:strRef>
              <c:f>Planeación!$D$35:$D$38</c:f>
              <c:strCache>
                <c:ptCount val="4"/>
                <c:pt idx="0">
                  <c:v>S. VERDE ( 80%-100%) </c:v>
                </c:pt>
                <c:pt idx="1">
                  <c:v>S. AMARILLO (49%-79%)</c:v>
                </c:pt>
                <c:pt idx="2">
                  <c:v>S. ROJO ( 0-49%)</c:v>
                </c:pt>
                <c:pt idx="3">
                  <c:v>TOTAL </c:v>
                </c:pt>
              </c:strCache>
            </c:strRef>
          </c:cat>
          <c:val>
            <c:numRef>
              <c:f>Planeación!$F$35:$F$38</c:f>
              <c:numCache>
                <c:formatCode>0.00</c:formatCode>
                <c:ptCount val="4"/>
                <c:pt idx="0" formatCode="General">
                  <c:v>0</c:v>
                </c:pt>
                <c:pt idx="1">
                  <c:v>4.5454545454545459</c:v>
                </c:pt>
                <c:pt idx="2">
                  <c:v>95.454545454545453</c:v>
                </c:pt>
                <c:pt idx="3">
                  <c:v>100</c:v>
                </c:pt>
              </c:numCache>
            </c:numRef>
          </c:val>
          <c:extLst xmlns:c16r2="http://schemas.microsoft.com/office/drawing/2015/06/chart">
            <c:ext xmlns:c16="http://schemas.microsoft.com/office/drawing/2014/chart" uri="{C3380CC4-5D6E-409C-BE32-E72D297353CC}">
              <c16:uniqueId val="{00000001-C0DF-4FDC-9B7F-ED8353EE4096}"/>
            </c:ext>
          </c:extLst>
        </c:ser>
        <c:dLbls>
          <c:showLegendKey val="0"/>
          <c:showVal val="0"/>
          <c:showCatName val="0"/>
          <c:showSerName val="0"/>
          <c:showPercent val="0"/>
          <c:showBubbleSize val="0"/>
        </c:dLbls>
        <c:gapWidth val="219"/>
        <c:overlap val="-27"/>
        <c:axId val="103770688"/>
        <c:axId val="103771248"/>
      </c:barChart>
      <c:catAx>
        <c:axId val="10377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3771248"/>
        <c:crosses val="autoZero"/>
        <c:auto val="1"/>
        <c:lblAlgn val="ctr"/>
        <c:lblOffset val="100"/>
        <c:noMultiLvlLbl val="0"/>
      </c:catAx>
      <c:valAx>
        <c:axId val="103771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r>
                  <a:rPr lang="en-US">
                    <a:solidFill>
                      <a:srgbClr val="FF0000"/>
                    </a:solidFill>
                  </a:rPr>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3770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r>
              <a:rPr lang="en-US">
                <a:solidFill>
                  <a:srgbClr val="FF0000"/>
                </a:solidFill>
              </a:rPr>
              <a:t>ESTADO DE EJECUCIÓN METAS PRODUCTO SECRETARIA PRIVADA                                           CON CORTE A SEPTIEMBRE 30 DE 2016</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endParaRPr lang="es-CO"/>
        </a:p>
      </c:txPr>
    </c:title>
    <c:autoTitleDeleted val="0"/>
    <c:plotArea>
      <c:layout/>
      <c:barChart>
        <c:barDir val="col"/>
        <c:grouping val="clustered"/>
        <c:varyColors val="0"/>
        <c:ser>
          <c:idx val="0"/>
          <c:order val="0"/>
          <c:tx>
            <c:strRef>
              <c:f>Privada!$E$14</c:f>
              <c:strCache>
                <c:ptCount val="1"/>
                <c:pt idx="0">
                  <c:v>NÚMERO DE METAS  PRODUCTO </c:v>
                </c:pt>
              </c:strCache>
            </c:strRef>
          </c:tx>
          <c:spPr>
            <a:solidFill>
              <a:schemeClr val="accent1"/>
            </a:solidFill>
            <a:ln>
              <a:noFill/>
            </a:ln>
            <a:effectLst/>
          </c:spPr>
          <c:invertIfNegative val="0"/>
          <c:cat>
            <c:strRef>
              <c:f>Privada!$D$15:$D$18</c:f>
              <c:strCache>
                <c:ptCount val="4"/>
                <c:pt idx="0">
                  <c:v>S. VERDE ( 80%-100%) </c:v>
                </c:pt>
                <c:pt idx="1">
                  <c:v>S. AMARILLO (49%-79%)</c:v>
                </c:pt>
                <c:pt idx="2">
                  <c:v>S. ROJO ( 0-49%)</c:v>
                </c:pt>
                <c:pt idx="3">
                  <c:v>TOTAL </c:v>
                </c:pt>
              </c:strCache>
            </c:strRef>
          </c:cat>
          <c:val>
            <c:numRef>
              <c:f>Privada!$E$15:$E$18</c:f>
              <c:numCache>
                <c:formatCode>General</c:formatCode>
                <c:ptCount val="4"/>
                <c:pt idx="0">
                  <c:v>0</c:v>
                </c:pt>
                <c:pt idx="1">
                  <c:v>0</c:v>
                </c:pt>
                <c:pt idx="2">
                  <c:v>2</c:v>
                </c:pt>
                <c:pt idx="3">
                  <c:v>2</c:v>
                </c:pt>
              </c:numCache>
            </c:numRef>
          </c:val>
          <c:extLst xmlns:c16r2="http://schemas.microsoft.com/office/drawing/2015/06/chart">
            <c:ext xmlns:c16="http://schemas.microsoft.com/office/drawing/2014/chart" uri="{C3380CC4-5D6E-409C-BE32-E72D297353CC}">
              <c16:uniqueId val="{00000000-3527-4146-8CA4-C72BF72E2FD2}"/>
            </c:ext>
          </c:extLst>
        </c:ser>
        <c:ser>
          <c:idx val="1"/>
          <c:order val="1"/>
          <c:tx>
            <c:strRef>
              <c:f>Privada!$F$14</c:f>
              <c:strCache>
                <c:ptCount val="1"/>
                <c:pt idx="0">
                  <c:v>%</c:v>
                </c:pt>
              </c:strCache>
            </c:strRef>
          </c:tx>
          <c:spPr>
            <a:solidFill>
              <a:schemeClr val="accent2"/>
            </a:solidFill>
            <a:ln>
              <a:noFill/>
            </a:ln>
            <a:effectLst/>
          </c:spPr>
          <c:invertIfNegative val="0"/>
          <c:cat>
            <c:strRef>
              <c:f>Privada!$D$15:$D$18</c:f>
              <c:strCache>
                <c:ptCount val="4"/>
                <c:pt idx="0">
                  <c:v>S. VERDE ( 80%-100%) </c:v>
                </c:pt>
                <c:pt idx="1">
                  <c:v>S. AMARILLO (49%-79%)</c:v>
                </c:pt>
                <c:pt idx="2">
                  <c:v>S. ROJO ( 0-49%)</c:v>
                </c:pt>
                <c:pt idx="3">
                  <c:v>TOTAL </c:v>
                </c:pt>
              </c:strCache>
            </c:strRef>
          </c:cat>
          <c:val>
            <c:numRef>
              <c:f>Privada!$F$15:$F$18</c:f>
              <c:numCache>
                <c:formatCode>General</c:formatCode>
                <c:ptCount val="4"/>
                <c:pt idx="0">
                  <c:v>0</c:v>
                </c:pt>
                <c:pt idx="1">
                  <c:v>0</c:v>
                </c:pt>
                <c:pt idx="2">
                  <c:v>100</c:v>
                </c:pt>
                <c:pt idx="3">
                  <c:v>100</c:v>
                </c:pt>
              </c:numCache>
            </c:numRef>
          </c:val>
          <c:extLst xmlns:c16r2="http://schemas.microsoft.com/office/drawing/2015/06/chart">
            <c:ext xmlns:c16="http://schemas.microsoft.com/office/drawing/2014/chart" uri="{C3380CC4-5D6E-409C-BE32-E72D297353CC}">
              <c16:uniqueId val="{00000001-3527-4146-8CA4-C72BF72E2FD2}"/>
            </c:ext>
          </c:extLst>
        </c:ser>
        <c:dLbls>
          <c:showLegendKey val="0"/>
          <c:showVal val="0"/>
          <c:showCatName val="0"/>
          <c:showSerName val="0"/>
          <c:showPercent val="0"/>
          <c:showBubbleSize val="0"/>
        </c:dLbls>
        <c:gapWidth val="219"/>
        <c:overlap val="-27"/>
        <c:axId val="103775168"/>
        <c:axId val="103775728"/>
      </c:barChart>
      <c:catAx>
        <c:axId val="10377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3775728"/>
        <c:crosses val="autoZero"/>
        <c:auto val="1"/>
        <c:lblAlgn val="ctr"/>
        <c:lblOffset val="100"/>
        <c:noMultiLvlLbl val="0"/>
      </c:catAx>
      <c:valAx>
        <c:axId val="103775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r>
                  <a:rPr lang="en-US">
                    <a:solidFill>
                      <a:srgbClr val="FF0000"/>
                    </a:solidFill>
                  </a:rPr>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37751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r>
              <a:rPr lang="en-US">
                <a:solidFill>
                  <a:srgbClr val="FF0000"/>
                </a:solidFill>
              </a:rPr>
              <a:t>ESTADO DE EJECUCIÓN METAS PRODUCTO PLAN DE DESARROLLO                    SECRETARIA DE CULTURA                                                                                                       CON CORTE A SEPTIEMBRE 30 DE 2016</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FF0000"/>
              </a:solidFill>
              <a:latin typeface="+mn-lt"/>
              <a:ea typeface="+mn-ea"/>
              <a:cs typeface="+mn-cs"/>
            </a:defRPr>
          </a:pPr>
          <a:endParaRPr lang="es-CO"/>
        </a:p>
      </c:txPr>
    </c:title>
    <c:autoTitleDeleted val="0"/>
    <c:plotArea>
      <c:layout/>
      <c:barChart>
        <c:barDir val="col"/>
        <c:grouping val="clustered"/>
        <c:varyColors val="0"/>
        <c:ser>
          <c:idx val="0"/>
          <c:order val="0"/>
          <c:tx>
            <c:strRef>
              <c:f>Cultura!$E$22</c:f>
              <c:strCache>
                <c:ptCount val="1"/>
                <c:pt idx="0">
                  <c:v>NÚMERO DE METAS  PRODUCTO </c:v>
                </c:pt>
              </c:strCache>
            </c:strRef>
          </c:tx>
          <c:spPr>
            <a:solidFill>
              <a:schemeClr val="accent1"/>
            </a:solidFill>
            <a:ln>
              <a:noFill/>
            </a:ln>
            <a:effectLst/>
          </c:spPr>
          <c:invertIfNegative val="0"/>
          <c:cat>
            <c:strRef>
              <c:f>Cultura!$D$23:$D$26</c:f>
              <c:strCache>
                <c:ptCount val="4"/>
                <c:pt idx="0">
                  <c:v>S. VERDE ( 80%-100%) </c:v>
                </c:pt>
                <c:pt idx="1">
                  <c:v>S. AMARILLO (49%-79%)</c:v>
                </c:pt>
                <c:pt idx="2">
                  <c:v>S. ROJO ( 0-49%)</c:v>
                </c:pt>
                <c:pt idx="3">
                  <c:v>TOTAL </c:v>
                </c:pt>
              </c:strCache>
            </c:strRef>
          </c:cat>
          <c:val>
            <c:numRef>
              <c:f>Cultura!$E$23:$E$26</c:f>
              <c:numCache>
                <c:formatCode>General</c:formatCode>
                <c:ptCount val="4"/>
                <c:pt idx="0">
                  <c:v>0</c:v>
                </c:pt>
                <c:pt idx="1">
                  <c:v>0</c:v>
                </c:pt>
                <c:pt idx="2">
                  <c:v>8</c:v>
                </c:pt>
                <c:pt idx="3">
                  <c:v>8</c:v>
                </c:pt>
              </c:numCache>
            </c:numRef>
          </c:val>
          <c:extLst xmlns:c16r2="http://schemas.microsoft.com/office/drawing/2015/06/chart">
            <c:ext xmlns:c16="http://schemas.microsoft.com/office/drawing/2014/chart" uri="{C3380CC4-5D6E-409C-BE32-E72D297353CC}">
              <c16:uniqueId val="{00000000-8623-46EC-9E37-C8595359CEF5}"/>
            </c:ext>
          </c:extLst>
        </c:ser>
        <c:ser>
          <c:idx val="1"/>
          <c:order val="1"/>
          <c:tx>
            <c:strRef>
              <c:f>Cultura!$F$22</c:f>
              <c:strCache>
                <c:ptCount val="1"/>
                <c:pt idx="0">
                  <c:v>%</c:v>
                </c:pt>
              </c:strCache>
            </c:strRef>
          </c:tx>
          <c:spPr>
            <a:solidFill>
              <a:schemeClr val="accent2"/>
            </a:solidFill>
            <a:ln>
              <a:noFill/>
            </a:ln>
            <a:effectLst/>
          </c:spPr>
          <c:invertIfNegative val="0"/>
          <c:cat>
            <c:strRef>
              <c:f>Cultura!$D$23:$D$26</c:f>
              <c:strCache>
                <c:ptCount val="4"/>
                <c:pt idx="0">
                  <c:v>S. VERDE ( 80%-100%) </c:v>
                </c:pt>
                <c:pt idx="1">
                  <c:v>S. AMARILLO (49%-79%)</c:v>
                </c:pt>
                <c:pt idx="2">
                  <c:v>S. ROJO ( 0-49%)</c:v>
                </c:pt>
                <c:pt idx="3">
                  <c:v>TOTAL </c:v>
                </c:pt>
              </c:strCache>
            </c:strRef>
          </c:cat>
          <c:val>
            <c:numRef>
              <c:f>Cultura!$F$23:$F$26</c:f>
              <c:numCache>
                <c:formatCode>General</c:formatCode>
                <c:ptCount val="4"/>
                <c:pt idx="0">
                  <c:v>0</c:v>
                </c:pt>
                <c:pt idx="1">
                  <c:v>0</c:v>
                </c:pt>
                <c:pt idx="2">
                  <c:v>100</c:v>
                </c:pt>
                <c:pt idx="3">
                  <c:v>100</c:v>
                </c:pt>
              </c:numCache>
            </c:numRef>
          </c:val>
          <c:extLst xmlns:c16r2="http://schemas.microsoft.com/office/drawing/2015/06/chart">
            <c:ext xmlns:c16="http://schemas.microsoft.com/office/drawing/2014/chart" uri="{C3380CC4-5D6E-409C-BE32-E72D297353CC}">
              <c16:uniqueId val="{00000001-8623-46EC-9E37-C8595359CEF5}"/>
            </c:ext>
          </c:extLst>
        </c:ser>
        <c:dLbls>
          <c:showLegendKey val="0"/>
          <c:showVal val="0"/>
          <c:showCatName val="0"/>
          <c:showSerName val="0"/>
          <c:showPercent val="0"/>
          <c:showBubbleSize val="0"/>
        </c:dLbls>
        <c:gapWidth val="219"/>
        <c:overlap val="-27"/>
        <c:axId val="170085504"/>
        <c:axId val="170086064"/>
      </c:barChart>
      <c:catAx>
        <c:axId val="170085504"/>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086064"/>
        <c:crosses val="autoZero"/>
        <c:auto val="1"/>
        <c:lblAlgn val="ctr"/>
        <c:lblOffset val="100"/>
        <c:noMultiLvlLbl val="0"/>
      </c:catAx>
      <c:valAx>
        <c:axId val="17008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rgbClr val="FF0000"/>
                    </a:solidFill>
                  </a:rPr>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0855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748393</xdr:colOff>
      <xdr:row>10</xdr:row>
      <xdr:rowOff>356504</xdr:rowOff>
    </xdr:from>
    <xdr:to>
      <xdr:col>12</xdr:col>
      <xdr:colOff>650875</xdr:colOff>
      <xdr:row>36</xdr:row>
      <xdr:rowOff>149677</xdr:rowOff>
    </xdr:to>
    <xdr:graphicFrame macro="">
      <xdr:nvGraphicFramePr>
        <xdr:cNvPr id="2" name="Gráfico 1">
          <a:extLst>
            <a:ext uri="{FF2B5EF4-FFF2-40B4-BE49-F238E27FC236}">
              <a16:creationId xmlns:a16="http://schemas.microsoft.com/office/drawing/2014/main" xmlns="" id="{013318BF-BF23-46D5-89EC-B708D2F316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654843</xdr:colOff>
      <xdr:row>62</xdr:row>
      <xdr:rowOff>188117</xdr:rowOff>
    </xdr:from>
    <xdr:to>
      <xdr:col>15</xdr:col>
      <xdr:colOff>238124</xdr:colOff>
      <xdr:row>77</xdr:row>
      <xdr:rowOff>166686</xdr:rowOff>
    </xdr:to>
    <xdr:graphicFrame macro="">
      <xdr:nvGraphicFramePr>
        <xdr:cNvPr id="2" name="Gráfico 1">
          <a:extLst>
            <a:ext uri="{FF2B5EF4-FFF2-40B4-BE49-F238E27FC236}">
              <a16:creationId xmlns:a16="http://schemas.microsoft.com/office/drawing/2014/main" xmlns="" id="{165A995B-4CB7-464A-936B-57D41A4711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1103311</xdr:colOff>
      <xdr:row>42</xdr:row>
      <xdr:rowOff>25399</xdr:rowOff>
    </xdr:from>
    <xdr:to>
      <xdr:col>13</xdr:col>
      <xdr:colOff>404812</xdr:colOff>
      <xdr:row>60</xdr:row>
      <xdr:rowOff>142875</xdr:rowOff>
    </xdr:to>
    <xdr:graphicFrame macro="">
      <xdr:nvGraphicFramePr>
        <xdr:cNvPr id="2" name="Gráfico 1">
          <a:extLst>
            <a:ext uri="{FF2B5EF4-FFF2-40B4-BE49-F238E27FC236}">
              <a16:creationId xmlns:a16="http://schemas.microsoft.com/office/drawing/2014/main" xmlns="" id="{6469B0EC-301A-4652-834D-599469517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30</xdr:row>
      <xdr:rowOff>158750</xdr:rowOff>
    </xdr:from>
    <xdr:to>
      <xdr:col>12</xdr:col>
      <xdr:colOff>1873250</xdr:colOff>
      <xdr:row>60</xdr:row>
      <xdr:rowOff>142875</xdr:rowOff>
    </xdr:to>
    <xdr:graphicFrame macro="">
      <xdr:nvGraphicFramePr>
        <xdr:cNvPr id="2" name="Gráfico 1">
          <a:extLst>
            <a:ext uri="{FF2B5EF4-FFF2-40B4-BE49-F238E27FC236}">
              <a16:creationId xmlns:a16="http://schemas.microsoft.com/office/drawing/2014/main" xmlns="" id="{BBD1C5B1-64AC-4035-9076-22EEF5D607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1873249</xdr:colOff>
      <xdr:row>30</xdr:row>
      <xdr:rowOff>73025</xdr:rowOff>
    </xdr:from>
    <xdr:to>
      <xdr:col>13</xdr:col>
      <xdr:colOff>507999</xdr:colOff>
      <xdr:row>60</xdr:row>
      <xdr:rowOff>47625</xdr:rowOff>
    </xdr:to>
    <xdr:graphicFrame macro="">
      <xdr:nvGraphicFramePr>
        <xdr:cNvPr id="2" name="Gráfico 1">
          <a:extLst>
            <a:ext uri="{FF2B5EF4-FFF2-40B4-BE49-F238E27FC236}">
              <a16:creationId xmlns:a16="http://schemas.microsoft.com/office/drawing/2014/main" xmlns="" id="{9C10E0F8-907D-46F7-95A9-917A260E3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206375</xdr:colOff>
      <xdr:row>26</xdr:row>
      <xdr:rowOff>41275</xdr:rowOff>
    </xdr:from>
    <xdr:to>
      <xdr:col>12</xdr:col>
      <xdr:colOff>1254125</xdr:colOff>
      <xdr:row>53</xdr:row>
      <xdr:rowOff>117475</xdr:rowOff>
    </xdr:to>
    <xdr:graphicFrame macro="">
      <xdr:nvGraphicFramePr>
        <xdr:cNvPr id="2" name="Gráfico 1">
          <a:extLst>
            <a:ext uri="{FF2B5EF4-FFF2-40B4-BE49-F238E27FC236}">
              <a16:creationId xmlns:a16="http://schemas.microsoft.com/office/drawing/2014/main" xmlns="" id="{865396E5-022B-495E-B5CB-5F56000513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59530</xdr:colOff>
      <xdr:row>13</xdr:row>
      <xdr:rowOff>9525</xdr:rowOff>
    </xdr:from>
    <xdr:to>
      <xdr:col>13</xdr:col>
      <xdr:colOff>428624</xdr:colOff>
      <xdr:row>31</xdr:row>
      <xdr:rowOff>142875</xdr:rowOff>
    </xdr:to>
    <xdr:graphicFrame macro="">
      <xdr:nvGraphicFramePr>
        <xdr:cNvPr id="2" name="Gráfico 1">
          <a:extLst>
            <a:ext uri="{FF2B5EF4-FFF2-40B4-BE49-F238E27FC236}">
              <a16:creationId xmlns:a16="http://schemas.microsoft.com/office/drawing/2014/main" xmlns="" id="{2880F771-72A2-416E-9AB5-4007B4F4F6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254000</xdr:colOff>
      <xdr:row>17</xdr:row>
      <xdr:rowOff>41275</xdr:rowOff>
    </xdr:from>
    <xdr:to>
      <xdr:col>13</xdr:col>
      <xdr:colOff>444500</xdr:colOff>
      <xdr:row>37</xdr:row>
      <xdr:rowOff>79375</xdr:rowOff>
    </xdr:to>
    <xdr:graphicFrame macro="">
      <xdr:nvGraphicFramePr>
        <xdr:cNvPr id="2" name="Gráfico 1">
          <a:extLst>
            <a:ext uri="{FF2B5EF4-FFF2-40B4-BE49-F238E27FC236}">
              <a16:creationId xmlns:a16="http://schemas.microsoft.com/office/drawing/2014/main" xmlns="" id="{B84983BF-A9AD-4966-939C-E7AA83E87D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301625</xdr:colOff>
      <xdr:row>33</xdr:row>
      <xdr:rowOff>533400</xdr:rowOff>
    </xdr:from>
    <xdr:to>
      <xdr:col>13</xdr:col>
      <xdr:colOff>1190625</xdr:colOff>
      <xdr:row>57</xdr:row>
      <xdr:rowOff>15875</xdr:rowOff>
    </xdr:to>
    <xdr:graphicFrame macro="">
      <xdr:nvGraphicFramePr>
        <xdr:cNvPr id="2" name="Gráfico 1">
          <a:extLst>
            <a:ext uri="{FF2B5EF4-FFF2-40B4-BE49-F238E27FC236}">
              <a16:creationId xmlns:a16="http://schemas.microsoft.com/office/drawing/2014/main" xmlns="" id="{89087C4B-58C6-46DC-A988-13140EC1D9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777874</xdr:colOff>
      <xdr:row>13</xdr:row>
      <xdr:rowOff>25400</xdr:rowOff>
    </xdr:from>
    <xdr:to>
      <xdr:col>12</xdr:col>
      <xdr:colOff>1587499</xdr:colOff>
      <xdr:row>30</xdr:row>
      <xdr:rowOff>63500</xdr:rowOff>
    </xdr:to>
    <xdr:graphicFrame macro="">
      <xdr:nvGraphicFramePr>
        <xdr:cNvPr id="2" name="Gráfico 1">
          <a:extLst>
            <a:ext uri="{FF2B5EF4-FFF2-40B4-BE49-F238E27FC236}">
              <a16:creationId xmlns:a16="http://schemas.microsoft.com/office/drawing/2014/main" xmlns="" id="{744B431B-6501-4BD7-A756-BE07DB951C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47625</xdr:colOff>
      <xdr:row>21</xdr:row>
      <xdr:rowOff>215899</xdr:rowOff>
    </xdr:from>
    <xdr:to>
      <xdr:col>12</xdr:col>
      <xdr:colOff>1682750</xdr:colOff>
      <xdr:row>38</xdr:row>
      <xdr:rowOff>31749</xdr:rowOff>
    </xdr:to>
    <xdr:graphicFrame macro="">
      <xdr:nvGraphicFramePr>
        <xdr:cNvPr id="2" name="Gráfico 1">
          <a:extLst>
            <a:ext uri="{FF2B5EF4-FFF2-40B4-BE49-F238E27FC236}">
              <a16:creationId xmlns:a16="http://schemas.microsoft.com/office/drawing/2014/main" xmlns="" id="{A24BB4BE-C142-4BD9-88DD-16B89E05E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TO%20PDD%20SEP-30-2016/ANEXOS/GRAFICAS%20GASTOS%20SEP%2030-2016/PROYECTOS%20EDUC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
      <sheetName val="METAS PRODUCTO "/>
    </sheetNames>
    <sheetDataSet>
      <sheetData sheetId="0"/>
      <sheetData sheetId="1">
        <row r="64">
          <cell r="I64" t="str">
            <v xml:space="preserve">NÚMERO DE METAS  PRODUCTO </v>
          </cell>
        </row>
        <row r="65">
          <cell r="H65" t="str">
            <v xml:space="preserve">S. VERDE ( 80%-100%) </v>
          </cell>
          <cell r="I65">
            <v>19</v>
          </cell>
        </row>
        <row r="66">
          <cell r="H66" t="str">
            <v>S. AMARILLO (49%-79%)</v>
          </cell>
          <cell r="I66">
            <v>4</v>
          </cell>
        </row>
        <row r="67">
          <cell r="H67" t="str">
            <v>S. ROJO ( 0-49%)</v>
          </cell>
          <cell r="I67">
            <v>30</v>
          </cell>
        </row>
        <row r="68">
          <cell r="H68" t="str">
            <v xml:space="preserve">TOTAL </v>
          </cell>
          <cell r="I68">
            <v>53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tabSelected="1" zoomScale="70" zoomScaleNormal="70" workbookViewId="0">
      <selection activeCell="K7" sqref="K7"/>
    </sheetView>
  </sheetViews>
  <sheetFormatPr baseColWidth="10" defaultRowHeight="15" x14ac:dyDescent="0.25"/>
  <cols>
    <col min="2" max="2" width="23.140625" customWidth="1"/>
    <col min="4" max="4" width="28.7109375" customWidth="1"/>
    <col min="8" max="8" width="19.140625" hidden="1" customWidth="1"/>
    <col min="9" max="9" width="32.7109375" hidden="1" customWidth="1"/>
    <col min="10" max="10" width="25.42578125" customWidth="1"/>
    <col min="11" max="11" width="27.28515625" customWidth="1"/>
    <col min="12" max="12" width="30.42578125" customWidth="1"/>
    <col min="13" max="13" width="25.5703125" customWidth="1"/>
  </cols>
  <sheetData>
    <row r="2" spans="2:13" s="2" customFormat="1" ht="18.75" x14ac:dyDescent="0.3">
      <c r="B2" s="236" t="s">
        <v>0</v>
      </c>
      <c r="C2" s="236"/>
      <c r="D2" s="236"/>
      <c r="E2" s="236"/>
      <c r="F2" s="236"/>
      <c r="G2" s="236"/>
      <c r="H2" s="236"/>
      <c r="I2" s="236"/>
      <c r="J2" s="236"/>
      <c r="K2" s="236"/>
      <c r="L2" s="236"/>
      <c r="M2" s="236"/>
    </row>
    <row r="3" spans="2:13" s="2" customFormat="1" ht="18.75" x14ac:dyDescent="0.3">
      <c r="B3" s="236" t="s">
        <v>451</v>
      </c>
      <c r="C3" s="236"/>
      <c r="D3" s="236"/>
      <c r="E3" s="236"/>
      <c r="F3" s="236"/>
      <c r="G3" s="236"/>
      <c r="H3" s="236"/>
      <c r="I3" s="236"/>
      <c r="J3" s="236"/>
      <c r="K3" s="236"/>
      <c r="L3" s="236"/>
      <c r="M3" s="236"/>
    </row>
    <row r="4" spans="2:13" s="2" customFormat="1" ht="18.75" x14ac:dyDescent="0.3">
      <c r="B4" s="236" t="s">
        <v>2</v>
      </c>
      <c r="C4" s="236"/>
      <c r="D4" s="236"/>
      <c r="E4" s="236"/>
      <c r="F4" s="236"/>
      <c r="G4" s="236"/>
      <c r="H4" s="236"/>
      <c r="I4" s="236"/>
      <c r="J4" s="236"/>
      <c r="K4" s="236"/>
      <c r="L4" s="236"/>
      <c r="M4" s="236"/>
    </row>
    <row r="5" spans="2:13" x14ac:dyDescent="0.25">
      <c r="B5" s="4"/>
      <c r="J5" s="5"/>
      <c r="K5" s="5"/>
      <c r="L5" s="5"/>
    </row>
    <row r="6" spans="2:13" ht="102.75" customHeight="1" x14ac:dyDescent="0.25">
      <c r="B6" s="6" t="s">
        <v>3</v>
      </c>
      <c r="C6" s="7" t="s">
        <v>4</v>
      </c>
      <c r="D6" s="7" t="s">
        <v>5</v>
      </c>
      <c r="E6" s="7" t="s">
        <v>6</v>
      </c>
      <c r="F6" s="7" t="s">
        <v>7</v>
      </c>
      <c r="G6" s="7" t="s">
        <v>8</v>
      </c>
      <c r="H6" s="7" t="s">
        <v>9</v>
      </c>
      <c r="I6" s="7" t="s">
        <v>10</v>
      </c>
      <c r="J6" s="6" t="s">
        <v>11</v>
      </c>
      <c r="K6" s="7" t="s">
        <v>12</v>
      </c>
      <c r="L6" s="7" t="s">
        <v>13</v>
      </c>
      <c r="M6" s="8" t="s">
        <v>14</v>
      </c>
    </row>
    <row r="7" spans="2:13" ht="99.75" x14ac:dyDescent="0.25">
      <c r="B7" s="9">
        <v>1</v>
      </c>
      <c r="C7" s="10">
        <v>243</v>
      </c>
      <c r="D7" s="11" t="s">
        <v>452</v>
      </c>
      <c r="E7" s="12" t="s">
        <v>16</v>
      </c>
      <c r="F7" s="13">
        <v>2</v>
      </c>
      <c r="G7" s="71">
        <v>1</v>
      </c>
      <c r="H7" s="15" t="s">
        <v>453</v>
      </c>
      <c r="I7" s="41" t="s">
        <v>454</v>
      </c>
      <c r="J7" s="146">
        <f>48000000+52000000</f>
        <v>100000000</v>
      </c>
      <c r="K7" s="18">
        <f>44800000+38150000</f>
        <v>82950000</v>
      </c>
      <c r="L7" s="18">
        <v>44800000</v>
      </c>
      <c r="M7" s="235">
        <f>+G7/F7*100</f>
        <v>50</v>
      </c>
    </row>
    <row r="11" spans="2:13" ht="45" x14ac:dyDescent="0.25">
      <c r="D11" s="20" t="s">
        <v>22</v>
      </c>
      <c r="E11" s="21" t="s">
        <v>23</v>
      </c>
      <c r="F11" s="22" t="s">
        <v>24</v>
      </c>
      <c r="H11" s="234"/>
    </row>
    <row r="12" spans="2:13" x14ac:dyDescent="0.25">
      <c r="D12" s="24" t="s">
        <v>25</v>
      </c>
      <c r="E12" s="9">
        <v>0</v>
      </c>
      <c r="F12" s="9">
        <f>+E12/$E$15*100</f>
        <v>0</v>
      </c>
      <c r="H12" s="203"/>
    </row>
    <row r="13" spans="2:13" x14ac:dyDescent="0.25">
      <c r="D13" s="24" t="s">
        <v>26</v>
      </c>
      <c r="E13" s="9">
        <v>1</v>
      </c>
      <c r="F13" s="9">
        <f t="shared" ref="F13:F15" si="0">+E13/$E$15*100</f>
        <v>100</v>
      </c>
      <c r="H13" s="203"/>
    </row>
    <row r="14" spans="2:13" x14ac:dyDescent="0.25">
      <c r="D14" s="24" t="s">
        <v>27</v>
      </c>
      <c r="E14" s="9">
        <v>0</v>
      </c>
      <c r="F14" s="9">
        <f t="shared" si="0"/>
        <v>0</v>
      </c>
      <c r="H14" s="203"/>
    </row>
    <row r="15" spans="2:13" x14ac:dyDescent="0.25">
      <c r="D15" s="79" t="s">
        <v>28</v>
      </c>
      <c r="E15" s="51">
        <f>SUM(E12:E14)</f>
        <v>1</v>
      </c>
      <c r="F15" s="9">
        <f t="shared" si="0"/>
        <v>100</v>
      </c>
      <c r="H15" s="203"/>
    </row>
  </sheetData>
  <sheetProtection algorithmName="SHA-512" hashValue="YBcv5D84dkvXNuclZJdXrxXP1kSvfAmdRIZxGRmNlAbQQ4V5ygdaDVNCC72Z74AkaY6oMSMGtLelre/TYJHWhA==" saltValue="XNsi3bGBoIuX2lEHUsKhBg==" spinCount="100000" sheet="1" objects="1" scenarios="1"/>
  <mergeCells count="3">
    <mergeCell ref="B2:M2"/>
    <mergeCell ref="B3:M3"/>
    <mergeCell ref="B4:M4"/>
  </mergeCells>
  <pageMargins left="0.7" right="0.7" top="0.75" bottom="0.75" header="0.3" footer="0.3"/>
  <pageSetup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
  <sheetViews>
    <sheetView view="pageBreakPreview" zoomScale="60" zoomScaleNormal="60" workbookViewId="0">
      <selection activeCell="E24" sqref="E24"/>
    </sheetView>
  </sheetViews>
  <sheetFormatPr baseColWidth="10" defaultRowHeight="15" x14ac:dyDescent="0.25"/>
  <cols>
    <col min="2" max="2" width="20.42578125" customWidth="1"/>
    <col min="4" max="4" width="32.7109375" customWidth="1"/>
    <col min="5" max="5" width="20.85546875" customWidth="1"/>
    <col min="6" max="6" width="22.42578125" customWidth="1"/>
    <col min="7" max="7" width="20.7109375" customWidth="1"/>
    <col min="8" max="8" width="22.28515625" hidden="1" customWidth="1"/>
    <col min="9" max="9" width="23.42578125" hidden="1" customWidth="1"/>
    <col min="10" max="10" width="17.85546875" bestFit="1" customWidth="1"/>
    <col min="11" max="11" width="30.7109375" customWidth="1"/>
    <col min="12" max="12" width="25.42578125" customWidth="1"/>
    <col min="13" max="13" width="26.28515625" customWidth="1"/>
  </cols>
  <sheetData>
    <row r="1" spans="2:13" s="2" customFormat="1" ht="18.75" x14ac:dyDescent="0.3">
      <c r="B1" s="1"/>
      <c r="J1" s="3"/>
      <c r="K1" s="3"/>
      <c r="L1" s="3"/>
    </row>
    <row r="2" spans="2:13" s="2" customFormat="1" ht="18.75" x14ac:dyDescent="0.3">
      <c r="B2" s="236" t="s">
        <v>0</v>
      </c>
      <c r="C2" s="236"/>
      <c r="D2" s="236"/>
      <c r="E2" s="236"/>
      <c r="F2" s="236"/>
      <c r="G2" s="236"/>
      <c r="H2" s="236"/>
      <c r="I2" s="236"/>
      <c r="J2" s="236"/>
      <c r="K2" s="236"/>
      <c r="L2" s="236"/>
      <c r="M2" s="236"/>
    </row>
    <row r="3" spans="2:13" s="2" customFormat="1" ht="18.75" x14ac:dyDescent="0.3">
      <c r="B3" s="236" t="s">
        <v>1</v>
      </c>
      <c r="C3" s="236"/>
      <c r="D3" s="236"/>
      <c r="E3" s="236"/>
      <c r="F3" s="236"/>
      <c r="G3" s="236"/>
      <c r="H3" s="236"/>
      <c r="I3" s="236"/>
      <c r="J3" s="236"/>
      <c r="K3" s="236"/>
      <c r="L3" s="236"/>
      <c r="M3" s="236"/>
    </row>
    <row r="4" spans="2:13" s="2" customFormat="1" ht="18.75" x14ac:dyDescent="0.3">
      <c r="B4" s="236" t="s">
        <v>2</v>
      </c>
      <c r="C4" s="236"/>
      <c r="D4" s="236"/>
      <c r="E4" s="236"/>
      <c r="F4" s="236"/>
      <c r="G4" s="236"/>
      <c r="H4" s="236"/>
      <c r="I4" s="236"/>
      <c r="J4" s="236"/>
      <c r="K4" s="236"/>
      <c r="L4" s="236"/>
      <c r="M4" s="236"/>
    </row>
    <row r="5" spans="2:13" x14ac:dyDescent="0.25">
      <c r="B5" s="4"/>
      <c r="J5" s="5"/>
      <c r="K5" s="5"/>
      <c r="L5" s="5"/>
    </row>
    <row r="6" spans="2:13" ht="93.75" customHeight="1" x14ac:dyDescent="0.25">
      <c r="B6" s="6" t="s">
        <v>3</v>
      </c>
      <c r="C6" s="7" t="s">
        <v>4</v>
      </c>
      <c r="D6" s="7" t="s">
        <v>5</v>
      </c>
      <c r="E6" s="7" t="s">
        <v>6</v>
      </c>
      <c r="F6" s="7" t="s">
        <v>7</v>
      </c>
      <c r="G6" s="7" t="s">
        <v>8</v>
      </c>
      <c r="H6" s="7" t="s">
        <v>9</v>
      </c>
      <c r="I6" s="7" t="s">
        <v>10</v>
      </c>
      <c r="J6" s="6" t="s">
        <v>11</v>
      </c>
      <c r="K6" s="7" t="s">
        <v>12</v>
      </c>
      <c r="L6" s="7" t="s">
        <v>13</v>
      </c>
      <c r="M6" s="8" t="s">
        <v>14</v>
      </c>
    </row>
    <row r="7" spans="2:13" ht="114" x14ac:dyDescent="0.25">
      <c r="B7" s="9">
        <v>1</v>
      </c>
      <c r="C7" s="10">
        <v>244</v>
      </c>
      <c r="D7" s="11" t="s">
        <v>15</v>
      </c>
      <c r="E7" s="12" t="s">
        <v>16</v>
      </c>
      <c r="F7" s="13">
        <v>4</v>
      </c>
      <c r="G7" s="14"/>
      <c r="H7" s="15" t="s">
        <v>17</v>
      </c>
      <c r="I7" s="11" t="s">
        <v>18</v>
      </c>
      <c r="J7" s="16">
        <v>40000000</v>
      </c>
      <c r="K7" s="17">
        <v>0</v>
      </c>
      <c r="L7" s="18">
        <v>0</v>
      </c>
      <c r="M7" s="19">
        <v>0</v>
      </c>
    </row>
    <row r="8" spans="2:13" ht="85.5" x14ac:dyDescent="0.25">
      <c r="B8" s="9">
        <v>2</v>
      </c>
      <c r="C8" s="10">
        <v>245</v>
      </c>
      <c r="D8" s="11" t="s">
        <v>19</v>
      </c>
      <c r="E8" s="12" t="s">
        <v>16</v>
      </c>
      <c r="F8" s="13">
        <v>1</v>
      </c>
      <c r="G8" s="14"/>
      <c r="H8" s="15" t="s">
        <v>20</v>
      </c>
      <c r="I8" s="11" t="s">
        <v>21</v>
      </c>
      <c r="J8" s="16">
        <v>180000000</v>
      </c>
      <c r="K8" s="17">
        <v>0</v>
      </c>
      <c r="L8" s="18">
        <v>0</v>
      </c>
      <c r="M8" s="19">
        <v>0</v>
      </c>
    </row>
    <row r="14" spans="2:13" ht="30" x14ac:dyDescent="0.25">
      <c r="D14" s="20" t="s">
        <v>22</v>
      </c>
      <c r="E14" s="21" t="s">
        <v>23</v>
      </c>
      <c r="F14" s="22" t="s">
        <v>24</v>
      </c>
      <c r="H14" s="23" t="s">
        <v>24</v>
      </c>
    </row>
    <row r="15" spans="2:13" x14ac:dyDescent="0.25">
      <c r="D15" s="24" t="s">
        <v>25</v>
      </c>
      <c r="E15" s="9">
        <v>0</v>
      </c>
      <c r="F15" s="9">
        <f>+E15/$E$18*100</f>
        <v>0</v>
      </c>
      <c r="H15" s="25" t="e">
        <f>+E15/$G$22*100</f>
        <v>#DIV/0!</v>
      </c>
    </row>
    <row r="16" spans="2:13" x14ac:dyDescent="0.25">
      <c r="D16" s="24" t="s">
        <v>26</v>
      </c>
      <c r="E16" s="9">
        <v>0</v>
      </c>
      <c r="F16" s="9">
        <f t="shared" ref="F16:F18" si="0">+E16/$E$18*100</f>
        <v>0</v>
      </c>
      <c r="H16" s="25" t="e">
        <f t="shared" ref="H16:H18" si="1">+E16/$G$22*100</f>
        <v>#DIV/0!</v>
      </c>
    </row>
    <row r="17" spans="4:8" x14ac:dyDescent="0.25">
      <c r="D17" s="26" t="s">
        <v>27</v>
      </c>
      <c r="E17" s="27">
        <v>2</v>
      </c>
      <c r="F17" s="27">
        <f t="shared" si="0"/>
        <v>100</v>
      </c>
      <c r="H17" s="25" t="e">
        <f t="shared" si="1"/>
        <v>#DIV/0!</v>
      </c>
    </row>
    <row r="18" spans="4:8" x14ac:dyDescent="0.25">
      <c r="D18" s="28" t="s">
        <v>28</v>
      </c>
      <c r="E18" s="22">
        <f>SUM(E15:E17)</f>
        <v>2</v>
      </c>
      <c r="F18" s="29">
        <f t="shared" si="0"/>
        <v>100</v>
      </c>
      <c r="H18" s="25" t="e">
        <f t="shared" si="1"/>
        <v>#DIV/0!</v>
      </c>
    </row>
  </sheetData>
  <sheetProtection algorithmName="SHA-512" hashValue="bgb3VcP0C/AKpzsrf8WYLiUCOhSPnjU4qeoZKDuNrBzNsCnsQn96BgAGbAd+CSCyCt0Qi8ElK2sfgZRa4Xvs6g==" saltValue="gNJLcDkexL5W6cep2OwYrA==" spinCount="100000" sheet="1" objects="1" scenarios="1"/>
  <mergeCells count="3">
    <mergeCell ref="B2:M2"/>
    <mergeCell ref="B3:M3"/>
    <mergeCell ref="B4:M4"/>
  </mergeCells>
  <pageMargins left="0.7" right="0.7" top="0.75" bottom="0.75" header="0.3" footer="0.3"/>
  <pageSetup scale="3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6"/>
  <sheetViews>
    <sheetView zoomScale="60" zoomScaleNormal="60" workbookViewId="0">
      <selection activeCell="S22" sqref="S22"/>
    </sheetView>
  </sheetViews>
  <sheetFormatPr baseColWidth="10" defaultRowHeight="15" x14ac:dyDescent="0.25"/>
  <cols>
    <col min="2" max="3" width="11.42578125" style="54"/>
    <col min="4" max="4" width="26.42578125" customWidth="1"/>
    <col min="5" max="5" width="16.140625" customWidth="1"/>
    <col min="6" max="6" width="17.5703125" customWidth="1"/>
    <col min="7" max="7" width="18.28515625" customWidth="1"/>
    <col min="8" max="8" width="20" hidden="1" customWidth="1"/>
    <col min="9" max="9" width="31" hidden="1" customWidth="1"/>
    <col min="10" max="10" width="24.42578125" customWidth="1"/>
    <col min="11" max="11" width="30.85546875" customWidth="1"/>
    <col min="12" max="12" width="29.140625" customWidth="1"/>
    <col min="13" max="13" width="25.7109375" customWidth="1"/>
  </cols>
  <sheetData>
    <row r="2" spans="2:16" ht="18.75" x14ac:dyDescent="0.3">
      <c r="B2" s="236" t="s">
        <v>0</v>
      </c>
      <c r="C2" s="236"/>
      <c r="D2" s="236"/>
      <c r="E2" s="236"/>
      <c r="F2" s="236"/>
      <c r="G2" s="236"/>
      <c r="H2" s="236"/>
      <c r="I2" s="236"/>
      <c r="J2" s="236"/>
      <c r="K2" s="236"/>
      <c r="L2" s="236"/>
      <c r="M2" s="236"/>
    </row>
    <row r="3" spans="2:16" ht="18.75" x14ac:dyDescent="0.3">
      <c r="B3" s="236" t="s">
        <v>29</v>
      </c>
      <c r="C3" s="236"/>
      <c r="D3" s="236"/>
      <c r="E3" s="236"/>
      <c r="F3" s="236"/>
      <c r="G3" s="236"/>
      <c r="H3" s="236"/>
      <c r="I3" s="236"/>
      <c r="J3" s="236"/>
      <c r="K3" s="236"/>
      <c r="L3" s="236"/>
      <c r="M3" s="236"/>
    </row>
    <row r="4" spans="2:16" ht="18.75" x14ac:dyDescent="0.3">
      <c r="B4" s="236" t="s">
        <v>2</v>
      </c>
      <c r="C4" s="236"/>
      <c r="D4" s="236"/>
      <c r="E4" s="236"/>
      <c r="F4" s="236"/>
      <c r="G4" s="236"/>
      <c r="H4" s="236"/>
      <c r="I4" s="236"/>
      <c r="J4" s="236"/>
      <c r="K4" s="236"/>
      <c r="L4" s="236"/>
      <c r="M4" s="236"/>
    </row>
    <row r="8" spans="2:16" ht="60" x14ac:dyDescent="0.25">
      <c r="B8" s="6" t="s">
        <v>3</v>
      </c>
      <c r="C8" s="6" t="s">
        <v>4</v>
      </c>
      <c r="D8" s="7" t="s">
        <v>5</v>
      </c>
      <c r="E8" s="7" t="s">
        <v>6</v>
      </c>
      <c r="F8" s="7" t="s">
        <v>7</v>
      </c>
      <c r="G8" s="7" t="s">
        <v>8</v>
      </c>
      <c r="H8" s="7" t="s">
        <v>9</v>
      </c>
      <c r="I8" s="7" t="s">
        <v>10</v>
      </c>
      <c r="J8" s="6" t="s">
        <v>11</v>
      </c>
      <c r="K8" s="7" t="s">
        <v>12</v>
      </c>
      <c r="L8" s="7" t="s">
        <v>13</v>
      </c>
      <c r="M8" s="8" t="s">
        <v>14</v>
      </c>
    </row>
    <row r="9" spans="2:16" ht="185.25" x14ac:dyDescent="0.25">
      <c r="B9" s="9">
        <v>1</v>
      </c>
      <c r="C9" s="15">
        <v>114</v>
      </c>
      <c r="D9" s="30" t="s">
        <v>30</v>
      </c>
      <c r="E9" s="31" t="s">
        <v>16</v>
      </c>
      <c r="F9" s="32">
        <v>30</v>
      </c>
      <c r="G9" s="33">
        <v>14</v>
      </c>
      <c r="H9" s="15" t="s">
        <v>31</v>
      </c>
      <c r="I9" s="11" t="s">
        <v>32</v>
      </c>
      <c r="J9" s="34">
        <f>130916000+25000000+123200000+639329192</f>
        <v>918445192</v>
      </c>
      <c r="K9" s="35">
        <f>130916000+12500000+318194000</f>
        <v>461610000</v>
      </c>
      <c r="L9" s="35">
        <f>130916000+10000000+21250000</f>
        <v>162166000</v>
      </c>
      <c r="M9" s="36">
        <f>+G9/F9*100</f>
        <v>46.666666666666664</v>
      </c>
    </row>
    <row r="10" spans="2:16" ht="83.25" customHeight="1" x14ac:dyDescent="0.25">
      <c r="B10" s="9">
        <v>2</v>
      </c>
      <c r="C10" s="37">
        <v>115</v>
      </c>
      <c r="D10" s="30" t="s">
        <v>33</v>
      </c>
      <c r="E10" s="31">
        <v>0</v>
      </c>
      <c r="F10" s="32">
        <v>16</v>
      </c>
      <c r="G10" s="38">
        <v>16</v>
      </c>
      <c r="H10" s="241" t="s">
        <v>34</v>
      </c>
      <c r="I10" s="242" t="s">
        <v>35</v>
      </c>
      <c r="J10" s="16">
        <v>812400000</v>
      </c>
      <c r="K10" s="17">
        <v>271480483</v>
      </c>
      <c r="L10" s="18">
        <v>83659308</v>
      </c>
      <c r="M10" s="36">
        <v>0.31</v>
      </c>
      <c r="P10" s="39" t="s">
        <v>36</v>
      </c>
    </row>
    <row r="11" spans="2:16" ht="57" x14ac:dyDescent="0.25">
      <c r="B11" s="9">
        <v>3</v>
      </c>
      <c r="C11" s="37">
        <v>116</v>
      </c>
      <c r="D11" s="30" t="s">
        <v>37</v>
      </c>
      <c r="E11" s="31" t="s">
        <v>16</v>
      </c>
      <c r="F11" s="32">
        <v>5</v>
      </c>
      <c r="G11" s="40">
        <v>0</v>
      </c>
      <c r="H11" s="238"/>
      <c r="I11" s="240"/>
      <c r="J11" s="16">
        <v>123200000</v>
      </c>
      <c r="K11" s="17">
        <v>6000000</v>
      </c>
      <c r="L11" s="18">
        <v>0</v>
      </c>
      <c r="M11" s="36">
        <f t="shared" ref="M11:M16" si="0">+G11/F11*100</f>
        <v>0</v>
      </c>
    </row>
    <row r="12" spans="2:16" ht="71.25" x14ac:dyDescent="0.25">
      <c r="B12" s="9">
        <v>4</v>
      </c>
      <c r="C12" s="15">
        <v>117</v>
      </c>
      <c r="D12" s="41" t="s">
        <v>38</v>
      </c>
      <c r="E12" s="42" t="s">
        <v>16</v>
      </c>
      <c r="F12" s="43">
        <v>1</v>
      </c>
      <c r="G12" s="44">
        <v>0</v>
      </c>
      <c r="H12" s="15" t="s">
        <v>39</v>
      </c>
      <c r="I12" s="41" t="s">
        <v>40</v>
      </c>
      <c r="J12" s="45">
        <v>50000000</v>
      </c>
      <c r="K12" s="46">
        <v>0</v>
      </c>
      <c r="L12" s="46">
        <v>0</v>
      </c>
      <c r="M12" s="36">
        <f t="shared" si="0"/>
        <v>0</v>
      </c>
    </row>
    <row r="13" spans="2:16" ht="114" x14ac:dyDescent="0.25">
      <c r="B13" s="9">
        <v>5</v>
      </c>
      <c r="C13" s="15">
        <v>118</v>
      </c>
      <c r="D13" s="41" t="s">
        <v>41</v>
      </c>
      <c r="E13" s="42">
        <v>16</v>
      </c>
      <c r="F13" s="42">
        <v>4</v>
      </c>
      <c r="G13" s="47">
        <v>1</v>
      </c>
      <c r="H13" s="15" t="s">
        <v>42</v>
      </c>
      <c r="I13" s="41" t="s">
        <v>43</v>
      </c>
      <c r="J13" s="48">
        <f>38000000+85200000</f>
        <v>123200000</v>
      </c>
      <c r="K13" s="49">
        <f>38000000+5494000</f>
        <v>43494000</v>
      </c>
      <c r="L13" s="50">
        <v>32000000</v>
      </c>
      <c r="M13" s="36">
        <f t="shared" si="0"/>
        <v>25</v>
      </c>
    </row>
    <row r="14" spans="2:16" ht="99.75" x14ac:dyDescent="0.25">
      <c r="B14" s="9">
        <v>6</v>
      </c>
      <c r="C14" s="15">
        <v>119</v>
      </c>
      <c r="D14" s="41" t="s">
        <v>44</v>
      </c>
      <c r="E14" s="42">
        <v>10</v>
      </c>
      <c r="F14" s="42">
        <v>7</v>
      </c>
      <c r="G14" s="47">
        <v>1</v>
      </c>
      <c r="H14" s="15" t="s">
        <v>45</v>
      </c>
      <c r="I14" s="41" t="s">
        <v>46</v>
      </c>
      <c r="J14" s="48">
        <v>393032525</v>
      </c>
      <c r="K14" s="49">
        <v>8000000</v>
      </c>
      <c r="L14" s="46">
        <v>8000000</v>
      </c>
      <c r="M14" s="36">
        <f t="shared" si="0"/>
        <v>14.285714285714285</v>
      </c>
    </row>
    <row r="15" spans="2:16" ht="96" customHeight="1" x14ac:dyDescent="0.25">
      <c r="B15" s="9">
        <v>7</v>
      </c>
      <c r="C15" s="15">
        <v>120</v>
      </c>
      <c r="D15" s="30" t="s">
        <v>47</v>
      </c>
      <c r="E15" s="31">
        <v>0</v>
      </c>
      <c r="F15" s="32">
        <v>2</v>
      </c>
      <c r="G15" s="33">
        <v>0</v>
      </c>
      <c r="H15" s="237" t="s">
        <v>48</v>
      </c>
      <c r="I15" s="244" t="s">
        <v>49</v>
      </c>
      <c r="J15" s="48">
        <v>15000000</v>
      </c>
      <c r="K15" s="49">
        <v>0</v>
      </c>
      <c r="L15" s="46">
        <v>0</v>
      </c>
      <c r="M15" s="36">
        <f t="shared" si="0"/>
        <v>0</v>
      </c>
    </row>
    <row r="16" spans="2:16" ht="71.25" x14ac:dyDescent="0.25">
      <c r="B16" s="9">
        <v>8</v>
      </c>
      <c r="C16" s="15">
        <v>121</v>
      </c>
      <c r="D16" s="30" t="s">
        <v>50</v>
      </c>
      <c r="E16" s="31">
        <v>9</v>
      </c>
      <c r="F16" s="32">
        <v>4</v>
      </c>
      <c r="G16" s="40">
        <v>0</v>
      </c>
      <c r="H16" s="238"/>
      <c r="I16" s="246"/>
      <c r="J16" s="48">
        <v>15000000</v>
      </c>
      <c r="K16" s="49">
        <v>0</v>
      </c>
      <c r="L16" s="46">
        <v>0</v>
      </c>
      <c r="M16" s="36">
        <f t="shared" si="0"/>
        <v>0</v>
      </c>
    </row>
    <row r="17" spans="2:13" ht="33.75" customHeight="1" x14ac:dyDescent="0.25">
      <c r="B17" s="9"/>
      <c r="C17" s="51"/>
      <c r="D17" s="52" t="s">
        <v>51</v>
      </c>
      <c r="E17" s="52"/>
      <c r="F17" s="52"/>
      <c r="G17" s="52"/>
      <c r="H17" s="52"/>
      <c r="I17" s="52"/>
      <c r="J17" s="53">
        <f>SUM(J9:J16)</f>
        <v>2450277717</v>
      </c>
      <c r="K17" s="53">
        <f t="shared" ref="K17:L17" si="1">SUM(K9:K16)</f>
        <v>790584483</v>
      </c>
      <c r="L17" s="53">
        <f t="shared" si="1"/>
        <v>285825308</v>
      </c>
      <c r="M17" s="24"/>
    </row>
    <row r="22" spans="2:13" ht="71.25" customHeight="1" x14ac:dyDescent="0.25">
      <c r="D22" s="20" t="s">
        <v>22</v>
      </c>
      <c r="E22" s="21" t="s">
        <v>23</v>
      </c>
      <c r="F22" s="22" t="s">
        <v>24</v>
      </c>
      <c r="H22" s="23" t="s">
        <v>24</v>
      </c>
    </row>
    <row r="23" spans="2:13" x14ac:dyDescent="0.25">
      <c r="D23" s="24" t="s">
        <v>25</v>
      </c>
      <c r="E23" s="9">
        <v>0</v>
      </c>
      <c r="F23" s="9">
        <f>+E23/$E$26*100</f>
        <v>0</v>
      </c>
      <c r="H23" s="25" t="e">
        <f>+E23/$G$22*100</f>
        <v>#DIV/0!</v>
      </c>
    </row>
    <row r="24" spans="2:13" x14ac:dyDescent="0.25">
      <c r="D24" s="24" t="s">
        <v>26</v>
      </c>
      <c r="E24" s="9">
        <v>0</v>
      </c>
      <c r="F24" s="9">
        <f t="shared" ref="F24:F26" si="2">+E24/$E$26*100</f>
        <v>0</v>
      </c>
      <c r="H24" s="25" t="e">
        <f t="shared" ref="H24:H26" si="3">+E24/$G$22*100</f>
        <v>#DIV/0!</v>
      </c>
    </row>
    <row r="25" spans="2:13" x14ac:dyDescent="0.25">
      <c r="D25" s="24" t="s">
        <v>27</v>
      </c>
      <c r="E25" s="9">
        <v>8</v>
      </c>
      <c r="F25" s="9">
        <f t="shared" si="2"/>
        <v>100</v>
      </c>
      <c r="H25" s="25" t="e">
        <f t="shared" si="3"/>
        <v>#DIV/0!</v>
      </c>
    </row>
    <row r="26" spans="2:13" x14ac:dyDescent="0.25">
      <c r="D26" s="28" t="s">
        <v>28</v>
      </c>
      <c r="E26" s="22">
        <f>SUM(E23:E25)</f>
        <v>8</v>
      </c>
      <c r="F26" s="29">
        <f t="shared" si="2"/>
        <v>100</v>
      </c>
      <c r="H26" s="25" t="e">
        <f t="shared" si="3"/>
        <v>#DIV/0!</v>
      </c>
    </row>
  </sheetData>
  <sheetProtection algorithmName="SHA-512" hashValue="Y/KI87Y+F7b6cs577LjfM/FdSOpiw2hrATQxmdv1aQxfk3LbKZABuEcnq3BtkypH0oOnP6peV2pUdOwXvoBS3g==" saltValue="3wjcoCHygNAgoujcjqhPJA==" spinCount="100000" sheet="1" objects="1" scenarios="1"/>
  <mergeCells count="7">
    <mergeCell ref="H15:H16"/>
    <mergeCell ref="I15:I16"/>
    <mergeCell ref="B2:M2"/>
    <mergeCell ref="B3:M3"/>
    <mergeCell ref="B4:M4"/>
    <mergeCell ref="H10:H11"/>
    <mergeCell ref="I10:I11"/>
  </mergeCells>
  <pageMargins left="0.7" right="0.7" top="0.75" bottom="0.75" header="0.3" footer="0.3"/>
  <pageSetup scale="40" orientation="portrait" r:id="rId1"/>
  <colBreaks count="1" manualBreakCount="1">
    <brk id="13" max="3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8"/>
  <sheetViews>
    <sheetView view="pageBreakPreview" topLeftCell="A19" zoomScale="60" zoomScaleNormal="80" workbookViewId="0">
      <selection activeCell="J71" sqref="J71"/>
    </sheetView>
  </sheetViews>
  <sheetFormatPr baseColWidth="10" defaultRowHeight="15" x14ac:dyDescent="0.25"/>
  <cols>
    <col min="2" max="2" width="18.140625" style="54" customWidth="1"/>
    <col min="3" max="3" width="16.28515625" style="4" customWidth="1"/>
    <col min="4" max="4" width="28.42578125" customWidth="1"/>
    <col min="6" max="6" width="14.85546875" customWidth="1"/>
    <col min="8" max="8" width="24.28515625" hidden="1" customWidth="1"/>
    <col min="9" max="9" width="20.85546875" hidden="1" customWidth="1"/>
    <col min="10" max="10" width="26.140625" customWidth="1"/>
    <col min="11" max="11" width="28.140625" customWidth="1"/>
    <col min="12" max="12" width="26.140625" customWidth="1"/>
    <col min="13" max="13" width="21.5703125" customWidth="1"/>
  </cols>
  <sheetData>
    <row r="2" spans="2:13" s="2" customFormat="1" ht="18.75" x14ac:dyDescent="0.3">
      <c r="B2" s="81"/>
      <c r="C2" s="1"/>
      <c r="J2" s="3"/>
      <c r="K2" s="3"/>
      <c r="L2" s="3"/>
    </row>
    <row r="3" spans="2:13" s="2" customFormat="1" ht="18.75" x14ac:dyDescent="0.3">
      <c r="B3" s="236" t="s">
        <v>0</v>
      </c>
      <c r="C3" s="236"/>
      <c r="D3" s="236"/>
      <c r="E3" s="236"/>
      <c r="F3" s="236"/>
      <c r="G3" s="236"/>
      <c r="H3" s="236"/>
      <c r="I3" s="236"/>
      <c r="J3" s="236"/>
      <c r="K3" s="236"/>
      <c r="L3" s="236"/>
      <c r="M3" s="236"/>
    </row>
    <row r="4" spans="2:13" s="2" customFormat="1" ht="18.75" x14ac:dyDescent="0.3">
      <c r="B4" s="236" t="s">
        <v>107</v>
      </c>
      <c r="C4" s="236"/>
      <c r="D4" s="236"/>
      <c r="E4" s="236"/>
      <c r="F4" s="236"/>
      <c r="G4" s="236"/>
      <c r="H4" s="236"/>
      <c r="I4" s="236"/>
      <c r="J4" s="236"/>
      <c r="K4" s="236"/>
      <c r="L4" s="236"/>
      <c r="M4" s="236"/>
    </row>
    <row r="5" spans="2:13" s="2" customFormat="1" ht="18.75" x14ac:dyDescent="0.3">
      <c r="B5" s="236" t="s">
        <v>2</v>
      </c>
      <c r="C5" s="236"/>
      <c r="D5" s="236"/>
      <c r="E5" s="236"/>
      <c r="F5" s="236"/>
      <c r="G5" s="236"/>
      <c r="H5" s="236"/>
      <c r="I5" s="236"/>
      <c r="J5" s="236"/>
      <c r="K5" s="236"/>
      <c r="L5" s="236"/>
      <c r="M5" s="236"/>
    </row>
    <row r="6" spans="2:13" x14ac:dyDescent="0.25">
      <c r="J6" s="5"/>
      <c r="K6" s="5"/>
      <c r="L6" s="5"/>
    </row>
    <row r="7" spans="2:13" ht="122.25" customHeight="1" x14ac:dyDescent="0.25">
      <c r="B7" s="6" t="s">
        <v>3</v>
      </c>
      <c r="C7" s="6" t="s">
        <v>4</v>
      </c>
      <c r="D7" s="7" t="s">
        <v>5</v>
      </c>
      <c r="E7" s="7" t="s">
        <v>6</v>
      </c>
      <c r="F7" s="7" t="s">
        <v>7</v>
      </c>
      <c r="G7" s="7" t="s">
        <v>8</v>
      </c>
      <c r="H7" s="7" t="s">
        <v>9</v>
      </c>
      <c r="I7" s="7" t="s">
        <v>10</v>
      </c>
      <c r="J7" s="6" t="s">
        <v>11</v>
      </c>
      <c r="K7" s="7" t="s">
        <v>12</v>
      </c>
      <c r="L7" s="7" t="s">
        <v>13</v>
      </c>
      <c r="M7" s="8" t="s">
        <v>14</v>
      </c>
    </row>
    <row r="8" spans="2:13" ht="85.5" customHeight="1" x14ac:dyDescent="0.25">
      <c r="B8" s="9">
        <v>1</v>
      </c>
      <c r="C8" s="15">
        <v>65</v>
      </c>
      <c r="D8" s="41" t="s">
        <v>108</v>
      </c>
      <c r="E8" s="82">
        <v>1</v>
      </c>
      <c r="F8" s="82">
        <v>1</v>
      </c>
      <c r="G8" s="83">
        <v>0.24</v>
      </c>
      <c r="H8" s="252" t="s">
        <v>109</v>
      </c>
      <c r="I8" s="255" t="s">
        <v>110</v>
      </c>
      <c r="J8" s="84">
        <v>3675743459</v>
      </c>
      <c r="K8" s="85">
        <v>2076955589</v>
      </c>
      <c r="L8" s="86">
        <v>1048839741</v>
      </c>
      <c r="M8" s="36">
        <f>+G8/F8*100</f>
        <v>24</v>
      </c>
    </row>
    <row r="9" spans="2:13" ht="57" x14ac:dyDescent="0.25">
      <c r="B9" s="9">
        <v>2</v>
      </c>
      <c r="C9" s="15">
        <v>66</v>
      </c>
      <c r="D9" s="41" t="s">
        <v>111</v>
      </c>
      <c r="E9" s="82">
        <v>1</v>
      </c>
      <c r="F9" s="82">
        <v>1</v>
      </c>
      <c r="G9" s="83">
        <v>0.28999999999999998</v>
      </c>
      <c r="H9" s="252"/>
      <c r="I9" s="255"/>
      <c r="J9" s="84">
        <f>4187324309+4398276550</f>
        <v>8585600859</v>
      </c>
      <c r="K9" s="85">
        <f>1691807800+4393276550</f>
        <v>6085084350</v>
      </c>
      <c r="L9" s="86">
        <f>1650000+961165800</f>
        <v>962815800</v>
      </c>
      <c r="M9" s="36">
        <f t="shared" ref="M9:M58" si="0">+G9/F9*100</f>
        <v>28.999999999999996</v>
      </c>
    </row>
    <row r="10" spans="2:13" ht="42.75" x14ac:dyDescent="0.25">
      <c r="B10" s="9">
        <v>3</v>
      </c>
      <c r="C10" s="15">
        <v>67</v>
      </c>
      <c r="D10" s="30" t="s">
        <v>112</v>
      </c>
      <c r="E10" s="87">
        <v>1</v>
      </c>
      <c r="F10" s="82">
        <v>1</v>
      </c>
      <c r="G10" s="83">
        <v>0.75</v>
      </c>
      <c r="H10" s="252"/>
      <c r="I10" s="255"/>
      <c r="J10" s="88">
        <v>1020000000</v>
      </c>
      <c r="K10" s="89">
        <v>994920199</v>
      </c>
      <c r="L10" s="90">
        <v>930586349</v>
      </c>
      <c r="M10" s="67">
        <f t="shared" si="0"/>
        <v>75</v>
      </c>
    </row>
    <row r="11" spans="2:13" ht="85.5" customHeight="1" x14ac:dyDescent="0.25">
      <c r="B11" s="9">
        <v>4</v>
      </c>
      <c r="C11" s="15">
        <v>68</v>
      </c>
      <c r="D11" s="41" t="s">
        <v>113</v>
      </c>
      <c r="E11" s="87">
        <v>4357</v>
      </c>
      <c r="F11" s="82">
        <v>4376</v>
      </c>
      <c r="G11" s="91">
        <v>4337</v>
      </c>
      <c r="H11" s="257" t="s">
        <v>114</v>
      </c>
      <c r="I11" s="249" t="s">
        <v>115</v>
      </c>
      <c r="J11" s="88">
        <v>10000000</v>
      </c>
      <c r="K11" s="89">
        <v>0</v>
      </c>
      <c r="L11" s="90">
        <v>0</v>
      </c>
      <c r="M11" s="92">
        <f t="shared" si="0"/>
        <v>99.108775137111522</v>
      </c>
    </row>
    <row r="12" spans="2:13" ht="85.5" x14ac:dyDescent="0.25">
      <c r="B12" s="9">
        <v>5</v>
      </c>
      <c r="C12" s="15">
        <v>69</v>
      </c>
      <c r="D12" s="41" t="s">
        <v>116</v>
      </c>
      <c r="E12" s="93" t="s">
        <v>16</v>
      </c>
      <c r="F12" s="61">
        <v>1</v>
      </c>
      <c r="G12" s="94">
        <v>0.75</v>
      </c>
      <c r="H12" s="258"/>
      <c r="I12" s="250"/>
      <c r="J12" s="88">
        <v>10000000</v>
      </c>
      <c r="K12" s="89">
        <v>0</v>
      </c>
      <c r="L12" s="90">
        <v>0</v>
      </c>
      <c r="M12" s="67">
        <f t="shared" si="0"/>
        <v>75</v>
      </c>
    </row>
    <row r="13" spans="2:13" ht="85.5" x14ac:dyDescent="0.25">
      <c r="B13" s="9">
        <v>6</v>
      </c>
      <c r="C13" s="15">
        <v>70</v>
      </c>
      <c r="D13" s="41" t="s">
        <v>117</v>
      </c>
      <c r="E13" s="87">
        <v>322</v>
      </c>
      <c r="F13" s="82">
        <v>343</v>
      </c>
      <c r="G13" s="91">
        <v>379</v>
      </c>
      <c r="H13" s="258"/>
      <c r="I13" s="250"/>
      <c r="J13" s="88">
        <v>20000000</v>
      </c>
      <c r="K13" s="89">
        <v>0</v>
      </c>
      <c r="L13" s="90">
        <v>0</v>
      </c>
      <c r="M13" s="95">
        <f t="shared" si="0"/>
        <v>110.49562682215743</v>
      </c>
    </row>
    <row r="14" spans="2:13" ht="85.5" x14ac:dyDescent="0.25">
      <c r="B14" s="9">
        <v>7</v>
      </c>
      <c r="C14" s="15">
        <v>71</v>
      </c>
      <c r="D14" s="41" t="s">
        <v>118</v>
      </c>
      <c r="E14" s="87">
        <v>1762</v>
      </c>
      <c r="F14" s="82">
        <v>1863</v>
      </c>
      <c r="G14" s="91">
        <v>2226</v>
      </c>
      <c r="H14" s="258"/>
      <c r="I14" s="250"/>
      <c r="J14" s="88">
        <v>0</v>
      </c>
      <c r="K14" s="89">
        <v>0</v>
      </c>
      <c r="L14" s="90">
        <v>0</v>
      </c>
      <c r="M14" s="95">
        <f t="shared" si="0"/>
        <v>119.48470209339774</v>
      </c>
    </row>
    <row r="15" spans="2:13" ht="114" x14ac:dyDescent="0.25">
      <c r="B15" s="9">
        <v>8</v>
      </c>
      <c r="C15" s="15">
        <v>72</v>
      </c>
      <c r="D15" s="41" t="s">
        <v>119</v>
      </c>
      <c r="E15" s="87">
        <v>455</v>
      </c>
      <c r="F15" s="82">
        <v>455</v>
      </c>
      <c r="G15" s="91">
        <v>455</v>
      </c>
      <c r="H15" s="258"/>
      <c r="I15" s="250"/>
      <c r="J15" s="88">
        <v>10000000</v>
      </c>
      <c r="K15" s="89">
        <v>0</v>
      </c>
      <c r="L15" s="90">
        <v>0</v>
      </c>
      <c r="M15" s="95">
        <f t="shared" si="0"/>
        <v>100</v>
      </c>
    </row>
    <row r="16" spans="2:13" ht="85.5" x14ac:dyDescent="0.25">
      <c r="B16" s="9">
        <v>9</v>
      </c>
      <c r="C16" s="15">
        <v>73</v>
      </c>
      <c r="D16" s="41" t="s">
        <v>120</v>
      </c>
      <c r="E16" s="87" t="s">
        <v>16</v>
      </c>
      <c r="F16" s="82">
        <v>1</v>
      </c>
      <c r="G16" s="96">
        <v>0.04</v>
      </c>
      <c r="H16" s="259"/>
      <c r="I16" s="251"/>
      <c r="J16" s="84">
        <v>1000000000</v>
      </c>
      <c r="K16" s="85">
        <v>82550000</v>
      </c>
      <c r="L16" s="86">
        <v>44070000</v>
      </c>
      <c r="M16" s="36">
        <f t="shared" si="0"/>
        <v>4</v>
      </c>
    </row>
    <row r="17" spans="2:13" ht="147" customHeight="1" x14ac:dyDescent="0.25">
      <c r="B17" s="9">
        <v>11</v>
      </c>
      <c r="C17" s="10">
        <v>74</v>
      </c>
      <c r="D17" s="30" t="s">
        <v>121</v>
      </c>
      <c r="E17" s="82">
        <v>2232</v>
      </c>
      <c r="F17" s="82">
        <v>2232</v>
      </c>
      <c r="G17" s="91">
        <v>2232</v>
      </c>
      <c r="H17" s="15" t="s">
        <v>122</v>
      </c>
      <c r="I17" s="11" t="s">
        <v>123</v>
      </c>
      <c r="J17" s="97">
        <f>52492913320.71+44816315370.13</f>
        <v>97309228690.839996</v>
      </c>
      <c r="K17" s="90">
        <f>21030769324+44816315370.13</f>
        <v>65847084694.129997</v>
      </c>
      <c r="L17" s="90">
        <f>21022976908+44487174733.13</f>
        <v>65510151641.129997</v>
      </c>
      <c r="M17" s="95">
        <f t="shared" si="0"/>
        <v>100</v>
      </c>
    </row>
    <row r="18" spans="2:13" ht="123" customHeight="1" x14ac:dyDescent="0.25">
      <c r="B18" s="9">
        <v>13</v>
      </c>
      <c r="C18" s="15">
        <v>75</v>
      </c>
      <c r="D18" s="30" t="s">
        <v>124</v>
      </c>
      <c r="E18" s="87">
        <v>18</v>
      </c>
      <c r="F18" s="98">
        <v>23</v>
      </c>
      <c r="G18" s="99">
        <v>19</v>
      </c>
      <c r="H18" s="237" t="s">
        <v>125</v>
      </c>
      <c r="I18" s="239" t="s">
        <v>126</v>
      </c>
      <c r="J18" s="97">
        <v>0</v>
      </c>
      <c r="K18" s="90">
        <v>0</v>
      </c>
      <c r="L18" s="90">
        <v>0</v>
      </c>
      <c r="M18" s="92">
        <f t="shared" si="0"/>
        <v>82.608695652173907</v>
      </c>
    </row>
    <row r="19" spans="2:13" ht="84.75" customHeight="1" x14ac:dyDescent="0.25">
      <c r="B19" s="9">
        <v>14</v>
      </c>
      <c r="C19" s="15">
        <v>76</v>
      </c>
      <c r="D19" s="30" t="s">
        <v>127</v>
      </c>
      <c r="E19" s="87">
        <v>0</v>
      </c>
      <c r="F19" s="100">
        <v>150</v>
      </c>
      <c r="G19" s="101">
        <v>455</v>
      </c>
      <c r="H19" s="241"/>
      <c r="I19" s="242"/>
      <c r="J19" s="88">
        <v>130000000</v>
      </c>
      <c r="K19" s="89">
        <v>78750000</v>
      </c>
      <c r="L19" s="90">
        <v>0</v>
      </c>
      <c r="M19" s="95">
        <f t="shared" si="0"/>
        <v>303.33333333333331</v>
      </c>
    </row>
    <row r="20" spans="2:13" ht="54" customHeight="1" x14ac:dyDescent="0.25">
      <c r="B20" s="9">
        <v>15</v>
      </c>
      <c r="C20" s="15">
        <v>77</v>
      </c>
      <c r="D20" s="30" t="s">
        <v>128</v>
      </c>
      <c r="E20" s="87">
        <v>20</v>
      </c>
      <c r="F20" s="100">
        <v>28</v>
      </c>
      <c r="G20" s="101">
        <v>35</v>
      </c>
      <c r="H20" s="241"/>
      <c r="I20" s="242"/>
      <c r="J20" s="88">
        <v>0</v>
      </c>
      <c r="K20" s="89">
        <v>0</v>
      </c>
      <c r="L20" s="90">
        <v>0</v>
      </c>
      <c r="M20" s="95">
        <f t="shared" si="0"/>
        <v>125</v>
      </c>
    </row>
    <row r="21" spans="2:13" ht="57" x14ac:dyDescent="0.25">
      <c r="B21" s="9">
        <v>16</v>
      </c>
      <c r="C21" s="15">
        <v>78</v>
      </c>
      <c r="D21" s="30" t="s">
        <v>129</v>
      </c>
      <c r="E21" s="87">
        <v>7</v>
      </c>
      <c r="F21" s="100">
        <v>9</v>
      </c>
      <c r="G21" s="101">
        <v>9</v>
      </c>
      <c r="H21" s="241"/>
      <c r="I21" s="242"/>
      <c r="J21" s="88">
        <v>0</v>
      </c>
      <c r="K21" s="89">
        <v>0</v>
      </c>
      <c r="L21" s="90">
        <v>0</v>
      </c>
      <c r="M21" s="95">
        <f t="shared" si="0"/>
        <v>100</v>
      </c>
    </row>
    <row r="22" spans="2:13" ht="42.75" x14ac:dyDescent="0.25">
      <c r="B22" s="9">
        <v>17</v>
      </c>
      <c r="C22" s="15">
        <v>79</v>
      </c>
      <c r="D22" s="30" t="s">
        <v>130</v>
      </c>
      <c r="E22" s="87">
        <v>96</v>
      </c>
      <c r="F22" s="100">
        <v>113</v>
      </c>
      <c r="G22" s="101">
        <v>91</v>
      </c>
      <c r="H22" s="241"/>
      <c r="I22" s="242"/>
      <c r="J22" s="88">
        <v>0</v>
      </c>
      <c r="K22" s="89">
        <v>0</v>
      </c>
      <c r="L22" s="90">
        <v>0</v>
      </c>
      <c r="M22" s="95">
        <f t="shared" si="0"/>
        <v>80.530973451327441</v>
      </c>
    </row>
    <row r="23" spans="2:13" ht="57" x14ac:dyDescent="0.25">
      <c r="B23" s="9">
        <v>18</v>
      </c>
      <c r="C23" s="15">
        <v>80</v>
      </c>
      <c r="D23" s="30" t="s">
        <v>131</v>
      </c>
      <c r="E23" s="87">
        <v>2906</v>
      </c>
      <c r="F23" s="100">
        <v>3130</v>
      </c>
      <c r="G23" s="101">
        <v>2583</v>
      </c>
      <c r="H23" s="241"/>
      <c r="I23" s="242"/>
      <c r="J23" s="88">
        <v>0</v>
      </c>
      <c r="K23" s="89">
        <v>0</v>
      </c>
      <c r="L23" s="90">
        <v>0</v>
      </c>
      <c r="M23" s="95">
        <f t="shared" si="0"/>
        <v>82.523961661341843</v>
      </c>
    </row>
    <row r="24" spans="2:13" ht="114" x14ac:dyDescent="0.25">
      <c r="B24" s="9">
        <v>19</v>
      </c>
      <c r="C24" s="15">
        <v>81</v>
      </c>
      <c r="D24" s="30" t="s">
        <v>132</v>
      </c>
      <c r="E24" s="31">
        <v>13</v>
      </c>
      <c r="F24" s="100">
        <v>17</v>
      </c>
      <c r="G24" s="101">
        <v>22</v>
      </c>
      <c r="H24" s="241"/>
      <c r="I24" s="242"/>
      <c r="J24" s="88">
        <v>0</v>
      </c>
      <c r="K24" s="89">
        <v>0</v>
      </c>
      <c r="L24" s="90">
        <v>0</v>
      </c>
      <c r="M24" s="95">
        <f t="shared" si="0"/>
        <v>129.41176470588235</v>
      </c>
    </row>
    <row r="25" spans="2:13" ht="99.75" x14ac:dyDescent="0.25">
      <c r="B25" s="9">
        <v>20</v>
      </c>
      <c r="C25" s="15">
        <v>82</v>
      </c>
      <c r="D25" s="30" t="s">
        <v>133</v>
      </c>
      <c r="E25" s="31">
        <v>14</v>
      </c>
      <c r="F25" s="100">
        <v>17</v>
      </c>
      <c r="G25" s="101">
        <v>17</v>
      </c>
      <c r="H25" s="238"/>
      <c r="I25" s="240"/>
      <c r="J25" s="88">
        <v>0</v>
      </c>
      <c r="K25" s="89">
        <v>0</v>
      </c>
      <c r="L25" s="90">
        <v>0</v>
      </c>
      <c r="M25" s="95">
        <f t="shared" si="0"/>
        <v>100</v>
      </c>
    </row>
    <row r="26" spans="2:13" ht="89.25" customHeight="1" x14ac:dyDescent="0.25">
      <c r="B26" s="9">
        <v>21</v>
      </c>
      <c r="C26" s="15">
        <v>83</v>
      </c>
      <c r="D26" s="41" t="s">
        <v>134</v>
      </c>
      <c r="E26" s="82">
        <v>0</v>
      </c>
      <c r="F26" s="100">
        <v>4</v>
      </c>
      <c r="G26" s="101">
        <v>0</v>
      </c>
      <c r="H26" s="237" t="s">
        <v>135</v>
      </c>
      <c r="I26" s="239" t="s">
        <v>136</v>
      </c>
      <c r="J26" s="97">
        <v>15000000</v>
      </c>
      <c r="K26" s="90">
        <v>0</v>
      </c>
      <c r="L26" s="90">
        <v>0</v>
      </c>
      <c r="M26" s="36">
        <f t="shared" si="0"/>
        <v>0</v>
      </c>
    </row>
    <row r="27" spans="2:13" ht="99" customHeight="1" x14ac:dyDescent="0.25">
      <c r="B27" s="9">
        <v>22</v>
      </c>
      <c r="C27" s="15">
        <v>84</v>
      </c>
      <c r="D27" s="41" t="s">
        <v>137</v>
      </c>
      <c r="E27" s="82">
        <v>0</v>
      </c>
      <c r="F27" s="100">
        <v>4</v>
      </c>
      <c r="G27" s="101">
        <v>0</v>
      </c>
      <c r="H27" s="241"/>
      <c r="I27" s="242"/>
      <c r="J27" s="88">
        <v>0</v>
      </c>
      <c r="K27" s="89">
        <v>0</v>
      </c>
      <c r="L27" s="90">
        <v>0</v>
      </c>
      <c r="M27" s="36">
        <f t="shared" si="0"/>
        <v>0</v>
      </c>
    </row>
    <row r="28" spans="2:13" ht="57" x14ac:dyDescent="0.25">
      <c r="B28" s="9">
        <v>23</v>
      </c>
      <c r="C28" s="15">
        <v>85</v>
      </c>
      <c r="D28" s="41" t="s">
        <v>138</v>
      </c>
      <c r="E28" s="82">
        <v>0</v>
      </c>
      <c r="F28" s="100">
        <v>4</v>
      </c>
      <c r="G28" s="101">
        <v>0</v>
      </c>
      <c r="H28" s="241"/>
      <c r="I28" s="242"/>
      <c r="J28" s="88">
        <v>15000000</v>
      </c>
      <c r="K28" s="89">
        <v>0</v>
      </c>
      <c r="L28" s="90">
        <v>0</v>
      </c>
      <c r="M28" s="36">
        <f t="shared" si="0"/>
        <v>0</v>
      </c>
    </row>
    <row r="29" spans="2:13" ht="121.5" customHeight="1" x14ac:dyDescent="0.25">
      <c r="B29" s="9">
        <v>24</v>
      </c>
      <c r="C29" s="15">
        <v>87</v>
      </c>
      <c r="D29" s="41" t="s">
        <v>139</v>
      </c>
      <c r="E29" s="82">
        <v>0</v>
      </c>
      <c r="F29" s="102">
        <v>2</v>
      </c>
      <c r="G29" s="101">
        <v>0</v>
      </c>
      <c r="H29" s="241"/>
      <c r="I29" s="242"/>
      <c r="J29" s="88">
        <v>60000000</v>
      </c>
      <c r="K29" s="89">
        <v>0</v>
      </c>
      <c r="L29" s="90">
        <v>0</v>
      </c>
      <c r="M29" s="36">
        <f t="shared" si="0"/>
        <v>0</v>
      </c>
    </row>
    <row r="30" spans="2:13" ht="68.25" customHeight="1" x14ac:dyDescent="0.25">
      <c r="B30" s="9">
        <v>25</v>
      </c>
      <c r="C30" s="15">
        <v>88</v>
      </c>
      <c r="D30" s="41" t="s">
        <v>140</v>
      </c>
      <c r="E30" s="82">
        <v>21</v>
      </c>
      <c r="F30" s="100">
        <v>23</v>
      </c>
      <c r="G30" s="101">
        <v>8</v>
      </c>
      <c r="H30" s="241"/>
      <c r="I30" s="242"/>
      <c r="J30" s="88">
        <v>0</v>
      </c>
      <c r="K30" s="89">
        <v>0</v>
      </c>
      <c r="L30" s="90">
        <v>0</v>
      </c>
      <c r="M30" s="36">
        <f t="shared" si="0"/>
        <v>34.782608695652172</v>
      </c>
    </row>
    <row r="31" spans="2:13" ht="128.25" x14ac:dyDescent="0.25">
      <c r="B31" s="9">
        <v>26</v>
      </c>
      <c r="C31" s="103">
        <v>86</v>
      </c>
      <c r="D31" s="41" t="s">
        <v>141</v>
      </c>
      <c r="E31" s="82">
        <v>0</v>
      </c>
      <c r="F31" s="98">
        <v>1</v>
      </c>
      <c r="G31" s="99">
        <v>0</v>
      </c>
      <c r="H31" s="241"/>
      <c r="I31" s="242"/>
      <c r="J31" s="88">
        <v>0</v>
      </c>
      <c r="K31" s="89">
        <v>0</v>
      </c>
      <c r="L31" s="90">
        <v>0</v>
      </c>
      <c r="M31" s="36">
        <f t="shared" si="0"/>
        <v>0</v>
      </c>
    </row>
    <row r="32" spans="2:13" ht="77.25" customHeight="1" x14ac:dyDescent="0.25">
      <c r="B32" s="9">
        <v>27</v>
      </c>
      <c r="C32" s="15">
        <v>89</v>
      </c>
      <c r="D32" s="41" t="s">
        <v>142</v>
      </c>
      <c r="E32" s="82" t="s">
        <v>16</v>
      </c>
      <c r="F32" s="100">
        <v>2500</v>
      </c>
      <c r="G32" s="101">
        <v>4307</v>
      </c>
      <c r="H32" s="241"/>
      <c r="I32" s="242"/>
      <c r="J32" s="88">
        <v>0</v>
      </c>
      <c r="K32" s="89">
        <v>0</v>
      </c>
      <c r="L32" s="90">
        <v>0</v>
      </c>
      <c r="M32" s="95">
        <f t="shared" si="0"/>
        <v>172.28</v>
      </c>
    </row>
    <row r="33" spans="2:13" ht="84.75" customHeight="1" x14ac:dyDescent="0.25">
      <c r="B33" s="9">
        <v>28</v>
      </c>
      <c r="C33" s="15">
        <v>90</v>
      </c>
      <c r="D33" s="41" t="s">
        <v>143</v>
      </c>
      <c r="E33" s="82">
        <v>100</v>
      </c>
      <c r="F33" s="100">
        <v>104</v>
      </c>
      <c r="G33" s="101">
        <v>0</v>
      </c>
      <c r="H33" s="241"/>
      <c r="I33" s="242"/>
      <c r="J33" s="88">
        <v>260000000</v>
      </c>
      <c r="K33" s="89">
        <v>0</v>
      </c>
      <c r="L33" s="90">
        <v>0</v>
      </c>
      <c r="M33" s="36">
        <f t="shared" si="0"/>
        <v>0</v>
      </c>
    </row>
    <row r="34" spans="2:13" ht="117.75" customHeight="1" x14ac:dyDescent="0.25">
      <c r="B34" s="9">
        <v>29</v>
      </c>
      <c r="C34" s="15">
        <v>91</v>
      </c>
      <c r="D34" s="41" t="s">
        <v>144</v>
      </c>
      <c r="E34" s="82">
        <v>0</v>
      </c>
      <c r="F34" s="100">
        <v>7</v>
      </c>
      <c r="G34" s="101">
        <v>0</v>
      </c>
      <c r="H34" s="241"/>
      <c r="I34" s="242"/>
      <c r="J34" s="88">
        <v>300000000</v>
      </c>
      <c r="K34" s="89">
        <v>0</v>
      </c>
      <c r="L34" s="90">
        <v>0</v>
      </c>
      <c r="M34" s="36">
        <f t="shared" si="0"/>
        <v>0</v>
      </c>
    </row>
    <row r="35" spans="2:13" ht="114" x14ac:dyDescent="0.25">
      <c r="B35" s="9">
        <v>30</v>
      </c>
      <c r="C35" s="15">
        <v>92</v>
      </c>
      <c r="D35" s="41" t="s">
        <v>145</v>
      </c>
      <c r="E35" s="82">
        <v>0</v>
      </c>
      <c r="F35" s="98">
        <v>1</v>
      </c>
      <c r="G35" s="99">
        <v>7</v>
      </c>
      <c r="H35" s="238"/>
      <c r="I35" s="240"/>
      <c r="J35" s="88">
        <v>0</v>
      </c>
      <c r="K35" s="89">
        <v>0</v>
      </c>
      <c r="L35" s="90">
        <v>0</v>
      </c>
      <c r="M35" s="95">
        <f t="shared" si="0"/>
        <v>700</v>
      </c>
    </row>
    <row r="36" spans="2:13" ht="81.75" customHeight="1" x14ac:dyDescent="0.25">
      <c r="B36" s="9">
        <v>31</v>
      </c>
      <c r="C36" s="15">
        <v>93</v>
      </c>
      <c r="D36" s="30" t="s">
        <v>146</v>
      </c>
      <c r="E36" s="87" t="s">
        <v>16</v>
      </c>
      <c r="F36" s="100">
        <v>4</v>
      </c>
      <c r="G36" s="101">
        <v>4</v>
      </c>
      <c r="H36" s="237" t="s">
        <v>147</v>
      </c>
      <c r="I36" s="244" t="s">
        <v>148</v>
      </c>
      <c r="J36" s="97">
        <v>0</v>
      </c>
      <c r="K36" s="90">
        <v>0</v>
      </c>
      <c r="L36" s="90"/>
      <c r="M36" s="95">
        <f t="shared" si="0"/>
        <v>100</v>
      </c>
    </row>
    <row r="37" spans="2:13" ht="42.75" x14ac:dyDescent="0.25">
      <c r="B37" s="9">
        <v>32</v>
      </c>
      <c r="C37" s="15">
        <v>94</v>
      </c>
      <c r="D37" s="30" t="s">
        <v>149</v>
      </c>
      <c r="E37" s="87">
        <v>70</v>
      </c>
      <c r="F37" s="102">
        <v>79</v>
      </c>
      <c r="G37" s="101">
        <v>0</v>
      </c>
      <c r="H37" s="241"/>
      <c r="I37" s="245"/>
      <c r="J37" s="88">
        <v>242500000</v>
      </c>
      <c r="K37" s="89">
        <v>0</v>
      </c>
      <c r="L37" s="90">
        <v>0</v>
      </c>
      <c r="M37" s="36">
        <f t="shared" si="0"/>
        <v>0</v>
      </c>
    </row>
    <row r="38" spans="2:13" ht="67.5" customHeight="1" x14ac:dyDescent="0.25">
      <c r="B38" s="9">
        <v>33</v>
      </c>
      <c r="C38" s="15">
        <v>95</v>
      </c>
      <c r="D38" s="41" t="s">
        <v>150</v>
      </c>
      <c r="E38" s="82">
        <v>0</v>
      </c>
      <c r="F38" s="100">
        <v>62.5</v>
      </c>
      <c r="G38" s="101">
        <v>253</v>
      </c>
      <c r="H38" s="241"/>
      <c r="I38" s="245"/>
      <c r="J38" s="84">
        <v>10000000</v>
      </c>
      <c r="K38" s="85">
        <v>0</v>
      </c>
      <c r="L38" s="86">
        <v>0</v>
      </c>
      <c r="M38" s="95">
        <f t="shared" si="0"/>
        <v>404.8</v>
      </c>
    </row>
    <row r="39" spans="2:13" ht="42.75" x14ac:dyDescent="0.25">
      <c r="B39" s="9">
        <v>34</v>
      </c>
      <c r="C39" s="15">
        <v>96</v>
      </c>
      <c r="D39" s="41" t="s">
        <v>151</v>
      </c>
      <c r="E39" s="82">
        <v>0</v>
      </c>
      <c r="F39" s="100">
        <v>0.75</v>
      </c>
      <c r="G39" s="101">
        <v>0</v>
      </c>
      <c r="H39" s="238"/>
      <c r="I39" s="246"/>
      <c r="J39" s="88">
        <v>15000000</v>
      </c>
      <c r="K39" s="89">
        <v>0</v>
      </c>
      <c r="L39" s="90">
        <v>0</v>
      </c>
      <c r="M39" s="36">
        <f t="shared" si="0"/>
        <v>0</v>
      </c>
    </row>
    <row r="40" spans="2:13" ht="114" x14ac:dyDescent="0.25">
      <c r="B40" s="9">
        <v>35</v>
      </c>
      <c r="C40" s="15">
        <v>95</v>
      </c>
      <c r="D40" s="41" t="s">
        <v>150</v>
      </c>
      <c r="E40" s="82">
        <v>0</v>
      </c>
      <c r="F40" s="100">
        <v>63</v>
      </c>
      <c r="G40" s="104">
        <v>253</v>
      </c>
      <c r="H40" s="15" t="s">
        <v>152</v>
      </c>
      <c r="I40" s="105" t="s">
        <v>153</v>
      </c>
      <c r="J40" s="84">
        <v>7500000</v>
      </c>
      <c r="K40" s="85">
        <v>7500000</v>
      </c>
      <c r="L40" s="86">
        <v>7500000</v>
      </c>
      <c r="M40" s="95">
        <f t="shared" si="0"/>
        <v>401.58730158730157</v>
      </c>
    </row>
    <row r="41" spans="2:13" ht="150" customHeight="1" x14ac:dyDescent="0.25">
      <c r="B41" s="9">
        <v>36</v>
      </c>
      <c r="C41" s="15">
        <v>97</v>
      </c>
      <c r="D41" s="30" t="s">
        <v>154</v>
      </c>
      <c r="E41" s="87" t="s">
        <v>16</v>
      </c>
      <c r="F41" s="106">
        <v>7</v>
      </c>
      <c r="G41" s="107"/>
      <c r="H41" s="15" t="s">
        <v>155</v>
      </c>
      <c r="I41" s="11" t="s">
        <v>156</v>
      </c>
      <c r="J41" s="84">
        <v>110000000</v>
      </c>
      <c r="K41" s="85">
        <v>0</v>
      </c>
      <c r="L41" s="86">
        <v>0</v>
      </c>
      <c r="M41" s="36">
        <f t="shared" si="0"/>
        <v>0</v>
      </c>
    </row>
    <row r="42" spans="2:13" ht="96.75" customHeight="1" x14ac:dyDescent="0.25">
      <c r="B42" s="9">
        <v>37</v>
      </c>
      <c r="C42" s="15">
        <v>98</v>
      </c>
      <c r="D42" s="30" t="s">
        <v>157</v>
      </c>
      <c r="E42" s="87">
        <v>60</v>
      </c>
      <c r="F42" s="106">
        <v>55</v>
      </c>
      <c r="G42" s="99">
        <v>30</v>
      </c>
      <c r="H42" s="237" t="s">
        <v>158</v>
      </c>
      <c r="I42" s="239" t="s">
        <v>159</v>
      </c>
      <c r="J42" s="84">
        <v>20000000</v>
      </c>
      <c r="K42" s="89">
        <v>17500000</v>
      </c>
      <c r="L42" s="90">
        <v>0</v>
      </c>
      <c r="M42" s="67">
        <f t="shared" si="0"/>
        <v>54.54545454545454</v>
      </c>
    </row>
    <row r="43" spans="2:13" ht="99.75" x14ac:dyDescent="0.25">
      <c r="B43" s="9">
        <v>38</v>
      </c>
      <c r="C43" s="15">
        <v>99</v>
      </c>
      <c r="D43" s="30" t="s">
        <v>160</v>
      </c>
      <c r="E43" s="87">
        <v>76</v>
      </c>
      <c r="F43" s="100">
        <v>85</v>
      </c>
      <c r="G43" s="101">
        <v>20</v>
      </c>
      <c r="H43" s="241"/>
      <c r="I43" s="242"/>
      <c r="J43" s="84">
        <v>40000000</v>
      </c>
      <c r="K43" s="89">
        <v>0</v>
      </c>
      <c r="L43" s="90">
        <v>0</v>
      </c>
      <c r="M43" s="36">
        <f t="shared" si="0"/>
        <v>23.52941176470588</v>
      </c>
    </row>
    <row r="44" spans="2:13" ht="71.25" x14ac:dyDescent="0.25">
      <c r="B44" s="9">
        <v>39</v>
      </c>
      <c r="C44" s="15">
        <v>100</v>
      </c>
      <c r="D44" s="30" t="s">
        <v>161</v>
      </c>
      <c r="E44" s="87">
        <v>0</v>
      </c>
      <c r="F44" s="100">
        <v>0.75</v>
      </c>
      <c r="G44" s="101">
        <v>0</v>
      </c>
      <c r="H44" s="241"/>
      <c r="I44" s="242"/>
      <c r="J44" s="84">
        <v>0</v>
      </c>
      <c r="K44" s="89">
        <v>0</v>
      </c>
      <c r="L44" s="90">
        <v>0</v>
      </c>
      <c r="M44" s="36">
        <f t="shared" si="0"/>
        <v>0</v>
      </c>
    </row>
    <row r="45" spans="2:13" ht="57" x14ac:dyDescent="0.25">
      <c r="B45" s="9">
        <v>40</v>
      </c>
      <c r="C45" s="15">
        <v>101</v>
      </c>
      <c r="D45" s="30" t="s">
        <v>162</v>
      </c>
      <c r="E45" s="87">
        <v>0</v>
      </c>
      <c r="F45" s="100">
        <v>7</v>
      </c>
      <c r="G45" s="101">
        <v>0</v>
      </c>
      <c r="H45" s="241"/>
      <c r="I45" s="242"/>
      <c r="J45" s="84">
        <v>35000000</v>
      </c>
      <c r="K45" s="89">
        <v>0</v>
      </c>
      <c r="L45" s="90">
        <v>0</v>
      </c>
      <c r="M45" s="36">
        <f t="shared" si="0"/>
        <v>0</v>
      </c>
    </row>
    <row r="46" spans="2:13" ht="71.25" x14ac:dyDescent="0.25">
      <c r="B46" s="9">
        <v>41</v>
      </c>
      <c r="C46" s="15">
        <v>102</v>
      </c>
      <c r="D46" s="30" t="s">
        <v>163</v>
      </c>
      <c r="E46" s="87">
        <v>0</v>
      </c>
      <c r="F46" s="100">
        <v>0.875</v>
      </c>
      <c r="G46" s="101">
        <v>1</v>
      </c>
      <c r="H46" s="238"/>
      <c r="I46" s="240"/>
      <c r="J46" s="84">
        <v>5000000</v>
      </c>
      <c r="K46" s="89">
        <v>0</v>
      </c>
      <c r="L46" s="90">
        <v>0</v>
      </c>
      <c r="M46" s="95">
        <f t="shared" si="0"/>
        <v>114.28571428571428</v>
      </c>
    </row>
    <row r="47" spans="2:13" ht="74.25" customHeight="1" x14ac:dyDescent="0.25">
      <c r="B47" s="9">
        <v>42</v>
      </c>
      <c r="C47" s="15">
        <v>103</v>
      </c>
      <c r="D47" s="41" t="s">
        <v>164</v>
      </c>
      <c r="E47" s="87">
        <v>3</v>
      </c>
      <c r="F47" s="108">
        <v>4</v>
      </c>
      <c r="G47" s="109"/>
      <c r="H47" s="237" t="s">
        <v>165</v>
      </c>
      <c r="I47" s="239" t="s">
        <v>166</v>
      </c>
      <c r="J47" s="88">
        <v>20000000</v>
      </c>
      <c r="K47" s="89">
        <v>0</v>
      </c>
      <c r="L47" s="90">
        <v>0</v>
      </c>
      <c r="M47" s="36">
        <f t="shared" si="0"/>
        <v>0</v>
      </c>
    </row>
    <row r="48" spans="2:13" ht="51.75" customHeight="1" x14ac:dyDescent="0.25">
      <c r="B48" s="9">
        <v>43</v>
      </c>
      <c r="C48" s="15">
        <v>104</v>
      </c>
      <c r="D48" s="41" t="s">
        <v>167</v>
      </c>
      <c r="E48" s="87">
        <v>4</v>
      </c>
      <c r="F48" s="108">
        <v>10</v>
      </c>
      <c r="G48" s="109"/>
      <c r="H48" s="241"/>
      <c r="I48" s="242"/>
      <c r="J48" s="88">
        <v>30000000</v>
      </c>
      <c r="K48" s="89">
        <v>0</v>
      </c>
      <c r="L48" s="90">
        <v>0</v>
      </c>
      <c r="M48" s="36">
        <f t="shared" si="0"/>
        <v>0</v>
      </c>
    </row>
    <row r="49" spans="2:13" ht="108.75" customHeight="1" x14ac:dyDescent="0.25">
      <c r="B49" s="9">
        <v>44</v>
      </c>
      <c r="C49" s="15">
        <v>105</v>
      </c>
      <c r="D49" s="41" t="s">
        <v>168</v>
      </c>
      <c r="E49" s="87">
        <v>43</v>
      </c>
      <c r="F49" s="108">
        <v>44</v>
      </c>
      <c r="G49" s="109"/>
      <c r="H49" s="241"/>
      <c r="I49" s="242"/>
      <c r="J49" s="88">
        <v>30000000</v>
      </c>
      <c r="K49" s="89">
        <v>0</v>
      </c>
      <c r="L49" s="90">
        <v>0</v>
      </c>
      <c r="M49" s="36">
        <f t="shared" si="0"/>
        <v>0</v>
      </c>
    </row>
    <row r="50" spans="2:13" ht="57" x14ac:dyDescent="0.25">
      <c r="B50" s="9">
        <v>45</v>
      </c>
      <c r="C50" s="15">
        <v>106</v>
      </c>
      <c r="D50" s="41" t="s">
        <v>169</v>
      </c>
      <c r="E50" s="87">
        <v>0</v>
      </c>
      <c r="F50" s="108">
        <v>1</v>
      </c>
      <c r="G50" s="109"/>
      <c r="H50" s="241"/>
      <c r="I50" s="242"/>
      <c r="J50" s="88">
        <v>50000000</v>
      </c>
      <c r="K50" s="89">
        <v>0</v>
      </c>
      <c r="L50" s="90">
        <v>0</v>
      </c>
      <c r="M50" s="36">
        <f t="shared" si="0"/>
        <v>0</v>
      </c>
    </row>
    <row r="51" spans="2:13" ht="99" customHeight="1" x14ac:dyDescent="0.25">
      <c r="B51" s="9">
        <v>46</v>
      </c>
      <c r="C51" s="15">
        <v>107</v>
      </c>
      <c r="D51" s="41" t="s">
        <v>170</v>
      </c>
      <c r="E51" s="87">
        <v>1</v>
      </c>
      <c r="F51" s="108">
        <v>1</v>
      </c>
      <c r="G51" s="109"/>
      <c r="H51" s="238"/>
      <c r="I51" s="240"/>
      <c r="J51" s="88">
        <v>50000000</v>
      </c>
      <c r="K51" s="89">
        <v>0</v>
      </c>
      <c r="L51" s="90">
        <v>0</v>
      </c>
      <c r="M51" s="36">
        <f t="shared" si="0"/>
        <v>0</v>
      </c>
    </row>
    <row r="52" spans="2:13" ht="71.25" x14ac:dyDescent="0.25">
      <c r="B52" s="9">
        <v>47</v>
      </c>
      <c r="C52" s="15">
        <v>108</v>
      </c>
      <c r="D52" s="41" t="s">
        <v>171</v>
      </c>
      <c r="E52" s="87">
        <v>4</v>
      </c>
      <c r="F52" s="108">
        <v>4</v>
      </c>
      <c r="G52" s="109"/>
      <c r="H52" s="237" t="s">
        <v>172</v>
      </c>
      <c r="I52" s="239" t="s">
        <v>173</v>
      </c>
      <c r="J52" s="88">
        <v>10000000</v>
      </c>
      <c r="K52" s="89">
        <v>0</v>
      </c>
      <c r="L52" s="90">
        <v>0</v>
      </c>
      <c r="M52" s="36">
        <f t="shared" si="0"/>
        <v>0</v>
      </c>
    </row>
    <row r="53" spans="2:13" ht="84" customHeight="1" x14ac:dyDescent="0.25">
      <c r="B53" s="9">
        <v>48</v>
      </c>
      <c r="C53" s="15">
        <v>109</v>
      </c>
      <c r="D53" s="41" t="s">
        <v>174</v>
      </c>
      <c r="E53" s="87">
        <v>0</v>
      </c>
      <c r="F53" s="108">
        <v>6</v>
      </c>
      <c r="G53" s="110">
        <v>0.2</v>
      </c>
      <c r="H53" s="238"/>
      <c r="I53" s="240"/>
      <c r="J53" s="88">
        <v>70000000</v>
      </c>
      <c r="K53" s="89">
        <v>2000000</v>
      </c>
      <c r="L53" s="90">
        <v>0</v>
      </c>
      <c r="M53" s="36">
        <f t="shared" si="0"/>
        <v>3.3333333333333335</v>
      </c>
    </row>
    <row r="54" spans="2:13" ht="213.75" x14ac:dyDescent="0.25">
      <c r="B54" s="9">
        <v>49</v>
      </c>
      <c r="C54" s="15">
        <v>110</v>
      </c>
      <c r="D54" s="41" t="s">
        <v>175</v>
      </c>
      <c r="E54" s="82">
        <v>180</v>
      </c>
      <c r="F54" s="106">
        <v>183</v>
      </c>
      <c r="G54" s="99">
        <v>0</v>
      </c>
      <c r="H54" s="111" t="s">
        <v>176</v>
      </c>
      <c r="I54" s="112" t="s">
        <v>177</v>
      </c>
      <c r="J54" s="84">
        <f>661085590.45+ 853575840</f>
        <v>1514661430.45</v>
      </c>
      <c r="K54" s="89">
        <v>585122890.55999994</v>
      </c>
      <c r="L54" s="90">
        <v>0</v>
      </c>
      <c r="M54" s="36">
        <f t="shared" si="0"/>
        <v>0</v>
      </c>
    </row>
    <row r="55" spans="2:13" ht="195" x14ac:dyDescent="0.25">
      <c r="B55" s="9">
        <v>50</v>
      </c>
      <c r="C55" s="10">
        <v>111</v>
      </c>
      <c r="D55" s="41" t="s">
        <v>178</v>
      </c>
      <c r="E55" s="113">
        <v>1</v>
      </c>
      <c r="F55" s="113">
        <v>1</v>
      </c>
      <c r="G55" s="114">
        <v>0.60529999999999995</v>
      </c>
      <c r="H55" s="15" t="s">
        <v>179</v>
      </c>
      <c r="I55" s="115" t="s">
        <v>180</v>
      </c>
      <c r="J55" s="84">
        <f>8447064906.89+6544344165.11</f>
        <v>14991409072</v>
      </c>
      <c r="K55" s="85">
        <f>2700090003.04+6536844165.11</f>
        <v>9236934168.1499996</v>
      </c>
      <c r="L55" s="86">
        <f>2682499276.04+6391967596.61</f>
        <v>9074466872.6499996</v>
      </c>
      <c r="M55" s="67">
        <f t="shared" si="0"/>
        <v>60.529999999999994</v>
      </c>
    </row>
    <row r="56" spans="2:13" ht="57" x14ac:dyDescent="0.25">
      <c r="B56" s="9">
        <v>51</v>
      </c>
      <c r="C56" s="10">
        <v>112</v>
      </c>
      <c r="D56" s="41" t="s">
        <v>181</v>
      </c>
      <c r="E56" s="87">
        <v>0</v>
      </c>
      <c r="F56" s="106">
        <v>8</v>
      </c>
      <c r="G56" s="116"/>
      <c r="H56" s="260" t="s">
        <v>182</v>
      </c>
      <c r="I56" s="239" t="s">
        <v>183</v>
      </c>
      <c r="J56" s="97">
        <v>30000000</v>
      </c>
      <c r="K56" s="90">
        <v>0</v>
      </c>
      <c r="L56" s="90">
        <v>0</v>
      </c>
      <c r="M56" s="36">
        <f t="shared" si="0"/>
        <v>0</v>
      </c>
    </row>
    <row r="57" spans="2:13" ht="85.5" x14ac:dyDescent="0.25">
      <c r="B57" s="9">
        <v>52</v>
      </c>
      <c r="C57" s="10">
        <v>113</v>
      </c>
      <c r="D57" s="41" t="s">
        <v>184</v>
      </c>
      <c r="E57" s="87">
        <v>0</v>
      </c>
      <c r="F57" s="106">
        <v>1</v>
      </c>
      <c r="G57" s="117"/>
      <c r="H57" s="261"/>
      <c r="I57" s="240"/>
      <c r="J57" s="97">
        <v>120000000</v>
      </c>
      <c r="K57" s="90">
        <v>0</v>
      </c>
      <c r="L57" s="90">
        <v>0</v>
      </c>
      <c r="M57" s="36">
        <f t="shared" si="0"/>
        <v>0</v>
      </c>
    </row>
    <row r="58" spans="2:13" ht="79.5" customHeight="1" x14ac:dyDescent="0.25">
      <c r="B58" s="9">
        <v>53</v>
      </c>
      <c r="C58" s="10">
        <v>182</v>
      </c>
      <c r="D58" s="41" t="s">
        <v>185</v>
      </c>
      <c r="E58" s="87">
        <v>1</v>
      </c>
      <c r="F58" s="82">
        <v>1</v>
      </c>
      <c r="G58" s="91"/>
      <c r="H58" s="15" t="s">
        <v>186</v>
      </c>
      <c r="I58" s="41" t="s">
        <v>187</v>
      </c>
      <c r="J58" s="88">
        <v>40000000</v>
      </c>
      <c r="K58" s="89">
        <v>0</v>
      </c>
      <c r="L58" s="90">
        <v>0</v>
      </c>
      <c r="M58" s="36">
        <f t="shared" si="0"/>
        <v>0</v>
      </c>
    </row>
    <row r="59" spans="2:13" ht="36" customHeight="1" x14ac:dyDescent="0.25">
      <c r="B59" s="9" t="s">
        <v>36</v>
      </c>
      <c r="C59" s="29"/>
      <c r="D59" s="118" t="s">
        <v>28</v>
      </c>
      <c r="E59" s="119"/>
      <c r="F59" s="119"/>
      <c r="G59" s="119"/>
      <c r="H59" s="119"/>
      <c r="I59" s="119"/>
      <c r="J59" s="120">
        <f>SUM(J8:J58)</f>
        <v>129861643511.28999</v>
      </c>
      <c r="K59" s="120">
        <f t="shared" ref="K59:L59" si="1">SUM(K8:K58)</f>
        <v>85014401890.839996</v>
      </c>
      <c r="L59" s="120">
        <f t="shared" si="1"/>
        <v>77578430403.779999</v>
      </c>
      <c r="M59" s="24"/>
    </row>
    <row r="64" spans="2:13" ht="60" x14ac:dyDescent="0.25">
      <c r="H64" s="20" t="s">
        <v>22</v>
      </c>
      <c r="I64" s="21" t="s">
        <v>23</v>
      </c>
      <c r="J64" s="23" t="s">
        <v>24</v>
      </c>
    </row>
    <row r="65" spans="8:10" x14ac:dyDescent="0.25">
      <c r="H65" s="24" t="s">
        <v>25</v>
      </c>
      <c r="I65" s="9">
        <v>19</v>
      </c>
      <c r="J65" s="121">
        <f>+I65/$G$22*100</f>
        <v>20.87912087912088</v>
      </c>
    </row>
    <row r="66" spans="8:10" x14ac:dyDescent="0.25">
      <c r="H66" s="24" t="s">
        <v>26</v>
      </c>
      <c r="I66" s="9">
        <v>4</v>
      </c>
      <c r="J66" s="121">
        <f>+I66/$G$22*100</f>
        <v>4.395604395604396</v>
      </c>
    </row>
    <row r="67" spans="8:10" x14ac:dyDescent="0.25">
      <c r="H67" s="24" t="s">
        <v>27</v>
      </c>
      <c r="I67" s="9">
        <f>53-23</f>
        <v>30</v>
      </c>
      <c r="J67" s="121">
        <f>+I67/$G$22*100</f>
        <v>32.967032967032964</v>
      </c>
    </row>
    <row r="68" spans="8:10" x14ac:dyDescent="0.25">
      <c r="H68" s="28" t="s">
        <v>28</v>
      </c>
      <c r="I68" s="22">
        <f>SUM(I65:I67)</f>
        <v>53</v>
      </c>
      <c r="J68" s="122">
        <f>+I68/$G$22*100</f>
        <v>58.241758241758248</v>
      </c>
    </row>
  </sheetData>
  <mergeCells count="21">
    <mergeCell ref="H56:H57"/>
    <mergeCell ref="I56:I57"/>
    <mergeCell ref="H42:H46"/>
    <mergeCell ref="I42:I46"/>
    <mergeCell ref="H47:H51"/>
    <mergeCell ref="I47:I51"/>
    <mergeCell ref="H52:H53"/>
    <mergeCell ref="I52:I53"/>
    <mergeCell ref="H18:H25"/>
    <mergeCell ref="I18:I25"/>
    <mergeCell ref="H26:H35"/>
    <mergeCell ref="I26:I35"/>
    <mergeCell ref="H36:H39"/>
    <mergeCell ref="I36:I39"/>
    <mergeCell ref="H11:H16"/>
    <mergeCell ref="I11:I16"/>
    <mergeCell ref="B3:M3"/>
    <mergeCell ref="B4:M4"/>
    <mergeCell ref="B5:M5"/>
    <mergeCell ref="H8:H10"/>
    <mergeCell ref="I8:I10"/>
  </mergeCells>
  <pageMargins left="0.7" right="0.7" top="0.75" bottom="0.75" header="0.3" footer="0.3"/>
  <pageSetup scale="3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8"/>
  <sheetViews>
    <sheetView zoomScale="80" zoomScaleNormal="80" workbookViewId="0">
      <selection activeCell="J43" sqref="J43"/>
    </sheetView>
  </sheetViews>
  <sheetFormatPr baseColWidth="10" defaultRowHeight="15" x14ac:dyDescent="0.25"/>
  <cols>
    <col min="2" max="2" width="16.85546875" style="4" customWidth="1"/>
    <col min="4" max="4" width="31.140625" customWidth="1"/>
    <col min="8" max="8" width="18.7109375" hidden="1" customWidth="1"/>
    <col min="9" max="9" width="22.28515625" hidden="1" customWidth="1"/>
    <col min="10" max="10" width="25.5703125" customWidth="1"/>
    <col min="11" max="11" width="25.42578125" customWidth="1"/>
    <col min="12" max="12" width="26.85546875" customWidth="1"/>
    <col min="13" max="13" width="26.42578125" style="4" customWidth="1"/>
  </cols>
  <sheetData>
    <row r="2" spans="2:13" ht="18.75" x14ac:dyDescent="0.3">
      <c r="B2" s="81"/>
      <c r="C2" s="2"/>
      <c r="D2" s="2"/>
      <c r="E2" s="2"/>
      <c r="F2" s="2"/>
      <c r="G2" s="2"/>
      <c r="H2" s="2"/>
      <c r="I2" s="2"/>
      <c r="J2" s="3"/>
      <c r="K2" s="3"/>
      <c r="L2" s="3"/>
      <c r="M2" s="1"/>
    </row>
    <row r="3" spans="2:13" ht="18.75" x14ac:dyDescent="0.3">
      <c r="B3" s="236" t="s">
        <v>0</v>
      </c>
      <c r="C3" s="236"/>
      <c r="D3" s="236"/>
      <c r="E3" s="236"/>
      <c r="F3" s="236"/>
      <c r="G3" s="236"/>
      <c r="H3" s="236"/>
      <c r="I3" s="236"/>
      <c r="J3" s="236"/>
      <c r="K3" s="236"/>
      <c r="L3" s="236"/>
      <c r="M3" s="236"/>
    </row>
    <row r="4" spans="2:13" ht="18.75" x14ac:dyDescent="0.3">
      <c r="B4" s="236" t="s">
        <v>204</v>
      </c>
      <c r="C4" s="236"/>
      <c r="D4" s="236"/>
      <c r="E4" s="236"/>
      <c r="F4" s="236"/>
      <c r="G4" s="236"/>
      <c r="H4" s="236"/>
      <c r="I4" s="236"/>
      <c r="J4" s="236"/>
      <c r="K4" s="236"/>
      <c r="L4" s="236"/>
      <c r="M4" s="236"/>
    </row>
    <row r="5" spans="2:13" ht="18.75" x14ac:dyDescent="0.3">
      <c r="B5" s="236" t="s">
        <v>2</v>
      </c>
      <c r="C5" s="236"/>
      <c r="D5" s="236"/>
      <c r="E5" s="236"/>
      <c r="F5" s="236"/>
      <c r="G5" s="236"/>
      <c r="H5" s="236"/>
      <c r="I5" s="236"/>
      <c r="J5" s="236"/>
      <c r="K5" s="236"/>
      <c r="L5" s="236"/>
      <c r="M5" s="236"/>
    </row>
    <row r="6" spans="2:13" ht="60" x14ac:dyDescent="0.25">
      <c r="B6" s="6" t="s">
        <v>3</v>
      </c>
      <c r="C6" s="7" t="s">
        <v>4</v>
      </c>
      <c r="D6" s="7" t="s">
        <v>5</v>
      </c>
      <c r="E6" s="7" t="s">
        <v>6</v>
      </c>
      <c r="F6" s="6" t="s">
        <v>7</v>
      </c>
      <c r="G6" s="6" t="s">
        <v>8</v>
      </c>
      <c r="H6" s="6" t="s">
        <v>9</v>
      </c>
      <c r="I6" s="6" t="s">
        <v>10</v>
      </c>
      <c r="J6" s="6" t="s">
        <v>11</v>
      </c>
      <c r="K6" s="6" t="s">
        <v>12</v>
      </c>
      <c r="L6" s="6" t="s">
        <v>13</v>
      </c>
      <c r="M6" s="8" t="s">
        <v>14</v>
      </c>
    </row>
    <row r="7" spans="2:13" ht="85.5" x14ac:dyDescent="0.25">
      <c r="B7" s="9">
        <v>1</v>
      </c>
      <c r="C7" s="10">
        <v>214</v>
      </c>
      <c r="D7" s="41" t="s">
        <v>205</v>
      </c>
      <c r="E7" s="70" t="s">
        <v>16</v>
      </c>
      <c r="F7" s="13">
        <v>1</v>
      </c>
      <c r="G7" s="145">
        <v>0</v>
      </c>
      <c r="H7" s="252" t="s">
        <v>206</v>
      </c>
      <c r="I7" s="253" t="s">
        <v>207</v>
      </c>
      <c r="J7" s="146">
        <v>308196263.55000001</v>
      </c>
      <c r="K7" s="18">
        <v>0</v>
      </c>
      <c r="L7" s="18">
        <v>0</v>
      </c>
      <c r="M7" s="36">
        <f>+G7/$F$7*100</f>
        <v>0</v>
      </c>
    </row>
    <row r="8" spans="2:13" ht="57" x14ac:dyDescent="0.25">
      <c r="B8" s="9">
        <v>2</v>
      </c>
      <c r="C8" s="75">
        <v>215</v>
      </c>
      <c r="D8" s="11" t="s">
        <v>208</v>
      </c>
      <c r="E8" s="13">
        <v>10</v>
      </c>
      <c r="F8" s="13">
        <v>2</v>
      </c>
      <c r="G8" s="145">
        <v>0</v>
      </c>
      <c r="H8" s="252"/>
      <c r="I8" s="253"/>
      <c r="J8" s="146">
        <v>20000000</v>
      </c>
      <c r="K8" s="18">
        <v>0</v>
      </c>
      <c r="L8" s="18">
        <v>0</v>
      </c>
      <c r="M8" s="36">
        <f t="shared" ref="M8:M38" si="0">+G8/$F$7*100</f>
        <v>0</v>
      </c>
    </row>
    <row r="9" spans="2:13" ht="71.25" x14ac:dyDescent="0.25">
      <c r="B9" s="9">
        <v>3</v>
      </c>
      <c r="C9" s="10">
        <v>216</v>
      </c>
      <c r="D9" s="41" t="s">
        <v>209</v>
      </c>
      <c r="E9" s="147" t="s">
        <v>210</v>
      </c>
      <c r="F9" s="148">
        <v>1</v>
      </c>
      <c r="G9" s="145">
        <v>9.8945810376230819E-2</v>
      </c>
      <c r="H9" s="252"/>
      <c r="I9" s="253"/>
      <c r="J9" s="146">
        <v>3031962635.5</v>
      </c>
      <c r="K9" s="18">
        <v>20200000</v>
      </c>
      <c r="L9" s="18">
        <v>3000000</v>
      </c>
      <c r="M9" s="36">
        <f t="shared" si="0"/>
        <v>9.8945810376230821</v>
      </c>
    </row>
    <row r="10" spans="2:13" ht="85.5" x14ac:dyDescent="0.25">
      <c r="B10" s="9">
        <v>4</v>
      </c>
      <c r="C10" s="10">
        <v>217</v>
      </c>
      <c r="D10" s="41" t="s">
        <v>211</v>
      </c>
      <c r="E10" s="147" t="s">
        <v>210</v>
      </c>
      <c r="F10" s="148" t="s">
        <v>212</v>
      </c>
      <c r="G10" s="145">
        <v>0</v>
      </c>
      <c r="H10" s="252"/>
      <c r="I10" s="253"/>
      <c r="J10" s="146">
        <v>1789177581.3</v>
      </c>
      <c r="K10" s="18">
        <v>105726418</v>
      </c>
      <c r="L10" s="18">
        <v>3000000</v>
      </c>
      <c r="M10" s="36">
        <f t="shared" si="0"/>
        <v>0</v>
      </c>
    </row>
    <row r="11" spans="2:13" ht="28.5" x14ac:dyDescent="0.25">
      <c r="B11" s="9">
        <v>5</v>
      </c>
      <c r="C11" s="10">
        <v>218</v>
      </c>
      <c r="D11" s="30" t="s">
        <v>213</v>
      </c>
      <c r="E11" s="12">
        <v>3</v>
      </c>
      <c r="F11" s="13">
        <v>3</v>
      </c>
      <c r="G11" s="145">
        <v>0</v>
      </c>
      <c r="H11" s="252"/>
      <c r="I11" s="253"/>
      <c r="J11" s="146">
        <v>894588790.64999998</v>
      </c>
      <c r="K11" s="18">
        <v>5600000</v>
      </c>
      <c r="L11" s="18">
        <v>2000000</v>
      </c>
      <c r="M11" s="36">
        <f t="shared" si="0"/>
        <v>0</v>
      </c>
    </row>
    <row r="12" spans="2:13" ht="85.5" x14ac:dyDescent="0.25">
      <c r="B12" s="9">
        <v>6</v>
      </c>
      <c r="C12" s="10">
        <v>219</v>
      </c>
      <c r="D12" s="30" t="s">
        <v>214</v>
      </c>
      <c r="E12" s="12" t="s">
        <v>16</v>
      </c>
      <c r="F12" s="13">
        <v>3</v>
      </c>
      <c r="G12" s="145">
        <v>0</v>
      </c>
      <c r="H12" s="237" t="s">
        <v>215</v>
      </c>
      <c r="I12" s="239" t="s">
        <v>216</v>
      </c>
      <c r="J12" s="146">
        <v>12500000</v>
      </c>
      <c r="K12" s="18">
        <v>0</v>
      </c>
      <c r="L12" s="18">
        <v>0</v>
      </c>
      <c r="M12" s="36">
        <f t="shared" si="0"/>
        <v>0</v>
      </c>
    </row>
    <row r="13" spans="2:13" ht="57" x14ac:dyDescent="0.25">
      <c r="B13" s="9">
        <v>7</v>
      </c>
      <c r="C13" s="10">
        <v>220</v>
      </c>
      <c r="D13" s="30" t="s">
        <v>217</v>
      </c>
      <c r="E13" s="12">
        <v>0</v>
      </c>
      <c r="F13" s="13">
        <v>1</v>
      </c>
      <c r="G13" s="145">
        <v>0</v>
      </c>
      <c r="H13" s="241"/>
      <c r="I13" s="242"/>
      <c r="J13" s="146">
        <v>232500000</v>
      </c>
      <c r="K13" s="18">
        <v>82196663</v>
      </c>
      <c r="L13" s="18">
        <v>0</v>
      </c>
      <c r="M13" s="36">
        <f t="shared" si="0"/>
        <v>0</v>
      </c>
    </row>
    <row r="14" spans="2:13" ht="28.5" x14ac:dyDescent="0.25">
      <c r="B14" s="9">
        <v>8</v>
      </c>
      <c r="C14" s="10">
        <v>221</v>
      </c>
      <c r="D14" s="30" t="s">
        <v>218</v>
      </c>
      <c r="E14" s="12">
        <v>1</v>
      </c>
      <c r="F14" s="13">
        <v>1</v>
      </c>
      <c r="G14" s="145">
        <v>0</v>
      </c>
      <c r="H14" s="241"/>
      <c r="I14" s="242"/>
      <c r="J14" s="146">
        <v>3000000</v>
      </c>
      <c r="K14" s="18">
        <v>0</v>
      </c>
      <c r="L14" s="18">
        <v>0</v>
      </c>
      <c r="M14" s="36">
        <f t="shared" si="0"/>
        <v>0</v>
      </c>
    </row>
    <row r="15" spans="2:13" ht="57" x14ac:dyDescent="0.25">
      <c r="B15" s="9">
        <v>9</v>
      </c>
      <c r="C15" s="10">
        <v>222</v>
      </c>
      <c r="D15" s="30" t="s">
        <v>219</v>
      </c>
      <c r="E15" s="12">
        <v>1</v>
      </c>
      <c r="F15" s="13">
        <v>1</v>
      </c>
      <c r="G15" s="145">
        <v>0</v>
      </c>
      <c r="H15" s="238"/>
      <c r="I15" s="240"/>
      <c r="J15" s="146">
        <v>2000000</v>
      </c>
      <c r="K15" s="18">
        <v>2000000</v>
      </c>
      <c r="L15" s="18">
        <v>0</v>
      </c>
      <c r="M15" s="36">
        <f t="shared" si="0"/>
        <v>0</v>
      </c>
    </row>
    <row r="16" spans="2:13" ht="85.5" customHeight="1" x14ac:dyDescent="0.25">
      <c r="B16" s="9">
        <v>10</v>
      </c>
      <c r="C16" s="10">
        <v>226</v>
      </c>
      <c r="D16" s="30" t="s">
        <v>220</v>
      </c>
      <c r="E16" s="12">
        <v>12</v>
      </c>
      <c r="F16" s="70">
        <v>12</v>
      </c>
      <c r="G16" s="149">
        <v>1</v>
      </c>
      <c r="H16" s="237" t="s">
        <v>221</v>
      </c>
      <c r="I16" s="239" t="s">
        <v>222</v>
      </c>
      <c r="J16" s="16">
        <v>168592000</v>
      </c>
      <c r="K16" s="17">
        <v>38700000</v>
      </c>
      <c r="L16" s="18">
        <v>9400000</v>
      </c>
      <c r="M16" s="36">
        <f>0.0833333333333333*100</f>
        <v>8.3333333333333304</v>
      </c>
    </row>
    <row r="17" spans="2:13" ht="57" x14ac:dyDescent="0.25">
      <c r="B17" s="9">
        <v>11</v>
      </c>
      <c r="C17" s="10">
        <v>227</v>
      </c>
      <c r="D17" s="30" t="s">
        <v>223</v>
      </c>
      <c r="E17" s="12">
        <v>12</v>
      </c>
      <c r="F17" s="70">
        <v>12</v>
      </c>
      <c r="G17" s="149">
        <v>6</v>
      </c>
      <c r="H17" s="241"/>
      <c r="I17" s="242"/>
      <c r="J17" s="16">
        <f>137300000+48962000</f>
        <v>186262000</v>
      </c>
      <c r="K17" s="17">
        <v>48962000</v>
      </c>
      <c r="L17" s="18">
        <v>17830300</v>
      </c>
      <c r="M17" s="67">
        <f>0.5*100</f>
        <v>50</v>
      </c>
    </row>
    <row r="18" spans="2:13" ht="71.25" x14ac:dyDescent="0.25">
      <c r="B18" s="9">
        <v>12</v>
      </c>
      <c r="C18" s="10">
        <v>228</v>
      </c>
      <c r="D18" s="30" t="s">
        <v>224</v>
      </c>
      <c r="E18" s="12">
        <v>2</v>
      </c>
      <c r="F18" s="70">
        <v>2</v>
      </c>
      <c r="G18" s="149">
        <v>0</v>
      </c>
      <c r="H18" s="241"/>
      <c r="I18" s="242"/>
      <c r="J18" s="16">
        <v>29946000</v>
      </c>
      <c r="K18" s="17">
        <v>4000000</v>
      </c>
      <c r="L18" s="18">
        <v>0</v>
      </c>
      <c r="M18" s="36">
        <f t="shared" si="0"/>
        <v>0</v>
      </c>
    </row>
    <row r="19" spans="2:13" ht="71.25" x14ac:dyDescent="0.25">
      <c r="B19" s="9">
        <v>13</v>
      </c>
      <c r="C19" s="10">
        <v>229</v>
      </c>
      <c r="D19" s="30" t="s">
        <v>225</v>
      </c>
      <c r="E19" s="150">
        <v>13</v>
      </c>
      <c r="F19" s="150">
        <v>13</v>
      </c>
      <c r="G19" s="149">
        <v>1</v>
      </c>
      <c r="H19" s="241"/>
      <c r="I19" s="242"/>
      <c r="J19" s="16">
        <f>41700000+10000000</f>
        <v>51700000</v>
      </c>
      <c r="K19" s="17">
        <f>14000000+10000000</f>
        <v>24000000</v>
      </c>
      <c r="L19" s="18">
        <v>10000000</v>
      </c>
      <c r="M19" s="36">
        <f>+G19/F19*100</f>
        <v>7.6923076923076925</v>
      </c>
    </row>
    <row r="20" spans="2:13" ht="85.5" x14ac:dyDescent="0.25">
      <c r="B20" s="9">
        <v>14</v>
      </c>
      <c r="C20" s="10">
        <v>230</v>
      </c>
      <c r="D20" s="30" t="s">
        <v>226</v>
      </c>
      <c r="E20" s="12">
        <v>0</v>
      </c>
      <c r="F20" s="150">
        <v>1</v>
      </c>
      <c r="G20" s="151">
        <v>0</v>
      </c>
      <c r="H20" s="238"/>
      <c r="I20" s="240"/>
      <c r="J20" s="16">
        <v>28500000</v>
      </c>
      <c r="K20" s="17">
        <v>5700000</v>
      </c>
      <c r="L20" s="18">
        <v>0</v>
      </c>
      <c r="M20" s="36">
        <f t="shared" si="0"/>
        <v>0</v>
      </c>
    </row>
    <row r="21" spans="2:13" ht="71.25" customHeight="1" x14ac:dyDescent="0.25">
      <c r="B21" s="9">
        <v>15</v>
      </c>
      <c r="C21" s="10">
        <v>231</v>
      </c>
      <c r="D21" s="30" t="s">
        <v>227</v>
      </c>
      <c r="E21" s="12">
        <v>1</v>
      </c>
      <c r="F21" s="12">
        <v>1</v>
      </c>
      <c r="G21" s="64">
        <v>0</v>
      </c>
      <c r="H21" s="237" t="s">
        <v>228</v>
      </c>
      <c r="I21" s="239" t="s">
        <v>229</v>
      </c>
      <c r="J21" s="146">
        <v>3000000</v>
      </c>
      <c r="K21" s="18">
        <v>0</v>
      </c>
      <c r="L21" s="18">
        <v>0</v>
      </c>
      <c r="M21" s="36">
        <f t="shared" si="0"/>
        <v>0</v>
      </c>
    </row>
    <row r="22" spans="2:13" ht="71.25" x14ac:dyDescent="0.25">
      <c r="B22" s="9">
        <v>16</v>
      </c>
      <c r="C22" s="10">
        <v>232</v>
      </c>
      <c r="D22" s="41" t="s">
        <v>230</v>
      </c>
      <c r="E22" s="12">
        <v>12</v>
      </c>
      <c r="F22" s="12">
        <v>12</v>
      </c>
      <c r="G22" s="152">
        <v>6</v>
      </c>
      <c r="H22" s="241"/>
      <c r="I22" s="242"/>
      <c r="J22" s="146">
        <f>4500000+13900000</f>
        <v>18400000</v>
      </c>
      <c r="K22" s="18">
        <f>4000000+13900000</f>
        <v>17900000</v>
      </c>
      <c r="L22" s="18">
        <v>13900000</v>
      </c>
      <c r="M22" s="67">
        <f>+G22/F22*100</f>
        <v>50</v>
      </c>
    </row>
    <row r="23" spans="2:13" ht="42.75" x14ac:dyDescent="0.25">
      <c r="B23" s="9">
        <v>17</v>
      </c>
      <c r="C23" s="10">
        <v>233</v>
      </c>
      <c r="D23" s="41" t="s">
        <v>231</v>
      </c>
      <c r="E23" s="12">
        <v>1</v>
      </c>
      <c r="F23" s="12">
        <v>1</v>
      </c>
      <c r="G23" s="152">
        <v>0</v>
      </c>
      <c r="H23" s="238"/>
      <c r="I23" s="240"/>
      <c r="J23" s="146">
        <f>9600000+5000000</f>
        <v>14600000</v>
      </c>
      <c r="K23" s="18">
        <f>6500000+5000000</f>
        <v>11500000</v>
      </c>
      <c r="L23" s="18">
        <v>3521500</v>
      </c>
      <c r="M23" s="36">
        <f t="shared" si="0"/>
        <v>0</v>
      </c>
    </row>
    <row r="24" spans="2:13" ht="99.75" x14ac:dyDescent="0.25">
      <c r="B24" s="9">
        <v>18</v>
      </c>
      <c r="C24" s="10">
        <v>234</v>
      </c>
      <c r="D24" s="41" t="s">
        <v>232</v>
      </c>
      <c r="E24" s="70" t="s">
        <v>16</v>
      </c>
      <c r="F24" s="13">
        <v>1</v>
      </c>
      <c r="G24" s="14">
        <v>0</v>
      </c>
      <c r="H24" s="237" t="s">
        <v>233</v>
      </c>
      <c r="I24" s="244" t="s">
        <v>234</v>
      </c>
      <c r="J24" s="146">
        <v>3000000</v>
      </c>
      <c r="K24" s="18">
        <v>3000000</v>
      </c>
      <c r="L24" s="18">
        <v>0</v>
      </c>
      <c r="M24" s="36">
        <f t="shared" si="0"/>
        <v>0</v>
      </c>
    </row>
    <row r="25" spans="2:13" ht="85.5" x14ac:dyDescent="0.25">
      <c r="B25" s="9">
        <v>19</v>
      </c>
      <c r="C25" s="10">
        <v>235</v>
      </c>
      <c r="D25" s="41" t="s">
        <v>235</v>
      </c>
      <c r="E25" s="70" t="s">
        <v>16</v>
      </c>
      <c r="F25" s="13">
        <v>1</v>
      </c>
      <c r="G25" s="14">
        <v>0</v>
      </c>
      <c r="H25" s="238"/>
      <c r="I25" s="246"/>
      <c r="J25" s="146">
        <v>13000000</v>
      </c>
      <c r="K25" s="18">
        <v>1475000</v>
      </c>
      <c r="L25" s="18">
        <v>0</v>
      </c>
      <c r="M25" s="36">
        <f t="shared" si="0"/>
        <v>0</v>
      </c>
    </row>
    <row r="26" spans="2:13" ht="99.75" x14ac:dyDescent="0.25">
      <c r="B26" s="9">
        <v>20</v>
      </c>
      <c r="C26" s="10">
        <v>234</v>
      </c>
      <c r="D26" s="41" t="s">
        <v>232</v>
      </c>
      <c r="E26" s="70" t="s">
        <v>16</v>
      </c>
      <c r="F26" s="13">
        <v>1</v>
      </c>
      <c r="G26" s="14">
        <v>0.77</v>
      </c>
      <c r="H26" s="237" t="s">
        <v>236</v>
      </c>
      <c r="I26" s="244" t="s">
        <v>237</v>
      </c>
      <c r="J26" s="146">
        <v>10000000</v>
      </c>
      <c r="K26" s="18">
        <v>10000000</v>
      </c>
      <c r="L26" s="18">
        <v>10000000</v>
      </c>
      <c r="M26" s="36">
        <f t="shared" si="0"/>
        <v>77</v>
      </c>
    </row>
    <row r="27" spans="2:13" ht="85.5" x14ac:dyDescent="0.25">
      <c r="B27" s="9">
        <v>21</v>
      </c>
      <c r="C27" s="10">
        <v>235</v>
      </c>
      <c r="D27" s="41" t="s">
        <v>235</v>
      </c>
      <c r="E27" s="70" t="s">
        <v>16</v>
      </c>
      <c r="F27" s="13">
        <v>1</v>
      </c>
      <c r="G27" s="126">
        <v>0.43</v>
      </c>
      <c r="H27" s="238"/>
      <c r="I27" s="246"/>
      <c r="J27" s="146">
        <v>10000000</v>
      </c>
      <c r="K27" s="18">
        <v>10000000</v>
      </c>
      <c r="L27" s="18">
        <v>10000000</v>
      </c>
      <c r="M27" s="36">
        <f t="shared" si="0"/>
        <v>43</v>
      </c>
    </row>
    <row r="28" spans="2:13" ht="57" x14ac:dyDescent="0.25">
      <c r="B28" s="9">
        <v>22</v>
      </c>
      <c r="C28" s="10">
        <v>236</v>
      </c>
      <c r="D28" s="41" t="s">
        <v>238</v>
      </c>
      <c r="E28" s="12">
        <v>1</v>
      </c>
      <c r="F28" s="12">
        <v>4</v>
      </c>
      <c r="G28" s="153">
        <v>1</v>
      </c>
      <c r="H28" s="237" t="s">
        <v>239</v>
      </c>
      <c r="I28" s="239" t="s">
        <v>240</v>
      </c>
      <c r="J28" s="146">
        <v>57500000</v>
      </c>
      <c r="K28" s="18">
        <v>5000000</v>
      </c>
      <c r="L28" s="18">
        <v>1250000</v>
      </c>
      <c r="M28" s="36">
        <f>+G28/F28*100</f>
        <v>25</v>
      </c>
    </row>
    <row r="29" spans="2:13" ht="71.25" x14ac:dyDescent="0.25">
      <c r="B29" s="9">
        <v>23</v>
      </c>
      <c r="C29" s="10">
        <v>237</v>
      </c>
      <c r="D29" s="41" t="s">
        <v>241</v>
      </c>
      <c r="E29" s="12" t="s">
        <v>16</v>
      </c>
      <c r="F29" s="12">
        <v>50</v>
      </c>
      <c r="G29" s="153">
        <v>0</v>
      </c>
      <c r="H29" s="241"/>
      <c r="I29" s="242"/>
      <c r="J29" s="146">
        <f>49000000+15200000</f>
        <v>64200000</v>
      </c>
      <c r="K29" s="18">
        <f>10000000+15200000</f>
        <v>25200000</v>
      </c>
      <c r="L29" s="18">
        <f>2500000+15200000</f>
        <v>17700000</v>
      </c>
      <c r="M29" s="36">
        <f t="shared" si="0"/>
        <v>0</v>
      </c>
    </row>
    <row r="30" spans="2:13" ht="114" x14ac:dyDescent="0.25">
      <c r="B30" s="9">
        <v>24</v>
      </c>
      <c r="C30" s="10">
        <v>238</v>
      </c>
      <c r="D30" s="41" t="s">
        <v>242</v>
      </c>
      <c r="E30" s="12" t="s">
        <v>16</v>
      </c>
      <c r="F30" s="12">
        <v>12</v>
      </c>
      <c r="G30" s="153">
        <v>4</v>
      </c>
      <c r="H30" s="241"/>
      <c r="I30" s="242"/>
      <c r="J30" s="146">
        <f>67600000+30000000</f>
        <v>97600000</v>
      </c>
      <c r="K30" s="18">
        <f>7600000+30000000</f>
        <v>37600000</v>
      </c>
      <c r="L30" s="18">
        <f>1900000+30000000</f>
        <v>31900000</v>
      </c>
      <c r="M30" s="36">
        <f>+G30/F30*100</f>
        <v>33.333333333333329</v>
      </c>
    </row>
    <row r="31" spans="2:13" ht="42.75" x14ac:dyDescent="0.25">
      <c r="B31" s="9">
        <v>25</v>
      </c>
      <c r="C31" s="10">
        <v>239</v>
      </c>
      <c r="D31" s="30" t="s">
        <v>243</v>
      </c>
      <c r="E31" s="12" t="s">
        <v>16</v>
      </c>
      <c r="F31" s="13">
        <v>1</v>
      </c>
      <c r="G31" s="136">
        <v>0.02</v>
      </c>
      <c r="H31" s="241"/>
      <c r="I31" s="242"/>
      <c r="J31" s="146">
        <v>60028000</v>
      </c>
      <c r="K31" s="18">
        <v>5000000</v>
      </c>
      <c r="L31" s="18">
        <v>1250000</v>
      </c>
      <c r="M31" s="36">
        <v>0</v>
      </c>
    </row>
    <row r="32" spans="2:13" ht="42.75" x14ac:dyDescent="0.25">
      <c r="B32" s="9">
        <v>26</v>
      </c>
      <c r="C32" s="10">
        <v>240</v>
      </c>
      <c r="D32" s="30" t="s">
        <v>244</v>
      </c>
      <c r="E32" s="12">
        <v>1</v>
      </c>
      <c r="F32" s="13">
        <v>1</v>
      </c>
      <c r="G32" s="145">
        <v>0.36</v>
      </c>
      <c r="H32" s="238"/>
      <c r="I32" s="240"/>
      <c r="J32" s="146">
        <f>80800000+39872000</f>
        <v>120672000</v>
      </c>
      <c r="K32" s="18">
        <f>51400000+39872000</f>
        <v>91272000</v>
      </c>
      <c r="L32" s="18">
        <f>9400000+34045000</f>
        <v>43445000</v>
      </c>
      <c r="M32" s="36">
        <f t="shared" si="0"/>
        <v>36</v>
      </c>
    </row>
    <row r="33" spans="2:13" ht="42.75" x14ac:dyDescent="0.25">
      <c r="B33" s="9">
        <v>27</v>
      </c>
      <c r="C33" s="10">
        <v>241</v>
      </c>
      <c r="D33" s="41" t="s">
        <v>245</v>
      </c>
      <c r="E33" s="70">
        <v>1</v>
      </c>
      <c r="F33" s="70">
        <v>1</v>
      </c>
      <c r="G33" s="154">
        <v>0</v>
      </c>
      <c r="H33" s="237" t="s">
        <v>246</v>
      </c>
      <c r="I33" s="239" t="s">
        <v>247</v>
      </c>
      <c r="J33" s="146">
        <v>45000000</v>
      </c>
      <c r="K33" s="18">
        <v>8800000</v>
      </c>
      <c r="L33" s="18">
        <v>0</v>
      </c>
      <c r="M33" s="36">
        <f t="shared" si="0"/>
        <v>0</v>
      </c>
    </row>
    <row r="34" spans="2:13" ht="57" x14ac:dyDescent="0.25">
      <c r="B34" s="9">
        <v>28</v>
      </c>
      <c r="C34" s="10">
        <v>242</v>
      </c>
      <c r="D34" s="41" t="s">
        <v>248</v>
      </c>
      <c r="E34" s="70">
        <v>1</v>
      </c>
      <c r="F34" s="70">
        <v>1</v>
      </c>
      <c r="G34" s="155">
        <v>0</v>
      </c>
      <c r="H34" s="238"/>
      <c r="I34" s="240"/>
      <c r="J34" s="146">
        <v>35000000</v>
      </c>
      <c r="K34" s="18">
        <v>0</v>
      </c>
      <c r="L34" s="18">
        <v>0</v>
      </c>
      <c r="M34" s="36">
        <f t="shared" si="0"/>
        <v>0</v>
      </c>
    </row>
    <row r="35" spans="2:13" ht="82.5" customHeight="1" x14ac:dyDescent="0.25">
      <c r="B35" s="9">
        <v>29</v>
      </c>
      <c r="C35" s="10">
        <v>247</v>
      </c>
      <c r="D35" s="11" t="s">
        <v>249</v>
      </c>
      <c r="E35" s="12" t="s">
        <v>16</v>
      </c>
      <c r="F35" s="12">
        <v>1</v>
      </c>
      <c r="G35" s="152">
        <v>0</v>
      </c>
      <c r="H35" s="15" t="s">
        <v>250</v>
      </c>
      <c r="I35" s="41" t="s">
        <v>251</v>
      </c>
      <c r="J35" s="146">
        <v>25000000</v>
      </c>
      <c r="K35" s="18">
        <v>12000000</v>
      </c>
      <c r="L35" s="18">
        <v>0</v>
      </c>
      <c r="M35" s="36">
        <f t="shared" si="0"/>
        <v>0</v>
      </c>
    </row>
    <row r="36" spans="2:13" ht="57" customHeight="1" x14ac:dyDescent="0.25">
      <c r="B36" s="9">
        <v>30</v>
      </c>
      <c r="C36" s="10">
        <v>250</v>
      </c>
      <c r="D36" s="30" t="s">
        <v>252</v>
      </c>
      <c r="E36" s="12">
        <v>1</v>
      </c>
      <c r="F36" s="13">
        <v>3</v>
      </c>
      <c r="G36" s="145">
        <v>1</v>
      </c>
      <c r="H36" s="237" t="s">
        <v>253</v>
      </c>
      <c r="I36" s="239" t="s">
        <v>254</v>
      </c>
      <c r="J36" s="146">
        <v>69250000</v>
      </c>
      <c r="K36" s="18">
        <v>23920000</v>
      </c>
      <c r="L36" s="18">
        <v>2700000</v>
      </c>
      <c r="M36" s="36">
        <f t="shared" si="0"/>
        <v>100</v>
      </c>
    </row>
    <row r="37" spans="2:13" ht="57" x14ac:dyDescent="0.25">
      <c r="B37" s="9">
        <v>31</v>
      </c>
      <c r="C37" s="10">
        <v>251</v>
      </c>
      <c r="D37" s="30" t="s">
        <v>255</v>
      </c>
      <c r="E37" s="12">
        <v>0</v>
      </c>
      <c r="F37" s="13">
        <v>1</v>
      </c>
      <c r="G37" s="145">
        <v>0</v>
      </c>
      <c r="H37" s="241"/>
      <c r="I37" s="242"/>
      <c r="J37" s="146">
        <v>205750000</v>
      </c>
      <c r="K37" s="18">
        <v>10870000</v>
      </c>
      <c r="L37" s="18">
        <v>0</v>
      </c>
      <c r="M37" s="36">
        <f t="shared" si="0"/>
        <v>0</v>
      </c>
    </row>
    <row r="38" spans="2:13" ht="132.75" customHeight="1" x14ac:dyDescent="0.25">
      <c r="B38" s="9">
        <v>32</v>
      </c>
      <c r="C38" s="10">
        <v>254</v>
      </c>
      <c r="D38" s="30" t="s">
        <v>256</v>
      </c>
      <c r="E38" s="12">
        <v>0</v>
      </c>
      <c r="F38" s="13">
        <v>1</v>
      </c>
      <c r="G38" s="145">
        <v>0</v>
      </c>
      <c r="H38" s="238"/>
      <c r="I38" s="240"/>
      <c r="J38" s="146">
        <v>25000000</v>
      </c>
      <c r="K38" s="18">
        <v>16700000</v>
      </c>
      <c r="L38" s="18">
        <v>0</v>
      </c>
      <c r="M38" s="36">
        <f t="shared" si="0"/>
        <v>0</v>
      </c>
    </row>
    <row r="39" spans="2:13" ht="149.25" customHeight="1" x14ac:dyDescent="0.25">
      <c r="B39" s="9">
        <v>33</v>
      </c>
      <c r="C39" s="10">
        <v>255</v>
      </c>
      <c r="D39" s="30" t="s">
        <v>257</v>
      </c>
      <c r="E39" s="12">
        <v>12</v>
      </c>
      <c r="F39" s="13">
        <v>12</v>
      </c>
      <c r="G39" s="145">
        <v>3</v>
      </c>
      <c r="H39" s="15" t="s">
        <v>258</v>
      </c>
      <c r="I39" s="11" t="s">
        <v>259</v>
      </c>
      <c r="J39" s="48">
        <f>76685000+3315000</f>
        <v>80000000</v>
      </c>
      <c r="K39" s="49">
        <f>22440000+3315000</f>
        <v>25755000</v>
      </c>
      <c r="L39" s="46">
        <v>3315000</v>
      </c>
      <c r="M39" s="36">
        <f>+G39/F39*100</f>
        <v>25</v>
      </c>
    </row>
    <row r="40" spans="2:13" x14ac:dyDescent="0.25">
      <c r="B40" s="143"/>
      <c r="C40" s="10"/>
      <c r="D40" s="156" t="s">
        <v>28</v>
      </c>
      <c r="E40" s="64"/>
      <c r="F40" s="14"/>
      <c r="G40" s="145"/>
      <c r="H40" s="157"/>
      <c r="I40" s="118"/>
      <c r="J40" s="18">
        <f>SUM(J7:J39)</f>
        <v>7715925271</v>
      </c>
      <c r="K40" s="18">
        <f t="shared" ref="K40:L40" si="1">SUM(K7:K39)</f>
        <v>653077081</v>
      </c>
      <c r="L40" s="18">
        <f t="shared" si="1"/>
        <v>184211800</v>
      </c>
      <c r="M40" s="158"/>
    </row>
    <row r="44" spans="2:13" ht="45" x14ac:dyDescent="0.25">
      <c r="D44" s="159" t="s">
        <v>22</v>
      </c>
      <c r="E44" s="159" t="s">
        <v>23</v>
      </c>
      <c r="F44" s="160" t="s">
        <v>24</v>
      </c>
    </row>
    <row r="45" spans="2:13" x14ac:dyDescent="0.25">
      <c r="D45" s="24" t="s">
        <v>25</v>
      </c>
      <c r="E45" s="143">
        <v>0</v>
      </c>
      <c r="F45" s="143">
        <v>0</v>
      </c>
    </row>
    <row r="46" spans="2:13" x14ac:dyDescent="0.25">
      <c r="D46" s="24" t="s">
        <v>26</v>
      </c>
      <c r="E46" s="143">
        <v>0</v>
      </c>
      <c r="F46" s="143">
        <v>0</v>
      </c>
    </row>
    <row r="47" spans="2:13" x14ac:dyDescent="0.25">
      <c r="D47" s="24" t="s">
        <v>27</v>
      </c>
      <c r="E47" s="143">
        <v>15</v>
      </c>
      <c r="F47" s="143">
        <v>100</v>
      </c>
    </row>
    <row r="48" spans="2:13" x14ac:dyDescent="0.25">
      <c r="D48" s="161" t="s">
        <v>28</v>
      </c>
      <c r="E48" s="158">
        <v>15</v>
      </c>
      <c r="F48" s="158">
        <v>100</v>
      </c>
    </row>
  </sheetData>
  <sheetProtection algorithmName="SHA-512" hashValue="TUw7usLhrwEWkW7Q3oot1PuuFo+BBgw3zESYvrKVaRALqFzdEhhUGb3w4vEfOw0kkyUzGfmQc5AAdluY2ea6ig==" saltValue="3EkzEnCnwBQHQSLNCba3JA==" spinCount="100000" sheet="1" objects="1" scenarios="1"/>
  <mergeCells count="21">
    <mergeCell ref="H36:H38"/>
    <mergeCell ref="I36:I38"/>
    <mergeCell ref="H26:H27"/>
    <mergeCell ref="I26:I27"/>
    <mergeCell ref="H28:H32"/>
    <mergeCell ref="I28:I32"/>
    <mergeCell ref="H33:H34"/>
    <mergeCell ref="I33:I34"/>
    <mergeCell ref="H16:H20"/>
    <mergeCell ref="I16:I20"/>
    <mergeCell ref="H21:H23"/>
    <mergeCell ref="I21:I23"/>
    <mergeCell ref="H24:H25"/>
    <mergeCell ref="I24:I25"/>
    <mergeCell ref="H12:H15"/>
    <mergeCell ref="I12:I15"/>
    <mergeCell ref="B3:M3"/>
    <mergeCell ref="B4:M4"/>
    <mergeCell ref="B5:M5"/>
    <mergeCell ref="H7:H11"/>
    <mergeCell ref="I7:I11"/>
  </mergeCells>
  <pageMargins left="0.7" right="0.7" top="0.75" bottom="0.75" header="0.3" footer="0.3"/>
  <pageSetup scale="3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topLeftCell="B1" zoomScale="60" zoomScaleNormal="60" workbookViewId="0">
      <selection activeCell="F49" sqref="F49"/>
    </sheetView>
  </sheetViews>
  <sheetFormatPr baseColWidth="10" defaultRowHeight="15" x14ac:dyDescent="0.25"/>
  <cols>
    <col min="2" max="2" width="21.5703125" style="54" customWidth="1"/>
    <col min="3" max="3" width="11.42578125" style="4"/>
    <col min="4" max="4" width="27.140625" customWidth="1"/>
    <col min="5" max="5" width="17" customWidth="1"/>
    <col min="6" max="6" width="20.85546875" customWidth="1"/>
    <col min="7" max="7" width="21.5703125" customWidth="1"/>
    <col min="8" max="8" width="26" hidden="1" customWidth="1"/>
    <col min="9" max="9" width="25" hidden="1" customWidth="1"/>
    <col min="10" max="10" width="26.28515625" customWidth="1"/>
    <col min="11" max="11" width="26.7109375" customWidth="1"/>
    <col min="12" max="12" width="33" customWidth="1"/>
    <col min="13" max="13" width="32.5703125" style="4" customWidth="1"/>
  </cols>
  <sheetData>
    <row r="1" spans="2:13" ht="18.75" x14ac:dyDescent="0.3">
      <c r="B1" s="81"/>
      <c r="C1" s="1"/>
      <c r="D1" s="2"/>
      <c r="E1" s="2"/>
      <c r="F1" s="2"/>
      <c r="G1" s="2"/>
      <c r="H1" s="2"/>
      <c r="I1" s="2"/>
      <c r="J1" s="3"/>
      <c r="K1" s="3"/>
      <c r="L1" s="3"/>
      <c r="M1" s="1"/>
    </row>
    <row r="2" spans="2:13" ht="18.75" x14ac:dyDescent="0.3">
      <c r="B2" s="236" t="s">
        <v>0</v>
      </c>
      <c r="C2" s="236"/>
      <c r="D2" s="236"/>
      <c r="E2" s="236"/>
      <c r="F2" s="236"/>
      <c r="G2" s="236"/>
      <c r="H2" s="236"/>
      <c r="I2" s="236"/>
      <c r="J2" s="236"/>
      <c r="K2" s="236"/>
      <c r="L2" s="236"/>
      <c r="M2" s="236"/>
    </row>
    <row r="3" spans="2:13" ht="18.75" x14ac:dyDescent="0.3">
      <c r="B3" s="236" t="s">
        <v>407</v>
      </c>
      <c r="C3" s="236"/>
      <c r="D3" s="236"/>
      <c r="E3" s="236"/>
      <c r="F3" s="236"/>
      <c r="G3" s="236"/>
      <c r="H3" s="236"/>
      <c r="I3" s="236"/>
      <c r="J3" s="236"/>
      <c r="K3" s="236"/>
      <c r="L3" s="236"/>
      <c r="M3" s="236"/>
    </row>
    <row r="4" spans="2:13" ht="18.75" x14ac:dyDescent="0.3">
      <c r="B4" s="236" t="s">
        <v>2</v>
      </c>
      <c r="C4" s="236"/>
      <c r="D4" s="236"/>
      <c r="E4" s="236"/>
      <c r="F4" s="236"/>
      <c r="G4" s="236"/>
      <c r="H4" s="236"/>
      <c r="I4" s="236"/>
      <c r="J4" s="236"/>
      <c r="K4" s="236"/>
      <c r="L4" s="236"/>
      <c r="M4" s="236"/>
    </row>
    <row r="5" spans="2:13" ht="97.5" customHeight="1" x14ac:dyDescent="0.25">
      <c r="B5" s="6" t="s">
        <v>3</v>
      </c>
      <c r="C5" s="6" t="s">
        <v>4</v>
      </c>
      <c r="D5" s="7" t="s">
        <v>5</v>
      </c>
      <c r="E5" s="7" t="s">
        <v>6</v>
      </c>
      <c r="F5" s="7" t="s">
        <v>7</v>
      </c>
      <c r="G5" s="7" t="s">
        <v>8</v>
      </c>
      <c r="H5" s="7" t="s">
        <v>9</v>
      </c>
      <c r="I5" s="7" t="s">
        <v>10</v>
      </c>
      <c r="J5" s="6" t="s">
        <v>11</v>
      </c>
      <c r="K5" s="7" t="s">
        <v>12</v>
      </c>
      <c r="L5" s="7" t="s">
        <v>13</v>
      </c>
      <c r="M5" s="8" t="s">
        <v>14</v>
      </c>
    </row>
    <row r="6" spans="2:13" ht="57" customHeight="1" x14ac:dyDescent="0.25">
      <c r="B6" s="9">
        <v>1</v>
      </c>
      <c r="C6" s="103">
        <v>1</v>
      </c>
      <c r="D6" s="41" t="s">
        <v>408</v>
      </c>
      <c r="E6" s="68">
        <v>0</v>
      </c>
      <c r="F6" s="68">
        <v>1</v>
      </c>
      <c r="G6" s="199"/>
      <c r="H6" s="237" t="s">
        <v>409</v>
      </c>
      <c r="I6" s="239" t="s">
        <v>410</v>
      </c>
      <c r="J6" s="209">
        <v>30000000</v>
      </c>
      <c r="K6" s="210">
        <v>0</v>
      </c>
      <c r="L6" s="211">
        <v>0</v>
      </c>
      <c r="M6" s="36">
        <f>+G6/F6*100</f>
        <v>0</v>
      </c>
    </row>
    <row r="7" spans="2:13" ht="57" x14ac:dyDescent="0.25">
      <c r="B7" s="9">
        <v>2</v>
      </c>
      <c r="C7" s="103">
        <v>2</v>
      </c>
      <c r="D7" s="41" t="s">
        <v>411</v>
      </c>
      <c r="E7" s="68">
        <v>3</v>
      </c>
      <c r="F7" s="68">
        <v>4</v>
      </c>
      <c r="G7" s="199"/>
      <c r="H7" s="241"/>
      <c r="I7" s="242"/>
      <c r="J7" s="209">
        <v>10000000</v>
      </c>
      <c r="K7" s="210">
        <v>0</v>
      </c>
      <c r="L7" s="211">
        <v>0</v>
      </c>
      <c r="M7" s="36">
        <f t="shared" ref="M7:M26" si="0">+G7/F7*100</f>
        <v>0</v>
      </c>
    </row>
    <row r="8" spans="2:13" ht="85.5" x14ac:dyDescent="0.25">
      <c r="B8" s="9">
        <v>3</v>
      </c>
      <c r="C8" s="103">
        <v>3</v>
      </c>
      <c r="D8" s="41" t="s">
        <v>412</v>
      </c>
      <c r="E8" s="68">
        <v>1</v>
      </c>
      <c r="F8" s="68">
        <v>1</v>
      </c>
      <c r="G8" s="199"/>
      <c r="H8" s="241"/>
      <c r="I8" s="242"/>
      <c r="J8" s="209">
        <v>15000000</v>
      </c>
      <c r="K8" s="210">
        <v>0</v>
      </c>
      <c r="L8" s="211">
        <v>0</v>
      </c>
      <c r="M8" s="36">
        <f t="shared" si="0"/>
        <v>0</v>
      </c>
    </row>
    <row r="9" spans="2:13" ht="99.75" x14ac:dyDescent="0.25">
      <c r="B9" s="9">
        <v>4</v>
      </c>
      <c r="C9" s="103">
        <v>5</v>
      </c>
      <c r="D9" s="41" t="s">
        <v>413</v>
      </c>
      <c r="E9" s="68">
        <v>3</v>
      </c>
      <c r="F9" s="196">
        <v>1</v>
      </c>
      <c r="G9" s="197">
        <v>1</v>
      </c>
      <c r="H9" s="241"/>
      <c r="I9" s="242"/>
      <c r="J9" s="209">
        <f>0+5000000+5000000</f>
        <v>10000000</v>
      </c>
      <c r="K9" s="210">
        <f>0+5000000+5000000</f>
        <v>10000000</v>
      </c>
      <c r="L9" s="211">
        <f>0+5000000+5000000</f>
        <v>10000000</v>
      </c>
      <c r="M9" s="95">
        <f t="shared" si="0"/>
        <v>100</v>
      </c>
    </row>
    <row r="10" spans="2:13" ht="85.5" x14ac:dyDescent="0.25">
      <c r="B10" s="9">
        <v>5</v>
      </c>
      <c r="C10" s="103">
        <v>6</v>
      </c>
      <c r="D10" s="41" t="s">
        <v>414</v>
      </c>
      <c r="E10" s="68">
        <v>3</v>
      </c>
      <c r="F10" s="68">
        <v>12</v>
      </c>
      <c r="G10" s="199"/>
      <c r="H10" s="238"/>
      <c r="I10" s="240"/>
      <c r="J10" s="209">
        <v>15000000</v>
      </c>
      <c r="K10" s="210">
        <v>0</v>
      </c>
      <c r="L10" s="211">
        <v>0</v>
      </c>
      <c r="M10" s="36">
        <f t="shared" si="0"/>
        <v>0</v>
      </c>
    </row>
    <row r="11" spans="2:13" ht="120.75" customHeight="1" x14ac:dyDescent="0.25">
      <c r="B11" s="9">
        <v>8</v>
      </c>
      <c r="C11" s="103">
        <v>8</v>
      </c>
      <c r="D11" s="41" t="s">
        <v>415</v>
      </c>
      <c r="E11" s="68">
        <v>1</v>
      </c>
      <c r="F11" s="196">
        <v>1</v>
      </c>
      <c r="G11" s="197"/>
      <c r="H11" s="237" t="s">
        <v>416</v>
      </c>
      <c r="I11" s="239" t="s">
        <v>417</v>
      </c>
      <c r="J11" s="209">
        <v>47500000</v>
      </c>
      <c r="K11" s="210">
        <v>5226667</v>
      </c>
      <c r="L11" s="211">
        <v>0</v>
      </c>
      <c r="M11" s="36">
        <f t="shared" si="0"/>
        <v>0</v>
      </c>
    </row>
    <row r="12" spans="2:13" ht="72.75" customHeight="1" x14ac:dyDescent="0.25">
      <c r="B12" s="9">
        <v>9</v>
      </c>
      <c r="C12" s="103">
        <v>7</v>
      </c>
      <c r="D12" s="11" t="s">
        <v>418</v>
      </c>
      <c r="E12" s="68">
        <v>0</v>
      </c>
      <c r="F12" s="196">
        <v>1</v>
      </c>
      <c r="G12" s="197"/>
      <c r="H12" s="238"/>
      <c r="I12" s="240"/>
      <c r="J12" s="209">
        <v>12500000</v>
      </c>
      <c r="K12" s="210">
        <v>5226666</v>
      </c>
      <c r="L12" s="211">
        <v>0</v>
      </c>
      <c r="M12" s="36">
        <f t="shared" si="0"/>
        <v>0</v>
      </c>
    </row>
    <row r="13" spans="2:13" ht="71.25" x14ac:dyDescent="0.25">
      <c r="B13" s="9">
        <v>10</v>
      </c>
      <c r="C13" s="103">
        <v>14</v>
      </c>
      <c r="D13" s="41" t="s">
        <v>419</v>
      </c>
      <c r="E13" s="68">
        <v>2</v>
      </c>
      <c r="F13" s="68">
        <v>6</v>
      </c>
      <c r="G13" s="199">
        <v>1.28</v>
      </c>
      <c r="H13" s="15" t="s">
        <v>420</v>
      </c>
      <c r="I13" s="11" t="s">
        <v>421</v>
      </c>
      <c r="J13" s="209">
        <v>483489550</v>
      </c>
      <c r="K13" s="210">
        <v>248169999</v>
      </c>
      <c r="L13" s="211">
        <v>135400000</v>
      </c>
      <c r="M13" s="36">
        <f t="shared" si="0"/>
        <v>21.333333333333336</v>
      </c>
    </row>
    <row r="14" spans="2:13" ht="85.5" x14ac:dyDescent="0.25">
      <c r="B14" s="9">
        <v>11</v>
      </c>
      <c r="C14" s="103">
        <v>15</v>
      </c>
      <c r="D14" s="225" t="s">
        <v>422</v>
      </c>
      <c r="E14" s="68">
        <v>0</v>
      </c>
      <c r="F14" s="68">
        <v>2</v>
      </c>
      <c r="G14" s="199">
        <v>0.05</v>
      </c>
      <c r="H14" s="241" t="s">
        <v>423</v>
      </c>
      <c r="I14" s="242" t="s">
        <v>424</v>
      </c>
      <c r="J14" s="209">
        <f>197400000+5000000+5000000</f>
        <v>207400000</v>
      </c>
      <c r="K14" s="210">
        <f>0+5000000+5000000</f>
        <v>10000000</v>
      </c>
      <c r="L14" s="211">
        <f>0+5000000+5000000</f>
        <v>10000000</v>
      </c>
      <c r="M14" s="36">
        <f t="shared" si="0"/>
        <v>2.5</v>
      </c>
    </row>
    <row r="15" spans="2:13" ht="85.5" x14ac:dyDescent="0.25">
      <c r="B15" s="9">
        <v>12</v>
      </c>
      <c r="C15" s="103">
        <v>19</v>
      </c>
      <c r="D15" s="41" t="s">
        <v>425</v>
      </c>
      <c r="E15" s="68">
        <v>20</v>
      </c>
      <c r="F15" s="196">
        <v>5</v>
      </c>
      <c r="G15" s="197"/>
      <c r="H15" s="241"/>
      <c r="I15" s="242"/>
      <c r="J15" s="209">
        <v>9200000</v>
      </c>
      <c r="K15" s="210">
        <v>0</v>
      </c>
      <c r="L15" s="211">
        <v>0</v>
      </c>
      <c r="M15" s="36">
        <f t="shared" si="0"/>
        <v>0</v>
      </c>
    </row>
    <row r="16" spans="2:13" ht="99.75" x14ac:dyDescent="0.25">
      <c r="B16" s="9">
        <v>13</v>
      </c>
      <c r="C16" s="103">
        <v>20</v>
      </c>
      <c r="D16" s="41" t="s">
        <v>426</v>
      </c>
      <c r="E16" s="68" t="s">
        <v>16</v>
      </c>
      <c r="F16" s="196">
        <v>50</v>
      </c>
      <c r="G16" s="197"/>
      <c r="H16" s="238"/>
      <c r="I16" s="240"/>
      <c r="J16" s="209">
        <v>9276800</v>
      </c>
      <c r="K16" s="210">
        <v>0</v>
      </c>
      <c r="L16" s="211">
        <v>0</v>
      </c>
      <c r="M16" s="36">
        <f t="shared" si="0"/>
        <v>0</v>
      </c>
    </row>
    <row r="17" spans="2:14" ht="142.5" x14ac:dyDescent="0.25">
      <c r="B17" s="9">
        <v>16</v>
      </c>
      <c r="C17" s="103">
        <v>21</v>
      </c>
      <c r="D17" s="30" t="s">
        <v>427</v>
      </c>
      <c r="E17" s="68">
        <v>20</v>
      </c>
      <c r="F17" s="196">
        <v>100</v>
      </c>
      <c r="G17" s="199">
        <v>3</v>
      </c>
      <c r="H17" s="226" t="s">
        <v>428</v>
      </c>
      <c r="I17" s="132" t="s">
        <v>429</v>
      </c>
      <c r="J17" s="209">
        <f>195000000+5000000</f>
        <v>200000000</v>
      </c>
      <c r="K17" s="210">
        <f>28153332+5000000</f>
        <v>33153332</v>
      </c>
      <c r="L17" s="211">
        <f>0+5000000</f>
        <v>5000000</v>
      </c>
      <c r="M17" s="36">
        <f t="shared" si="0"/>
        <v>3</v>
      </c>
    </row>
    <row r="18" spans="2:14" ht="132" customHeight="1" x14ac:dyDescent="0.25">
      <c r="B18" s="9">
        <v>18</v>
      </c>
      <c r="C18" s="227">
        <v>31</v>
      </c>
      <c r="D18" s="30" t="s">
        <v>430</v>
      </c>
      <c r="E18" s="68" t="s">
        <v>16</v>
      </c>
      <c r="F18" s="196">
        <v>4</v>
      </c>
      <c r="G18" s="228">
        <v>3.89</v>
      </c>
      <c r="H18" s="15" t="s">
        <v>431</v>
      </c>
      <c r="I18" s="41" t="s">
        <v>432</v>
      </c>
      <c r="J18" s="209">
        <f>100000000+10000000</f>
        <v>110000000</v>
      </c>
      <c r="K18" s="210">
        <f>90000000+5570000</f>
        <v>95570000</v>
      </c>
      <c r="L18" s="211">
        <v>89000000</v>
      </c>
      <c r="M18" s="95">
        <f t="shared" si="0"/>
        <v>97.25</v>
      </c>
    </row>
    <row r="19" spans="2:14" ht="83.25" customHeight="1" x14ac:dyDescent="0.25">
      <c r="B19" s="9">
        <v>20</v>
      </c>
      <c r="C19" s="227">
        <v>32</v>
      </c>
      <c r="D19" s="41" t="s">
        <v>433</v>
      </c>
      <c r="E19" s="68" t="s">
        <v>16</v>
      </c>
      <c r="F19" s="196">
        <v>15</v>
      </c>
      <c r="G19" s="197"/>
      <c r="H19" s="241" t="s">
        <v>434</v>
      </c>
      <c r="I19" s="242" t="s">
        <v>435</v>
      </c>
      <c r="J19" s="209">
        <v>150000000</v>
      </c>
      <c r="K19" s="210">
        <v>5570000</v>
      </c>
      <c r="L19" s="211">
        <v>0</v>
      </c>
      <c r="M19" s="36">
        <f t="shared" si="0"/>
        <v>0</v>
      </c>
    </row>
    <row r="20" spans="2:14" ht="81" customHeight="1" x14ac:dyDescent="0.25">
      <c r="B20" s="9">
        <v>21</v>
      </c>
      <c r="C20" s="227">
        <v>33</v>
      </c>
      <c r="D20" s="30" t="s">
        <v>436</v>
      </c>
      <c r="E20" s="68" t="s">
        <v>16</v>
      </c>
      <c r="F20" s="196">
        <v>200</v>
      </c>
      <c r="G20" s="197"/>
      <c r="H20" s="241"/>
      <c r="I20" s="242"/>
      <c r="J20" s="209">
        <v>10000000</v>
      </c>
      <c r="K20" s="210">
        <v>5570000</v>
      </c>
      <c r="L20" s="211">
        <v>0</v>
      </c>
      <c r="M20" s="36">
        <f t="shared" si="0"/>
        <v>0</v>
      </c>
    </row>
    <row r="21" spans="2:14" ht="128.25" x14ac:dyDescent="0.25">
      <c r="B21" s="9">
        <v>22</v>
      </c>
      <c r="C21" s="227">
        <v>34</v>
      </c>
      <c r="D21" s="30" t="s">
        <v>437</v>
      </c>
      <c r="E21" s="68" t="s">
        <v>16</v>
      </c>
      <c r="F21" s="196">
        <v>400</v>
      </c>
      <c r="G21" s="197"/>
      <c r="H21" s="238"/>
      <c r="I21" s="240"/>
      <c r="J21" s="209">
        <v>10000000</v>
      </c>
      <c r="K21" s="210">
        <v>5569999</v>
      </c>
      <c r="L21" s="211">
        <v>0</v>
      </c>
      <c r="M21" s="36">
        <f t="shared" si="0"/>
        <v>0</v>
      </c>
    </row>
    <row r="22" spans="2:14" ht="159" customHeight="1" x14ac:dyDescent="0.25">
      <c r="B22" s="9">
        <v>23</v>
      </c>
      <c r="C22" s="103">
        <v>35</v>
      </c>
      <c r="D22" s="30" t="s">
        <v>438</v>
      </c>
      <c r="E22" s="68">
        <v>0</v>
      </c>
      <c r="F22" s="196">
        <v>1</v>
      </c>
      <c r="G22" s="199">
        <v>0.79</v>
      </c>
      <c r="H22" s="15" t="s">
        <v>439</v>
      </c>
      <c r="I22" s="229" t="s">
        <v>440</v>
      </c>
      <c r="J22" s="209">
        <f>79000000+5000000+28000000</f>
        <v>112000000</v>
      </c>
      <c r="K22" s="210">
        <f>5000000+19100000+79000000</f>
        <v>103100000</v>
      </c>
      <c r="L22" s="211">
        <f>5000000+60000000</f>
        <v>65000000</v>
      </c>
      <c r="M22" s="67">
        <f t="shared" si="0"/>
        <v>79</v>
      </c>
      <c r="N22" s="230"/>
    </row>
    <row r="23" spans="2:14" ht="99.75" customHeight="1" x14ac:dyDescent="0.25">
      <c r="B23" s="9">
        <v>26</v>
      </c>
      <c r="C23" s="103">
        <v>36</v>
      </c>
      <c r="D23" s="41" t="s">
        <v>441</v>
      </c>
      <c r="E23" s="68">
        <v>0</v>
      </c>
      <c r="F23" s="196">
        <v>1</v>
      </c>
      <c r="G23" s="201">
        <v>0</v>
      </c>
      <c r="H23" s="225" t="s">
        <v>442</v>
      </c>
      <c r="I23" s="225" t="s">
        <v>443</v>
      </c>
      <c r="J23" s="209">
        <v>28000000</v>
      </c>
      <c r="K23" s="210">
        <v>19100000</v>
      </c>
      <c r="L23" s="211">
        <v>0</v>
      </c>
      <c r="M23" s="36">
        <f t="shared" si="0"/>
        <v>0</v>
      </c>
    </row>
    <row r="24" spans="2:14" ht="82.5" customHeight="1" x14ac:dyDescent="0.25">
      <c r="B24" s="9">
        <v>27</v>
      </c>
      <c r="C24" s="15">
        <v>122</v>
      </c>
      <c r="D24" s="41" t="s">
        <v>444</v>
      </c>
      <c r="E24" s="68">
        <v>0</v>
      </c>
      <c r="F24" s="196">
        <v>1</v>
      </c>
      <c r="G24" s="197"/>
      <c r="H24" s="237" t="s">
        <v>445</v>
      </c>
      <c r="I24" s="239" t="s">
        <v>446</v>
      </c>
      <c r="J24" s="209">
        <v>95000000</v>
      </c>
      <c r="K24" s="210">
        <v>18684889</v>
      </c>
      <c r="L24" s="211">
        <v>0</v>
      </c>
      <c r="M24" s="36">
        <f t="shared" si="0"/>
        <v>0</v>
      </c>
    </row>
    <row r="25" spans="2:14" ht="102" customHeight="1" x14ac:dyDescent="0.25">
      <c r="B25" s="9">
        <v>28</v>
      </c>
      <c r="C25" s="15">
        <v>123</v>
      </c>
      <c r="D25" s="41" t="s">
        <v>447</v>
      </c>
      <c r="E25" s="68">
        <v>0</v>
      </c>
      <c r="F25" s="196">
        <v>1</v>
      </c>
      <c r="G25" s="197"/>
      <c r="H25" s="238"/>
      <c r="I25" s="240"/>
      <c r="J25" s="209">
        <v>360000000</v>
      </c>
      <c r="K25" s="210">
        <v>18684888</v>
      </c>
      <c r="L25" s="211">
        <v>0</v>
      </c>
      <c r="M25" s="36">
        <f t="shared" si="0"/>
        <v>0</v>
      </c>
    </row>
    <row r="26" spans="2:14" ht="96" customHeight="1" x14ac:dyDescent="0.25">
      <c r="B26" s="231">
        <v>29</v>
      </c>
      <c r="C26" s="226">
        <v>125</v>
      </c>
      <c r="D26" s="232" t="s">
        <v>448</v>
      </c>
      <c r="E26" s="134">
        <v>1200</v>
      </c>
      <c r="F26" s="233">
        <v>1200</v>
      </c>
      <c r="G26" s="137">
        <v>166</v>
      </c>
      <c r="H26" s="226" t="s">
        <v>449</v>
      </c>
      <c r="I26" s="132" t="s">
        <v>450</v>
      </c>
      <c r="J26" s="218">
        <v>5000000</v>
      </c>
      <c r="K26" s="219">
        <v>5000000</v>
      </c>
      <c r="L26" s="220">
        <v>4500000</v>
      </c>
      <c r="M26" s="36">
        <f t="shared" si="0"/>
        <v>13.833333333333334</v>
      </c>
    </row>
    <row r="27" spans="2:14" ht="57.75" customHeight="1" x14ac:dyDescent="0.25">
      <c r="B27" s="9"/>
      <c r="C27" s="143"/>
      <c r="D27" s="24" t="s">
        <v>51</v>
      </c>
      <c r="E27" s="24"/>
      <c r="F27" s="24"/>
      <c r="G27" s="24"/>
      <c r="H27" s="24"/>
      <c r="I27" s="24"/>
      <c r="J27" s="120">
        <f>SUM(J6:J26)</f>
        <v>1929366350</v>
      </c>
      <c r="K27" s="120">
        <f t="shared" ref="K27:L27" si="1">SUM(K6:K26)</f>
        <v>588626440</v>
      </c>
      <c r="L27" s="120">
        <f t="shared" si="1"/>
        <v>318900000</v>
      </c>
      <c r="M27" s="78" t="s">
        <v>36</v>
      </c>
    </row>
    <row r="32" spans="2:14" ht="63.75" customHeight="1" x14ac:dyDescent="0.25">
      <c r="D32" s="20" t="s">
        <v>22</v>
      </c>
      <c r="E32" s="21" t="s">
        <v>23</v>
      </c>
      <c r="F32" s="22" t="s">
        <v>24</v>
      </c>
      <c r="H32" s="234"/>
    </row>
    <row r="33" spans="4:8" x14ac:dyDescent="0.25">
      <c r="D33" s="24" t="s">
        <v>25</v>
      </c>
      <c r="E33" s="9">
        <v>2</v>
      </c>
      <c r="F33" s="78">
        <f>+E33/$E$36*100</f>
        <v>6.8965517241379306</v>
      </c>
      <c r="H33" s="203"/>
    </row>
    <row r="34" spans="4:8" x14ac:dyDescent="0.25">
      <c r="D34" s="24" t="s">
        <v>26</v>
      </c>
      <c r="E34" s="9">
        <v>1</v>
      </c>
      <c r="F34" s="78">
        <f t="shared" ref="F34:F36" si="2">+E34/$E$36*100</f>
        <v>3.4482758620689653</v>
      </c>
      <c r="H34" s="203"/>
    </row>
    <row r="35" spans="4:8" x14ac:dyDescent="0.25">
      <c r="D35" s="24" t="s">
        <v>27</v>
      </c>
      <c r="E35" s="9">
        <v>26</v>
      </c>
      <c r="F35" s="78">
        <f t="shared" si="2"/>
        <v>89.65517241379311</v>
      </c>
      <c r="H35" s="203"/>
    </row>
    <row r="36" spans="4:8" x14ac:dyDescent="0.25">
      <c r="D36" s="28" t="s">
        <v>28</v>
      </c>
      <c r="E36" s="22">
        <f>SUM(E33:E35)</f>
        <v>29</v>
      </c>
      <c r="F36" s="78">
        <f t="shared" si="2"/>
        <v>100</v>
      </c>
      <c r="H36" s="203"/>
    </row>
    <row r="37" spans="4:8" x14ac:dyDescent="0.25">
      <c r="E37" s="54"/>
      <c r="H37" s="5"/>
    </row>
  </sheetData>
  <sheetProtection algorithmName="SHA-512" hashValue="Uqo9jQXQg+IV0DWDd5Gg7GchS1HGGGPhWfXXNJtN1LoXZUIO2qjMW+jDnoX1dnnb0c5cY0bX3iXrlAHHllmOqQ==" saltValue="h8uIApsMF5pg7WzRubfNfg==" spinCount="100000" sheet="1" objects="1" scenarios="1"/>
  <mergeCells count="13">
    <mergeCell ref="H14:H16"/>
    <mergeCell ref="I14:I16"/>
    <mergeCell ref="H19:H21"/>
    <mergeCell ref="I19:I21"/>
    <mergeCell ref="H24:H25"/>
    <mergeCell ref="I24:I25"/>
    <mergeCell ref="H11:H12"/>
    <mergeCell ref="I11:I12"/>
    <mergeCell ref="B2:M2"/>
    <mergeCell ref="B3:M3"/>
    <mergeCell ref="B4:M4"/>
    <mergeCell ref="H6:H10"/>
    <mergeCell ref="I6:I10"/>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7"/>
  <sheetViews>
    <sheetView topLeftCell="C1" zoomScale="60" zoomScaleNormal="60" workbookViewId="0">
      <selection activeCell="D26" sqref="D26"/>
    </sheetView>
  </sheetViews>
  <sheetFormatPr baseColWidth="10" defaultRowHeight="15" x14ac:dyDescent="0.25"/>
  <cols>
    <col min="3" max="3" width="19.85546875" style="4" customWidth="1"/>
    <col min="4" max="4" width="29.42578125" customWidth="1"/>
    <col min="5" max="5" width="20.85546875" customWidth="1"/>
    <col min="6" max="6" width="26.28515625" customWidth="1"/>
    <col min="7" max="7" width="19.5703125" style="4" customWidth="1"/>
    <col min="8" max="8" width="19.42578125" customWidth="1"/>
    <col min="9" max="9" width="28.5703125" customWidth="1"/>
    <col min="10" max="10" width="27.140625" customWidth="1"/>
    <col min="11" max="11" width="29" customWidth="1"/>
    <col min="12" max="12" width="26" customWidth="1"/>
    <col min="13" max="13" width="24.7109375" customWidth="1"/>
  </cols>
  <sheetData>
    <row r="3" spans="2:13" ht="18.75" x14ac:dyDescent="0.3">
      <c r="B3" s="236" t="s">
        <v>0</v>
      </c>
      <c r="C3" s="236"/>
      <c r="D3" s="236"/>
      <c r="E3" s="236"/>
      <c r="F3" s="236"/>
      <c r="G3" s="236"/>
      <c r="H3" s="236"/>
      <c r="I3" s="236"/>
      <c r="J3" s="236"/>
      <c r="K3" s="236"/>
      <c r="L3" s="236"/>
      <c r="M3" s="236"/>
    </row>
    <row r="4" spans="2:13" ht="18.75" x14ac:dyDescent="0.3">
      <c r="B4" s="236" t="s">
        <v>357</v>
      </c>
      <c r="C4" s="236"/>
      <c r="D4" s="236"/>
      <c r="E4" s="236"/>
      <c r="F4" s="236"/>
      <c r="G4" s="236"/>
      <c r="H4" s="236"/>
      <c r="I4" s="236"/>
      <c r="J4" s="236"/>
      <c r="K4" s="236"/>
      <c r="L4" s="236"/>
      <c r="M4" s="236"/>
    </row>
    <row r="5" spans="2:13" ht="18.75" x14ac:dyDescent="0.3">
      <c r="B5" s="236" t="s">
        <v>2</v>
      </c>
      <c r="C5" s="236"/>
      <c r="D5" s="236"/>
      <c r="E5" s="236"/>
      <c r="F5" s="236"/>
      <c r="G5" s="236"/>
      <c r="H5" s="236"/>
      <c r="I5" s="236"/>
      <c r="J5" s="236"/>
      <c r="K5" s="236"/>
      <c r="L5" s="236"/>
      <c r="M5" s="236"/>
    </row>
    <row r="6" spans="2:13" x14ac:dyDescent="0.25">
      <c r="B6" s="4"/>
      <c r="J6" s="5"/>
      <c r="K6" s="5"/>
      <c r="L6" s="5"/>
    </row>
    <row r="7" spans="2:13" ht="132" customHeight="1" x14ac:dyDescent="0.25">
      <c r="B7" s="6" t="s">
        <v>3</v>
      </c>
      <c r="C7" s="6" t="s">
        <v>4</v>
      </c>
      <c r="D7" s="7" t="s">
        <v>5</v>
      </c>
      <c r="E7" s="7" t="s">
        <v>6</v>
      </c>
      <c r="F7" s="7" t="s">
        <v>7</v>
      </c>
      <c r="G7" s="6" t="s">
        <v>8</v>
      </c>
      <c r="H7" s="7" t="s">
        <v>9</v>
      </c>
      <c r="I7" s="7" t="s">
        <v>10</v>
      </c>
      <c r="J7" s="6" t="s">
        <v>11</v>
      </c>
      <c r="K7" s="7" t="s">
        <v>12</v>
      </c>
      <c r="L7" s="7" t="s">
        <v>13</v>
      </c>
      <c r="M7" s="8" t="s">
        <v>14</v>
      </c>
    </row>
    <row r="8" spans="2:13" ht="99.75" x14ac:dyDescent="0.25">
      <c r="B8" s="9">
        <v>1</v>
      </c>
      <c r="C8" s="204">
        <v>180</v>
      </c>
      <c r="D8" s="41" t="s">
        <v>358</v>
      </c>
      <c r="E8" s="15">
        <v>0</v>
      </c>
      <c r="F8" s="103">
        <v>1</v>
      </c>
      <c r="G8" s="205"/>
      <c r="H8" s="237" t="s">
        <v>359</v>
      </c>
      <c r="I8" s="239" t="s">
        <v>360</v>
      </c>
      <c r="J8" s="88">
        <v>47500000</v>
      </c>
      <c r="K8" s="89">
        <v>0</v>
      </c>
      <c r="L8" s="90">
        <v>0</v>
      </c>
      <c r="M8" s="36">
        <f>+G8/F8*100</f>
        <v>0</v>
      </c>
    </row>
    <row r="9" spans="2:13" ht="57" x14ac:dyDescent="0.25">
      <c r="B9" s="9">
        <v>2</v>
      </c>
      <c r="C9" s="204">
        <v>181</v>
      </c>
      <c r="D9" s="41" t="s">
        <v>361</v>
      </c>
      <c r="E9" s="15">
        <v>6</v>
      </c>
      <c r="F9" s="103">
        <v>6</v>
      </c>
      <c r="G9" s="205"/>
      <c r="H9" s="238"/>
      <c r="I9" s="240"/>
      <c r="J9" s="88">
        <v>12500000</v>
      </c>
      <c r="K9" s="89">
        <v>5333333</v>
      </c>
      <c r="L9" s="90">
        <v>0</v>
      </c>
      <c r="M9" s="36">
        <f t="shared" ref="M9:M26" si="0">+G9/F9*100</f>
        <v>0</v>
      </c>
    </row>
    <row r="10" spans="2:13" ht="239.25" customHeight="1" x14ac:dyDescent="0.25">
      <c r="B10" s="9">
        <v>3</v>
      </c>
      <c r="C10" s="204">
        <v>183</v>
      </c>
      <c r="D10" s="41" t="s">
        <v>362</v>
      </c>
      <c r="E10" s="42">
        <v>0</v>
      </c>
      <c r="F10" s="42">
        <v>1</v>
      </c>
      <c r="G10" s="47">
        <v>1.18</v>
      </c>
      <c r="H10" s="15" t="s">
        <v>363</v>
      </c>
      <c r="I10" s="11" t="s">
        <v>364</v>
      </c>
      <c r="J10" s="88">
        <f>73000000+17000000</f>
        <v>90000000</v>
      </c>
      <c r="K10" s="89">
        <f>0+17000000</f>
        <v>17000000</v>
      </c>
      <c r="L10" s="90">
        <f>0+16000000</f>
        <v>16000000</v>
      </c>
      <c r="M10" s="36">
        <f t="shared" si="0"/>
        <v>118</v>
      </c>
    </row>
    <row r="11" spans="2:13" ht="159" customHeight="1" x14ac:dyDescent="0.25">
      <c r="B11" s="9">
        <v>4</v>
      </c>
      <c r="C11" s="204">
        <v>184</v>
      </c>
      <c r="D11" s="41" t="s">
        <v>365</v>
      </c>
      <c r="E11" s="42">
        <v>1</v>
      </c>
      <c r="F11" s="42">
        <v>1</v>
      </c>
      <c r="G11" s="71">
        <v>0.5</v>
      </c>
      <c r="H11" s="15" t="s">
        <v>366</v>
      </c>
      <c r="I11" s="41" t="s">
        <v>367</v>
      </c>
      <c r="J11" s="84">
        <f>6500000+6000000+12500000</f>
        <v>25000000</v>
      </c>
      <c r="K11" s="85">
        <f>6500000+ 6000000+12500000</f>
        <v>25000000</v>
      </c>
      <c r="L11" s="86">
        <f>6500000+6000000</f>
        <v>12500000</v>
      </c>
      <c r="M11" s="36">
        <f t="shared" si="0"/>
        <v>50</v>
      </c>
    </row>
    <row r="12" spans="2:13" ht="228" customHeight="1" x14ac:dyDescent="0.25">
      <c r="B12" s="9">
        <v>5</v>
      </c>
      <c r="C12" s="204">
        <v>186</v>
      </c>
      <c r="D12" s="41" t="s">
        <v>368</v>
      </c>
      <c r="E12" s="42" t="s">
        <v>16</v>
      </c>
      <c r="F12" s="42">
        <v>1</v>
      </c>
      <c r="G12" s="47">
        <v>0.48</v>
      </c>
      <c r="H12" s="15" t="s">
        <v>369</v>
      </c>
      <c r="I12" s="11" t="s">
        <v>370</v>
      </c>
      <c r="J12" s="88">
        <f>10000000+1000000+17500000</f>
        <v>28500000</v>
      </c>
      <c r="K12" s="89">
        <f>10000000+1000000+10000000</f>
        <v>21000000</v>
      </c>
      <c r="L12" s="90">
        <f>10000000+1000000+2777778</f>
        <v>13777778</v>
      </c>
      <c r="M12" s="36">
        <f t="shared" si="0"/>
        <v>48</v>
      </c>
    </row>
    <row r="13" spans="2:13" ht="57" x14ac:dyDescent="0.25">
      <c r="B13" s="9">
        <v>6</v>
      </c>
      <c r="C13" s="204">
        <v>185</v>
      </c>
      <c r="D13" s="41" t="s">
        <v>371</v>
      </c>
      <c r="E13" s="42" t="s">
        <v>16</v>
      </c>
      <c r="F13" s="42">
        <v>1</v>
      </c>
      <c r="G13" s="47"/>
      <c r="H13" s="206" t="s">
        <v>372</v>
      </c>
      <c r="I13" s="207" t="s">
        <v>373</v>
      </c>
      <c r="J13" s="97">
        <v>16500000</v>
      </c>
      <c r="K13" s="90">
        <v>7000000</v>
      </c>
      <c r="L13" s="90">
        <v>0</v>
      </c>
      <c r="M13" s="36">
        <f t="shared" si="0"/>
        <v>0</v>
      </c>
    </row>
    <row r="14" spans="2:13" ht="42.75" x14ac:dyDescent="0.25">
      <c r="B14" s="9">
        <v>7</v>
      </c>
      <c r="C14" s="204">
        <v>187</v>
      </c>
      <c r="D14" s="41" t="s">
        <v>374</v>
      </c>
      <c r="E14" s="42">
        <v>1</v>
      </c>
      <c r="F14" s="42">
        <v>1</v>
      </c>
      <c r="G14" s="208">
        <v>0.04</v>
      </c>
      <c r="H14" s="237" t="s">
        <v>375</v>
      </c>
      <c r="I14" s="239" t="s">
        <v>376</v>
      </c>
      <c r="J14" s="209">
        <v>74350000</v>
      </c>
      <c r="K14" s="210">
        <v>10000000</v>
      </c>
      <c r="L14" s="211">
        <v>2777778</v>
      </c>
      <c r="M14" s="36">
        <f t="shared" si="0"/>
        <v>4</v>
      </c>
    </row>
    <row r="15" spans="2:13" ht="85.5" x14ac:dyDescent="0.25">
      <c r="B15" s="9">
        <v>8</v>
      </c>
      <c r="C15" s="204">
        <v>189</v>
      </c>
      <c r="D15" s="41" t="s">
        <v>377</v>
      </c>
      <c r="E15" s="42" t="s">
        <v>16</v>
      </c>
      <c r="F15" s="42">
        <v>1</v>
      </c>
      <c r="G15" s="47">
        <v>0.67</v>
      </c>
      <c r="H15" s="238"/>
      <c r="I15" s="240"/>
      <c r="J15" s="209">
        <f>40000000+19000000+10000000</f>
        <v>69000000</v>
      </c>
      <c r="K15" s="210">
        <v>39000000</v>
      </c>
      <c r="L15" s="211">
        <v>19500000</v>
      </c>
      <c r="M15" s="67">
        <f t="shared" si="0"/>
        <v>67</v>
      </c>
    </row>
    <row r="16" spans="2:13" ht="85.5" x14ac:dyDescent="0.25">
      <c r="B16" s="9">
        <v>9</v>
      </c>
      <c r="C16" s="204">
        <v>188</v>
      </c>
      <c r="D16" s="41" t="s">
        <v>378</v>
      </c>
      <c r="E16" s="42" t="s">
        <v>16</v>
      </c>
      <c r="F16" s="42">
        <v>2</v>
      </c>
      <c r="G16" s="212">
        <v>0</v>
      </c>
      <c r="H16" s="15" t="s">
        <v>379</v>
      </c>
      <c r="I16" s="41" t="s">
        <v>380</v>
      </c>
      <c r="J16" s="209">
        <v>31650000</v>
      </c>
      <c r="K16" s="210">
        <v>6650000</v>
      </c>
      <c r="L16" s="211">
        <v>1900000</v>
      </c>
      <c r="M16" s="36">
        <f t="shared" si="0"/>
        <v>0</v>
      </c>
    </row>
    <row r="17" spans="2:13" ht="199.5" x14ac:dyDescent="0.25">
      <c r="B17" s="9">
        <v>10</v>
      </c>
      <c r="C17" s="204">
        <v>190</v>
      </c>
      <c r="D17" s="41" t="s">
        <v>381</v>
      </c>
      <c r="E17" s="68">
        <v>1</v>
      </c>
      <c r="F17" s="68">
        <v>1</v>
      </c>
      <c r="G17" s="71">
        <v>0.19592592222222222</v>
      </c>
      <c r="H17" s="15" t="s">
        <v>382</v>
      </c>
      <c r="I17" s="11" t="s">
        <v>383</v>
      </c>
      <c r="J17" s="209">
        <v>180000000</v>
      </c>
      <c r="K17" s="210">
        <v>64900000</v>
      </c>
      <c r="L17" s="211">
        <v>35266666</v>
      </c>
      <c r="M17" s="36">
        <f t="shared" si="0"/>
        <v>19.592592222222223</v>
      </c>
    </row>
    <row r="18" spans="2:13" ht="128.25" x14ac:dyDescent="0.25">
      <c r="B18" s="9">
        <v>11</v>
      </c>
      <c r="C18" s="204">
        <v>191</v>
      </c>
      <c r="D18" s="41" t="s">
        <v>384</v>
      </c>
      <c r="E18" s="15" t="s">
        <v>16</v>
      </c>
      <c r="F18" s="15">
        <v>1</v>
      </c>
      <c r="G18" s="157"/>
      <c r="H18" s="15" t="s">
        <v>385</v>
      </c>
      <c r="I18" s="41" t="s">
        <v>386</v>
      </c>
      <c r="J18" s="209">
        <v>85000000</v>
      </c>
      <c r="K18" s="210">
        <v>0</v>
      </c>
      <c r="L18" s="211">
        <v>0</v>
      </c>
      <c r="M18" s="36">
        <f t="shared" si="0"/>
        <v>0</v>
      </c>
    </row>
    <row r="19" spans="2:13" ht="242.25" x14ac:dyDescent="0.25">
      <c r="B19" s="9">
        <v>12</v>
      </c>
      <c r="C19" s="204">
        <v>192</v>
      </c>
      <c r="D19" s="63" t="s">
        <v>387</v>
      </c>
      <c r="E19" s="15">
        <v>1</v>
      </c>
      <c r="F19" s="15">
        <v>1</v>
      </c>
      <c r="G19" s="71">
        <v>0.18</v>
      </c>
      <c r="H19" s="15" t="s">
        <v>388</v>
      </c>
      <c r="I19" s="41" t="s">
        <v>389</v>
      </c>
      <c r="J19" s="209">
        <f>51200000+5000000+3800000</f>
        <v>60000000</v>
      </c>
      <c r="K19" s="210">
        <f>7600000+5000000+3800000</f>
        <v>16400000</v>
      </c>
      <c r="L19" s="211">
        <f>2111111+3800000+5000000</f>
        <v>10911111</v>
      </c>
      <c r="M19" s="36">
        <f t="shared" si="0"/>
        <v>18</v>
      </c>
    </row>
    <row r="20" spans="2:13" ht="152.25" customHeight="1" x14ac:dyDescent="0.25">
      <c r="B20" s="9">
        <v>13</v>
      </c>
      <c r="C20" s="204">
        <v>193</v>
      </c>
      <c r="D20" s="41" t="s">
        <v>390</v>
      </c>
      <c r="E20" s="15">
        <v>1</v>
      </c>
      <c r="F20" s="15">
        <v>1</v>
      </c>
      <c r="G20" s="157"/>
      <c r="H20" s="15" t="s">
        <v>391</v>
      </c>
      <c r="I20" s="41" t="s">
        <v>392</v>
      </c>
      <c r="J20" s="209">
        <f>40000000+60000000</f>
        <v>100000000</v>
      </c>
      <c r="K20" s="210">
        <v>0</v>
      </c>
      <c r="L20" s="211">
        <v>0</v>
      </c>
      <c r="M20" s="36">
        <f t="shared" si="0"/>
        <v>0</v>
      </c>
    </row>
    <row r="21" spans="2:13" ht="193.5" customHeight="1" x14ac:dyDescent="0.25">
      <c r="B21" s="9">
        <v>14</v>
      </c>
      <c r="C21" s="204">
        <v>195</v>
      </c>
      <c r="D21" s="41" t="s">
        <v>393</v>
      </c>
      <c r="E21" s="15">
        <v>0</v>
      </c>
      <c r="F21" s="15">
        <v>1</v>
      </c>
      <c r="G21" s="69">
        <v>0.23799999999999999</v>
      </c>
      <c r="H21" s="15" t="s">
        <v>394</v>
      </c>
      <c r="I21" s="41" t="s">
        <v>395</v>
      </c>
      <c r="J21" s="88">
        <f>23800000+76200000</f>
        <v>100000000</v>
      </c>
      <c r="K21" s="89">
        <f>23800000+7600000</f>
        <v>31400000</v>
      </c>
      <c r="L21" s="90">
        <v>23800000</v>
      </c>
      <c r="M21" s="36">
        <f t="shared" si="0"/>
        <v>23.799999999999997</v>
      </c>
    </row>
    <row r="22" spans="2:13" ht="193.5" customHeight="1" x14ac:dyDescent="0.25">
      <c r="B22" s="9">
        <v>15</v>
      </c>
      <c r="C22" s="213">
        <v>196</v>
      </c>
      <c r="D22" s="41" t="s">
        <v>396</v>
      </c>
      <c r="E22" s="15">
        <v>0</v>
      </c>
      <c r="F22" s="15">
        <v>1</v>
      </c>
      <c r="G22" s="157"/>
      <c r="H22" s="15" t="s">
        <v>397</v>
      </c>
      <c r="I22" s="41" t="s">
        <v>398</v>
      </c>
      <c r="J22" s="88">
        <v>40000000</v>
      </c>
      <c r="K22" s="89">
        <v>0</v>
      </c>
      <c r="L22" s="90">
        <v>0</v>
      </c>
      <c r="M22" s="36">
        <f t="shared" si="0"/>
        <v>0</v>
      </c>
    </row>
    <row r="23" spans="2:13" ht="200.25" customHeight="1" x14ac:dyDescent="0.25">
      <c r="B23" s="9">
        <v>16</v>
      </c>
      <c r="C23" s="204">
        <v>197</v>
      </c>
      <c r="D23" s="41" t="s">
        <v>399</v>
      </c>
      <c r="E23" s="15">
        <v>1</v>
      </c>
      <c r="F23" s="15">
        <v>1</v>
      </c>
      <c r="G23" s="69">
        <v>0.27533331999999999</v>
      </c>
      <c r="H23" s="15" t="s">
        <v>400</v>
      </c>
      <c r="I23" s="41" t="s">
        <v>401</v>
      </c>
      <c r="J23" s="209">
        <f>4000000+9766666+36233334</f>
        <v>50000000</v>
      </c>
      <c r="K23" s="210">
        <f>4000000+9766666</f>
        <v>13766666</v>
      </c>
      <c r="L23" s="211">
        <f>4000000+9766666</f>
        <v>13766666</v>
      </c>
      <c r="M23" s="36">
        <f t="shared" si="0"/>
        <v>27.533331999999998</v>
      </c>
    </row>
    <row r="24" spans="2:13" ht="116.25" customHeight="1" x14ac:dyDescent="0.25">
      <c r="B24" s="9">
        <v>17</v>
      </c>
      <c r="C24" s="214">
        <v>198</v>
      </c>
      <c r="D24" s="41" t="s">
        <v>402</v>
      </c>
      <c r="E24" s="15">
        <v>1</v>
      </c>
      <c r="F24" s="15">
        <v>1</v>
      </c>
      <c r="G24" s="215">
        <v>0.16625000000000001</v>
      </c>
      <c r="H24" s="237" t="s">
        <v>403</v>
      </c>
      <c r="I24" s="239" t="s">
        <v>404</v>
      </c>
      <c r="J24" s="209">
        <v>40000000</v>
      </c>
      <c r="K24" s="210">
        <v>14150000</v>
      </c>
      <c r="L24" s="211">
        <v>6650000</v>
      </c>
      <c r="M24" s="36">
        <f t="shared" si="0"/>
        <v>16.625</v>
      </c>
    </row>
    <row r="25" spans="2:13" ht="65.25" customHeight="1" x14ac:dyDescent="0.25">
      <c r="B25" s="9">
        <v>18</v>
      </c>
      <c r="C25" s="214">
        <v>200</v>
      </c>
      <c r="D25" s="41" t="s">
        <v>405</v>
      </c>
      <c r="E25" s="15">
        <v>12</v>
      </c>
      <c r="F25" s="15">
        <v>12</v>
      </c>
      <c r="G25" s="215">
        <v>0</v>
      </c>
      <c r="H25" s="241"/>
      <c r="I25" s="242"/>
      <c r="J25" s="209">
        <v>973614828.89999998</v>
      </c>
      <c r="K25" s="210">
        <v>0</v>
      </c>
      <c r="L25" s="211">
        <v>0</v>
      </c>
      <c r="M25" s="36">
        <f t="shared" si="0"/>
        <v>0</v>
      </c>
    </row>
    <row r="26" spans="2:13" ht="62.25" customHeight="1" x14ac:dyDescent="0.25">
      <c r="B26" s="9">
        <v>19</v>
      </c>
      <c r="C26" s="216">
        <v>201</v>
      </c>
      <c r="D26" s="132" t="s">
        <v>406</v>
      </c>
      <c r="E26" s="217">
        <v>14</v>
      </c>
      <c r="F26" s="217">
        <v>14</v>
      </c>
      <c r="G26" s="215">
        <v>0</v>
      </c>
      <c r="H26" s="241"/>
      <c r="I26" s="242"/>
      <c r="J26" s="218">
        <v>2271767934.0999999</v>
      </c>
      <c r="K26" s="219">
        <v>0</v>
      </c>
      <c r="L26" s="220">
        <v>0</v>
      </c>
      <c r="M26" s="36">
        <f t="shared" si="0"/>
        <v>0</v>
      </c>
    </row>
    <row r="27" spans="2:13" ht="43.5" customHeight="1" x14ac:dyDescent="0.25">
      <c r="B27" s="221"/>
      <c r="C27" s="222"/>
      <c r="D27" s="76" t="s">
        <v>51</v>
      </c>
      <c r="E27" s="76"/>
      <c r="F27" s="76"/>
      <c r="G27" s="22"/>
      <c r="H27" s="76"/>
      <c r="I27" s="76"/>
      <c r="J27" s="223">
        <f>SUM(J8:J26)</f>
        <v>4295382763</v>
      </c>
      <c r="K27" s="223">
        <f>SUM(K8:K26)</f>
        <v>271599999</v>
      </c>
      <c r="L27" s="223">
        <f>SUM(L8:L26)</f>
        <v>156849999</v>
      </c>
      <c r="M27" s="24"/>
    </row>
    <row r="32" spans="2:13" x14ac:dyDescent="0.25">
      <c r="J32" s="39"/>
      <c r="K32" s="39"/>
      <c r="L32" s="39"/>
    </row>
    <row r="33" spans="4:6" ht="45" x14ac:dyDescent="0.25">
      <c r="D33" s="20" t="s">
        <v>22</v>
      </c>
      <c r="E33" s="20" t="s">
        <v>23</v>
      </c>
      <c r="F33" s="20" t="s">
        <v>24</v>
      </c>
    </row>
    <row r="34" spans="4:6" x14ac:dyDescent="0.25">
      <c r="D34" s="24" t="s">
        <v>25</v>
      </c>
      <c r="E34" s="143">
        <v>0</v>
      </c>
      <c r="F34" s="143">
        <f>+E34/$E$37*100</f>
        <v>0</v>
      </c>
    </row>
    <row r="35" spans="4:6" x14ac:dyDescent="0.25">
      <c r="D35" s="24" t="s">
        <v>26</v>
      </c>
      <c r="E35" s="143">
        <v>1</v>
      </c>
      <c r="F35" s="224">
        <f t="shared" ref="F35:F37" si="1">+E35/$E$37*100</f>
        <v>5.2631578947368416</v>
      </c>
    </row>
    <row r="36" spans="4:6" x14ac:dyDescent="0.25">
      <c r="D36" s="24" t="s">
        <v>27</v>
      </c>
      <c r="E36" s="143">
        <v>18</v>
      </c>
      <c r="F36" s="224">
        <f t="shared" si="1"/>
        <v>94.73684210526315</v>
      </c>
    </row>
    <row r="37" spans="4:6" x14ac:dyDescent="0.25">
      <c r="D37" s="161" t="s">
        <v>28</v>
      </c>
      <c r="E37" s="158">
        <f>SUM(E34:E36)</f>
        <v>19</v>
      </c>
      <c r="F37" s="143">
        <f t="shared" si="1"/>
        <v>100</v>
      </c>
    </row>
  </sheetData>
  <sheetProtection algorithmName="SHA-512" hashValue="v4/mg1exh7fuXzSl2OohffOruRD0NDnO1QHy9q703l85v/poQxHiwP+nJxBCGRtJUHzKp3AT1gk/eGGDXTCBLQ==" saltValue="IFrRL/lbEc+1KHRSCPfF1g==" spinCount="100000" sheet="1" objects="1" scenarios="1"/>
  <mergeCells count="9">
    <mergeCell ref="H24:H26"/>
    <mergeCell ref="I24:I26"/>
    <mergeCell ref="B3:M3"/>
    <mergeCell ref="B4:M4"/>
    <mergeCell ref="B5:M5"/>
    <mergeCell ref="H8:H9"/>
    <mergeCell ref="I8:I9"/>
    <mergeCell ref="H14:H15"/>
    <mergeCell ref="I14:I15"/>
  </mergeCells>
  <pageMargins left="0.7" right="0.7" top="0.75" bottom="0.75" header="0.3" footer="0.3"/>
  <pageSetup scale="2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4"/>
  <sheetViews>
    <sheetView zoomScale="50" zoomScaleNormal="50" workbookViewId="0">
      <selection activeCell="E30" sqref="E30:G34"/>
    </sheetView>
  </sheetViews>
  <sheetFormatPr baseColWidth="10" defaultRowHeight="15" x14ac:dyDescent="0.25"/>
  <cols>
    <col min="2" max="2" width="19.5703125" style="54" customWidth="1"/>
    <col min="4" max="4" width="24.85546875" customWidth="1"/>
    <col min="5" max="5" width="24.28515625" customWidth="1"/>
    <col min="6" max="6" width="21" customWidth="1"/>
    <col min="7" max="7" width="21.42578125" customWidth="1"/>
    <col min="8" max="8" width="45.28515625" hidden="1" customWidth="1"/>
    <col min="9" max="9" width="36.7109375" hidden="1" customWidth="1"/>
    <col min="10" max="10" width="26.28515625" customWidth="1"/>
    <col min="11" max="11" width="26.7109375" customWidth="1"/>
    <col min="12" max="12" width="26.85546875" customWidth="1"/>
    <col min="13" max="13" width="28.140625" customWidth="1"/>
  </cols>
  <sheetData>
    <row r="3" spans="2:13" ht="18.75" x14ac:dyDescent="0.3">
      <c r="B3" s="81"/>
      <c r="C3" s="2"/>
      <c r="D3" s="2"/>
      <c r="E3" s="2"/>
      <c r="F3" s="2"/>
      <c r="G3" s="2"/>
      <c r="H3" s="2"/>
      <c r="I3" s="2"/>
      <c r="J3" s="3"/>
      <c r="K3" s="3"/>
      <c r="L3" s="3"/>
      <c r="M3" s="2"/>
    </row>
    <row r="4" spans="2:13" ht="18.75" x14ac:dyDescent="0.3">
      <c r="B4" s="236" t="s">
        <v>0</v>
      </c>
      <c r="C4" s="236"/>
      <c r="D4" s="236"/>
      <c r="E4" s="236"/>
      <c r="F4" s="236"/>
      <c r="G4" s="236"/>
      <c r="H4" s="236"/>
      <c r="I4" s="236"/>
      <c r="J4" s="236"/>
      <c r="K4" s="236"/>
      <c r="L4" s="236"/>
      <c r="M4" s="236"/>
    </row>
    <row r="5" spans="2:13" ht="18.75" x14ac:dyDescent="0.3">
      <c r="B5" s="236" t="s">
        <v>326</v>
      </c>
      <c r="C5" s="236"/>
      <c r="D5" s="236"/>
      <c r="E5" s="236"/>
      <c r="F5" s="236"/>
      <c r="G5" s="236"/>
      <c r="H5" s="236"/>
      <c r="I5" s="236"/>
      <c r="J5" s="236"/>
      <c r="K5" s="236"/>
      <c r="L5" s="236"/>
      <c r="M5" s="236"/>
    </row>
    <row r="6" spans="2:13" ht="18.75" x14ac:dyDescent="0.3">
      <c r="B6" s="236" t="s">
        <v>2</v>
      </c>
      <c r="C6" s="236"/>
      <c r="D6" s="236"/>
      <c r="E6" s="236"/>
      <c r="F6" s="236"/>
      <c r="G6" s="236"/>
      <c r="H6" s="236"/>
      <c r="I6" s="236"/>
      <c r="J6" s="236"/>
      <c r="K6" s="236"/>
      <c r="L6" s="236"/>
      <c r="M6" s="236"/>
    </row>
    <row r="7" spans="2:13" x14ac:dyDescent="0.25">
      <c r="J7" s="5"/>
      <c r="K7" s="5"/>
      <c r="L7" s="5"/>
    </row>
    <row r="8" spans="2:13" ht="60" x14ac:dyDescent="0.25">
      <c r="B8" s="6" t="s">
        <v>3</v>
      </c>
      <c r="C8" s="7" t="s">
        <v>4</v>
      </c>
      <c r="D8" s="7" t="s">
        <v>5</v>
      </c>
      <c r="E8" s="7" t="s">
        <v>6</v>
      </c>
      <c r="F8" s="6" t="s">
        <v>7</v>
      </c>
      <c r="G8" s="6" t="s">
        <v>8</v>
      </c>
      <c r="H8" s="6" t="s">
        <v>9</v>
      </c>
      <c r="I8" s="6" t="s">
        <v>10</v>
      </c>
      <c r="J8" s="6" t="s">
        <v>11</v>
      </c>
      <c r="K8" s="6" t="s">
        <v>12</v>
      </c>
      <c r="L8" s="6" t="s">
        <v>13</v>
      </c>
      <c r="M8" s="8" t="s">
        <v>14</v>
      </c>
    </row>
    <row r="9" spans="2:13" ht="85.5" customHeight="1" x14ac:dyDescent="0.25">
      <c r="B9" s="9">
        <v>1</v>
      </c>
      <c r="C9" s="75">
        <v>38</v>
      </c>
      <c r="D9" s="63" t="s">
        <v>327</v>
      </c>
      <c r="E9" s="68">
        <v>3</v>
      </c>
      <c r="F9" s="196">
        <v>4</v>
      </c>
      <c r="G9" s="197"/>
      <c r="H9" s="237" t="s">
        <v>328</v>
      </c>
      <c r="I9" s="239" t="s">
        <v>329</v>
      </c>
      <c r="J9" s="45">
        <v>7500000</v>
      </c>
      <c r="K9" s="46">
        <v>7500000</v>
      </c>
      <c r="L9" s="46">
        <v>0</v>
      </c>
      <c r="M9" s="19">
        <f t="shared" ref="M9:M23" si="0">+G9/$F$9*100</f>
        <v>0</v>
      </c>
    </row>
    <row r="10" spans="2:13" ht="133.5" customHeight="1" x14ac:dyDescent="0.25">
      <c r="B10" s="9">
        <v>2</v>
      </c>
      <c r="C10" s="75">
        <v>39</v>
      </c>
      <c r="D10" s="198" t="s">
        <v>330</v>
      </c>
      <c r="E10" s="196">
        <v>0</v>
      </c>
      <c r="F10" s="196">
        <v>3</v>
      </c>
      <c r="G10" s="197"/>
      <c r="H10" s="238"/>
      <c r="I10" s="240"/>
      <c r="J10" s="48">
        <v>7500000</v>
      </c>
      <c r="K10" s="49">
        <v>7500000</v>
      </c>
      <c r="L10" s="46">
        <v>0</v>
      </c>
      <c r="M10" s="19">
        <f t="shared" si="0"/>
        <v>0</v>
      </c>
    </row>
    <row r="11" spans="2:13" ht="169.5" customHeight="1" x14ac:dyDescent="0.25">
      <c r="B11" s="9">
        <v>3</v>
      </c>
      <c r="C11" s="10">
        <v>40</v>
      </c>
      <c r="D11" s="30" t="s">
        <v>331</v>
      </c>
      <c r="E11" s="68">
        <v>0</v>
      </c>
      <c r="F11" s="68" t="s">
        <v>332</v>
      </c>
      <c r="G11" s="197"/>
      <c r="H11" s="237" t="s">
        <v>333</v>
      </c>
      <c r="I11" s="244" t="s">
        <v>334</v>
      </c>
      <c r="J11" s="48">
        <v>20000000</v>
      </c>
      <c r="K11" s="49">
        <v>0</v>
      </c>
      <c r="L11" s="46">
        <v>0</v>
      </c>
      <c r="M11" s="19">
        <f t="shared" si="0"/>
        <v>0</v>
      </c>
    </row>
    <row r="12" spans="2:13" ht="117" customHeight="1" x14ac:dyDescent="0.25">
      <c r="B12" s="9">
        <v>4</v>
      </c>
      <c r="C12" s="75">
        <v>41</v>
      </c>
      <c r="D12" s="30" t="s">
        <v>335</v>
      </c>
      <c r="E12" s="68">
        <v>0</v>
      </c>
      <c r="F12" s="196">
        <v>1</v>
      </c>
      <c r="G12" s="197"/>
      <c r="H12" s="241"/>
      <c r="I12" s="245"/>
      <c r="J12" s="48">
        <v>7500000</v>
      </c>
      <c r="K12" s="49">
        <v>0</v>
      </c>
      <c r="L12" s="46">
        <v>0</v>
      </c>
      <c r="M12" s="19">
        <f t="shared" si="0"/>
        <v>0</v>
      </c>
    </row>
    <row r="13" spans="2:13" ht="75.75" customHeight="1" x14ac:dyDescent="0.25">
      <c r="B13" s="9">
        <v>5</v>
      </c>
      <c r="C13" s="75">
        <v>42</v>
      </c>
      <c r="D13" s="11" t="s">
        <v>336</v>
      </c>
      <c r="E13" s="196">
        <v>1</v>
      </c>
      <c r="F13" s="196">
        <v>1</v>
      </c>
      <c r="G13" s="197"/>
      <c r="H13" s="238"/>
      <c r="I13" s="246"/>
      <c r="J13" s="48">
        <v>7500000</v>
      </c>
      <c r="K13" s="49">
        <v>7500000</v>
      </c>
      <c r="L13" s="46">
        <v>0</v>
      </c>
      <c r="M13" s="19">
        <f t="shared" si="0"/>
        <v>0</v>
      </c>
    </row>
    <row r="14" spans="2:13" ht="101.25" customHeight="1" x14ac:dyDescent="0.25">
      <c r="B14" s="9">
        <v>6</v>
      </c>
      <c r="C14" s="75">
        <v>43</v>
      </c>
      <c r="D14" s="41" t="s">
        <v>337</v>
      </c>
      <c r="E14" s="68" t="s">
        <v>16</v>
      </c>
      <c r="F14" s="68">
        <v>3</v>
      </c>
      <c r="G14" s="199"/>
      <c r="H14" s="237" t="s">
        <v>338</v>
      </c>
      <c r="I14" s="239" t="s">
        <v>339</v>
      </c>
      <c r="J14" s="48">
        <v>17000000</v>
      </c>
      <c r="K14" s="49">
        <v>5000000</v>
      </c>
      <c r="L14" s="46">
        <v>0</v>
      </c>
      <c r="M14" s="19">
        <f t="shared" si="0"/>
        <v>0</v>
      </c>
    </row>
    <row r="15" spans="2:13" ht="108.75" customHeight="1" x14ac:dyDescent="0.25">
      <c r="B15" s="9">
        <v>7</v>
      </c>
      <c r="C15" s="75">
        <v>44</v>
      </c>
      <c r="D15" s="41" t="s">
        <v>340</v>
      </c>
      <c r="E15" s="68">
        <v>0</v>
      </c>
      <c r="F15" s="68">
        <v>1</v>
      </c>
      <c r="G15" s="199"/>
      <c r="H15" s="241"/>
      <c r="I15" s="242"/>
      <c r="J15" s="48">
        <v>20000000</v>
      </c>
      <c r="K15" s="49">
        <v>16450000</v>
      </c>
      <c r="L15" s="46">
        <v>0</v>
      </c>
      <c r="M15" s="19">
        <f t="shared" si="0"/>
        <v>0</v>
      </c>
    </row>
    <row r="16" spans="2:13" ht="137.25" customHeight="1" x14ac:dyDescent="0.25">
      <c r="B16" s="9">
        <v>8</v>
      </c>
      <c r="C16" s="75">
        <v>45</v>
      </c>
      <c r="D16" s="41" t="s">
        <v>341</v>
      </c>
      <c r="E16" s="68" t="s">
        <v>16</v>
      </c>
      <c r="F16" s="68">
        <v>2</v>
      </c>
      <c r="G16" s="199"/>
      <c r="H16" s="241"/>
      <c r="I16" s="242"/>
      <c r="J16" s="48">
        <v>20000000</v>
      </c>
      <c r="K16" s="49">
        <v>14000000</v>
      </c>
      <c r="L16" s="46">
        <v>0</v>
      </c>
      <c r="M16" s="19">
        <f t="shared" si="0"/>
        <v>0</v>
      </c>
    </row>
    <row r="17" spans="2:13" ht="138" customHeight="1" x14ac:dyDescent="0.25">
      <c r="B17" s="9">
        <v>9</v>
      </c>
      <c r="C17" s="75">
        <v>46</v>
      </c>
      <c r="D17" s="41" t="s">
        <v>342</v>
      </c>
      <c r="E17" s="68">
        <v>0</v>
      </c>
      <c r="F17" s="68">
        <v>1</v>
      </c>
      <c r="G17" s="199">
        <v>1</v>
      </c>
      <c r="H17" s="238"/>
      <c r="I17" s="240"/>
      <c r="J17" s="48">
        <v>120000000</v>
      </c>
      <c r="K17" s="49">
        <v>60000000</v>
      </c>
      <c r="L17" s="46">
        <v>60000000</v>
      </c>
      <c r="M17" s="19">
        <f t="shared" si="0"/>
        <v>25</v>
      </c>
    </row>
    <row r="18" spans="2:13" ht="156.75" customHeight="1" x14ac:dyDescent="0.25">
      <c r="B18" s="9">
        <v>10</v>
      </c>
      <c r="C18" s="75">
        <v>47</v>
      </c>
      <c r="D18" s="30" t="s">
        <v>343</v>
      </c>
      <c r="E18" s="68">
        <v>0</v>
      </c>
      <c r="F18" s="196">
        <v>2</v>
      </c>
      <c r="G18" s="200">
        <v>0</v>
      </c>
      <c r="H18" s="237" t="s">
        <v>344</v>
      </c>
      <c r="I18" s="243" t="s">
        <v>345</v>
      </c>
      <c r="J18" s="48">
        <f>105000000+25000000</f>
        <v>130000000</v>
      </c>
      <c r="K18" s="49">
        <f>5000000+25000000</f>
        <v>30000000</v>
      </c>
      <c r="L18" s="46">
        <v>22500000</v>
      </c>
      <c r="M18" s="19">
        <f t="shared" si="0"/>
        <v>0</v>
      </c>
    </row>
    <row r="19" spans="2:13" ht="99.75" customHeight="1" x14ac:dyDescent="0.25">
      <c r="B19" s="9">
        <v>11</v>
      </c>
      <c r="C19" s="75">
        <v>48</v>
      </c>
      <c r="D19" s="30" t="s">
        <v>346</v>
      </c>
      <c r="E19" s="68">
        <v>0</v>
      </c>
      <c r="F19" s="196">
        <v>1</v>
      </c>
      <c r="G19" s="197"/>
      <c r="H19" s="241"/>
      <c r="I19" s="243"/>
      <c r="J19" s="48">
        <v>55000000</v>
      </c>
      <c r="K19" s="49">
        <v>5000000</v>
      </c>
      <c r="L19" s="46">
        <v>0</v>
      </c>
      <c r="M19" s="19">
        <f t="shared" si="0"/>
        <v>0</v>
      </c>
    </row>
    <row r="20" spans="2:13" ht="213" customHeight="1" x14ac:dyDescent="0.25">
      <c r="B20" s="9">
        <v>12</v>
      </c>
      <c r="C20" s="75">
        <v>49</v>
      </c>
      <c r="D20" s="30" t="s">
        <v>347</v>
      </c>
      <c r="E20" s="68">
        <v>0</v>
      </c>
      <c r="F20" s="196">
        <v>1</v>
      </c>
      <c r="G20" s="201"/>
      <c r="H20" s="238"/>
      <c r="I20" s="243"/>
      <c r="J20" s="48">
        <v>5000000</v>
      </c>
      <c r="K20" s="49">
        <v>4950000</v>
      </c>
      <c r="L20" s="46">
        <v>0</v>
      </c>
      <c r="M20" s="19">
        <f t="shared" si="0"/>
        <v>0</v>
      </c>
    </row>
    <row r="21" spans="2:13" ht="249" customHeight="1" x14ac:dyDescent="0.25">
      <c r="B21" s="9">
        <v>13</v>
      </c>
      <c r="C21" s="75">
        <v>50</v>
      </c>
      <c r="D21" s="30" t="s">
        <v>348</v>
      </c>
      <c r="E21" s="68" t="s">
        <v>16</v>
      </c>
      <c r="F21" s="196">
        <v>2</v>
      </c>
      <c r="G21" s="199">
        <v>0</v>
      </c>
      <c r="H21" s="15" t="s">
        <v>349</v>
      </c>
      <c r="I21" s="41" t="s">
        <v>350</v>
      </c>
      <c r="J21" s="48">
        <f>5000000+3000000+52000000</f>
        <v>60000000</v>
      </c>
      <c r="K21" s="49">
        <f>5000000+3000000+30916000</f>
        <v>38916000</v>
      </c>
      <c r="L21" s="46">
        <f>5000000+3000000+1800000</f>
        <v>9800000</v>
      </c>
      <c r="M21" s="19">
        <f t="shared" si="0"/>
        <v>0</v>
      </c>
    </row>
    <row r="22" spans="2:13" ht="144.75" customHeight="1" x14ac:dyDescent="0.25">
      <c r="B22" s="9">
        <v>14</v>
      </c>
      <c r="C22" s="75">
        <v>52</v>
      </c>
      <c r="D22" s="30" t="s">
        <v>351</v>
      </c>
      <c r="E22" s="68">
        <v>0</v>
      </c>
      <c r="F22" s="196">
        <v>3</v>
      </c>
      <c r="G22" s="197">
        <v>0</v>
      </c>
      <c r="H22" s="15" t="s">
        <v>352</v>
      </c>
      <c r="I22" s="41" t="s">
        <v>353</v>
      </c>
      <c r="J22" s="48">
        <f>75800000+4200000</f>
        <v>80000000</v>
      </c>
      <c r="K22" s="49">
        <f>54347000+4200000</f>
        <v>58547000</v>
      </c>
      <c r="L22" s="46">
        <v>4200000</v>
      </c>
      <c r="M22" s="19">
        <f t="shared" si="0"/>
        <v>0</v>
      </c>
    </row>
    <row r="23" spans="2:13" ht="121.5" customHeight="1" x14ac:dyDescent="0.25">
      <c r="B23" s="9">
        <v>15</v>
      </c>
      <c r="C23" s="75">
        <v>53</v>
      </c>
      <c r="D23" s="30" t="s">
        <v>354</v>
      </c>
      <c r="E23" s="68">
        <v>0</v>
      </c>
      <c r="F23" s="196">
        <v>1</v>
      </c>
      <c r="G23" s="69">
        <v>0.31</v>
      </c>
      <c r="H23" s="15" t="s">
        <v>355</v>
      </c>
      <c r="I23" s="30" t="s">
        <v>356</v>
      </c>
      <c r="J23" s="48">
        <f>425360000+83000000</f>
        <v>508360000</v>
      </c>
      <c r="K23" s="49">
        <f>313032500+83000000</f>
        <v>396032500</v>
      </c>
      <c r="L23" s="46">
        <f>80000000+80000000</f>
        <v>160000000</v>
      </c>
      <c r="M23" s="19">
        <f t="shared" si="0"/>
        <v>7.75</v>
      </c>
    </row>
    <row r="24" spans="2:13" ht="34.5" customHeight="1" x14ac:dyDescent="0.25">
      <c r="B24" s="51"/>
      <c r="C24" s="76"/>
      <c r="D24" s="76" t="s">
        <v>28</v>
      </c>
      <c r="E24" s="76"/>
      <c r="F24" s="76"/>
      <c r="G24" s="76"/>
      <c r="H24" s="76"/>
      <c r="I24" s="76"/>
      <c r="J24" s="53">
        <f>SUM(J9:J23)</f>
        <v>1065360000</v>
      </c>
      <c r="K24" s="53">
        <f>SUM(K9:K23)</f>
        <v>651395500</v>
      </c>
      <c r="L24" s="53">
        <f>SUM(L9:L23)</f>
        <v>256500000</v>
      </c>
      <c r="M24" s="53">
        <f>SUM(M9:M23)</f>
        <v>32.75</v>
      </c>
    </row>
    <row r="25" spans="2:13" x14ac:dyDescent="0.25">
      <c r="C25" s="202"/>
      <c r="D25" s="202"/>
      <c r="E25" s="202"/>
      <c r="F25" s="202"/>
      <c r="G25" s="202"/>
      <c r="H25" s="202"/>
      <c r="I25" s="202"/>
      <c r="J25" s="202"/>
      <c r="K25" s="202"/>
      <c r="L25" s="202"/>
      <c r="M25" s="202"/>
    </row>
    <row r="26" spans="2:13" x14ac:dyDescent="0.25">
      <c r="I26" s="162"/>
      <c r="J26" s="203"/>
    </row>
    <row r="27" spans="2:13" x14ac:dyDescent="0.25">
      <c r="I27" s="162"/>
      <c r="J27" s="203"/>
    </row>
    <row r="30" spans="2:13" ht="60" x14ac:dyDescent="0.25">
      <c r="E30" s="20" t="s">
        <v>22</v>
      </c>
      <c r="F30" s="21" t="s">
        <v>23</v>
      </c>
      <c r="G30" s="22" t="s">
        <v>24</v>
      </c>
    </row>
    <row r="31" spans="2:13" x14ac:dyDescent="0.25">
      <c r="E31" s="24" t="s">
        <v>25</v>
      </c>
      <c r="F31" s="9">
        <v>0</v>
      </c>
      <c r="G31" s="9">
        <f>+F31/$F$34*100</f>
        <v>0</v>
      </c>
    </row>
    <row r="32" spans="2:13" x14ac:dyDescent="0.25">
      <c r="E32" s="24" t="s">
        <v>26</v>
      </c>
      <c r="F32" s="9">
        <v>0</v>
      </c>
      <c r="G32" s="9">
        <f t="shared" ref="G32:G34" si="1">+F32/$F$34*100</f>
        <v>0</v>
      </c>
    </row>
    <row r="33" spans="5:7" x14ac:dyDescent="0.25">
      <c r="E33" s="24" t="s">
        <v>27</v>
      </c>
      <c r="F33" s="9">
        <v>15</v>
      </c>
      <c r="G33" s="9">
        <f t="shared" si="1"/>
        <v>100</v>
      </c>
    </row>
    <row r="34" spans="5:7" x14ac:dyDescent="0.25">
      <c r="E34" s="79" t="s">
        <v>28</v>
      </c>
      <c r="F34" s="51">
        <f>SUM(F31:F33)</f>
        <v>15</v>
      </c>
      <c r="G34" s="9">
        <f t="shared" si="1"/>
        <v>100</v>
      </c>
    </row>
  </sheetData>
  <sheetProtection algorithmName="SHA-512" hashValue="u9BI0omiBwLjMiEtIX0+ChdYG2kkaZmpGJww2praGOX18/pBULhn8wQC5O9C4zONM97t0znZaj6A7Wshi6Y5yQ==" saltValue="2sYGCu0sV1GmQTB7gznoqw==" spinCount="100000" sheet="1" objects="1" scenarios="1"/>
  <mergeCells count="11">
    <mergeCell ref="H14:H17"/>
    <mergeCell ref="I14:I17"/>
    <mergeCell ref="H18:H20"/>
    <mergeCell ref="I18:I20"/>
    <mergeCell ref="B4:M4"/>
    <mergeCell ref="B5:M5"/>
    <mergeCell ref="B6:M6"/>
    <mergeCell ref="H9:H10"/>
    <mergeCell ref="I9:I10"/>
    <mergeCell ref="H11:H13"/>
    <mergeCell ref="I11:I13"/>
  </mergeCells>
  <pageMargins left="0.7" right="0.7" top="0.75" bottom="0.75" header="0.3" footer="0.3"/>
  <pageSetup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view="pageBreakPreview" topLeftCell="A7" zoomScale="60" zoomScaleNormal="80" workbookViewId="0">
      <selection activeCell="K10" sqref="K10"/>
    </sheetView>
  </sheetViews>
  <sheetFormatPr baseColWidth="10" defaultRowHeight="15" x14ac:dyDescent="0.25"/>
  <cols>
    <col min="2" max="2" width="14.28515625" customWidth="1"/>
    <col min="4" max="4" width="30.5703125" customWidth="1"/>
    <col min="6" max="6" width="14.28515625" customWidth="1"/>
    <col min="7" max="7" width="13.5703125" customWidth="1"/>
    <col min="8" max="8" width="0.140625" hidden="1" customWidth="1"/>
    <col min="9" max="9" width="15.7109375" hidden="1" customWidth="1"/>
    <col min="10" max="10" width="27.5703125" customWidth="1"/>
    <col min="11" max="11" width="28.5703125" customWidth="1"/>
    <col min="12" max="12" width="26.42578125" customWidth="1"/>
    <col min="13" max="13" width="23.28515625" customWidth="1"/>
    <col min="14" max="14" width="18.7109375" customWidth="1"/>
  </cols>
  <sheetData>
    <row r="1" spans="2:14" x14ac:dyDescent="0.25">
      <c r="B1" s="247" t="s">
        <v>52</v>
      </c>
      <c r="C1" s="247"/>
      <c r="D1" s="247"/>
      <c r="E1" s="247"/>
      <c r="F1" s="247"/>
      <c r="G1" s="247"/>
      <c r="H1" s="247"/>
      <c r="I1" s="247"/>
      <c r="J1" s="247"/>
      <c r="K1" s="247"/>
      <c r="L1" s="247"/>
      <c r="M1" s="247"/>
      <c r="N1" s="247"/>
    </row>
    <row r="2" spans="2:14" x14ac:dyDescent="0.25">
      <c r="B2" s="247" t="s">
        <v>316</v>
      </c>
      <c r="C2" s="247"/>
      <c r="D2" s="247"/>
      <c r="E2" s="247"/>
      <c r="F2" s="247"/>
      <c r="G2" s="247"/>
      <c r="H2" s="247"/>
      <c r="I2" s="247"/>
      <c r="J2" s="247"/>
      <c r="K2" s="247"/>
      <c r="L2" s="247"/>
      <c r="M2" s="247"/>
      <c r="N2" s="247"/>
    </row>
    <row r="3" spans="2:14" x14ac:dyDescent="0.25">
      <c r="B3" s="247" t="s">
        <v>54</v>
      </c>
      <c r="C3" s="247"/>
      <c r="D3" s="247"/>
      <c r="E3" s="247"/>
      <c r="F3" s="247"/>
      <c r="G3" s="247"/>
      <c r="H3" s="247"/>
      <c r="I3" s="247"/>
      <c r="J3" s="247"/>
      <c r="K3" s="247"/>
      <c r="L3" s="247"/>
      <c r="M3" s="247"/>
      <c r="N3" s="247"/>
    </row>
    <row r="4" spans="2:14" x14ac:dyDescent="0.25">
      <c r="B4" s="248"/>
      <c r="C4" s="248"/>
      <c r="D4" s="248"/>
      <c r="E4" s="248"/>
      <c r="F4" s="248"/>
      <c r="G4" s="248"/>
      <c r="H4" s="248"/>
      <c r="I4" s="248"/>
      <c r="J4" s="248"/>
      <c r="K4" s="248"/>
      <c r="L4" s="248"/>
      <c r="M4" s="248"/>
      <c r="N4" s="248"/>
    </row>
    <row r="5" spans="2:14" ht="90.75" customHeight="1" x14ac:dyDescent="0.25">
      <c r="B5" s="6" t="s">
        <v>3</v>
      </c>
      <c r="C5" s="7" t="s">
        <v>4</v>
      </c>
      <c r="D5" s="7" t="s">
        <v>5</v>
      </c>
      <c r="E5" s="7" t="s">
        <v>6</v>
      </c>
      <c r="F5" s="7" t="s">
        <v>7</v>
      </c>
      <c r="G5" s="7" t="s">
        <v>8</v>
      </c>
      <c r="H5" s="7" t="s">
        <v>9</v>
      </c>
      <c r="I5" s="7" t="s">
        <v>10</v>
      </c>
      <c r="J5" s="6" t="s">
        <v>11</v>
      </c>
      <c r="K5" s="7" t="s">
        <v>12</v>
      </c>
      <c r="L5" s="7" t="s">
        <v>13</v>
      </c>
      <c r="M5" s="186" t="s">
        <v>267</v>
      </c>
      <c r="N5" s="8" t="s">
        <v>14</v>
      </c>
    </row>
    <row r="6" spans="2:14" ht="42.75" customHeight="1" x14ac:dyDescent="0.25">
      <c r="B6" s="9">
        <v>1</v>
      </c>
      <c r="C6" s="10">
        <v>275</v>
      </c>
      <c r="D6" s="41" t="s">
        <v>317</v>
      </c>
      <c r="E6" s="12">
        <v>0</v>
      </c>
      <c r="F6" s="13">
        <v>4</v>
      </c>
      <c r="G6" s="145">
        <v>2</v>
      </c>
      <c r="H6" s="249">
        <v>2014630000121</v>
      </c>
      <c r="I6" s="252" t="s">
        <v>318</v>
      </c>
      <c r="J6" s="253" t="s">
        <v>319</v>
      </c>
      <c r="K6" s="187">
        <v>747722528</v>
      </c>
      <c r="L6" s="188">
        <v>719799021</v>
      </c>
      <c r="M6" s="188">
        <v>423558054</v>
      </c>
      <c r="N6" s="189">
        <f>+G6/F6*100</f>
        <v>50</v>
      </c>
    </row>
    <row r="7" spans="2:14" ht="57" x14ac:dyDescent="0.25">
      <c r="B7" s="9">
        <v>2</v>
      </c>
      <c r="C7" s="10">
        <v>276</v>
      </c>
      <c r="D7" s="41" t="s">
        <v>320</v>
      </c>
      <c r="E7" s="12">
        <v>1</v>
      </c>
      <c r="F7" s="13">
        <v>1</v>
      </c>
      <c r="G7" s="136">
        <v>0.30257743173220897</v>
      </c>
      <c r="H7" s="250"/>
      <c r="I7" s="252"/>
      <c r="J7" s="253"/>
      <c r="K7" s="190">
        <v>182873282</v>
      </c>
      <c r="L7" s="191">
        <v>150206616</v>
      </c>
      <c r="M7" s="188">
        <v>55333328</v>
      </c>
      <c r="N7" s="192">
        <f t="shared" ref="N7:N10" si="0">+G7/F7*100</f>
        <v>30.257743173220895</v>
      </c>
    </row>
    <row r="8" spans="2:14" ht="57" x14ac:dyDescent="0.25">
      <c r="B8" s="9">
        <v>3</v>
      </c>
      <c r="C8" s="10">
        <v>277</v>
      </c>
      <c r="D8" s="41" t="s">
        <v>321</v>
      </c>
      <c r="E8" s="12">
        <v>1</v>
      </c>
      <c r="F8" s="13">
        <v>1</v>
      </c>
      <c r="G8" s="136">
        <v>5.4947780422287068E-2</v>
      </c>
      <c r="H8" s="251"/>
      <c r="I8" s="252"/>
      <c r="J8" s="253"/>
      <c r="K8" s="190">
        <v>484459969</v>
      </c>
      <c r="L8" s="191">
        <v>125233320</v>
      </c>
      <c r="M8" s="188">
        <v>26620000</v>
      </c>
      <c r="N8" s="192">
        <f t="shared" si="0"/>
        <v>5.4947780422287069</v>
      </c>
    </row>
    <row r="9" spans="2:14" ht="86.25" customHeight="1" x14ac:dyDescent="0.25">
      <c r="B9" s="9">
        <v>4</v>
      </c>
      <c r="C9" s="193">
        <v>278</v>
      </c>
      <c r="D9" s="41" t="s">
        <v>322</v>
      </c>
      <c r="E9" s="12" t="s">
        <v>16</v>
      </c>
      <c r="F9" s="13">
        <v>1</v>
      </c>
      <c r="G9" s="14"/>
      <c r="H9" s="194"/>
      <c r="I9" s="237" t="s">
        <v>323</v>
      </c>
      <c r="J9" s="239" t="s">
        <v>324</v>
      </c>
      <c r="K9" s="190">
        <v>8000000</v>
      </c>
      <c r="L9" s="191">
        <v>0</v>
      </c>
      <c r="M9" s="188">
        <v>0</v>
      </c>
      <c r="N9" s="192">
        <f t="shared" si="0"/>
        <v>0</v>
      </c>
    </row>
    <row r="10" spans="2:14" ht="88.5" customHeight="1" x14ac:dyDescent="0.25">
      <c r="B10" s="9">
        <v>5</v>
      </c>
      <c r="C10" s="193">
        <v>279</v>
      </c>
      <c r="D10" s="41" t="s">
        <v>325</v>
      </c>
      <c r="E10" s="12" t="s">
        <v>16</v>
      </c>
      <c r="F10" s="13">
        <v>1</v>
      </c>
      <c r="G10" s="126"/>
      <c r="H10" s="195"/>
      <c r="I10" s="238"/>
      <c r="J10" s="240"/>
      <c r="K10" s="190">
        <v>32000000</v>
      </c>
      <c r="L10" s="191">
        <v>0</v>
      </c>
      <c r="M10" s="188">
        <v>0</v>
      </c>
      <c r="N10" s="192">
        <f t="shared" si="0"/>
        <v>0</v>
      </c>
    </row>
    <row r="14" spans="2:14" ht="45" x14ac:dyDescent="0.25">
      <c r="D14" s="20" t="s">
        <v>22</v>
      </c>
      <c r="E14" s="21" t="s">
        <v>23</v>
      </c>
      <c r="F14" s="22" t="s">
        <v>24</v>
      </c>
    </row>
    <row r="15" spans="2:14" x14ac:dyDescent="0.25">
      <c r="D15" s="24" t="s">
        <v>25</v>
      </c>
      <c r="E15" s="9">
        <v>0</v>
      </c>
      <c r="F15" s="9">
        <f>+E15/$E$18*100</f>
        <v>0</v>
      </c>
    </row>
    <row r="16" spans="2:14" x14ac:dyDescent="0.25">
      <c r="D16" s="24" t="s">
        <v>26</v>
      </c>
      <c r="E16" s="78">
        <v>1</v>
      </c>
      <c r="F16" s="9">
        <f t="shared" ref="F16:F18" si="1">+E16/$E$18*100</f>
        <v>20</v>
      </c>
    </row>
    <row r="17" spans="4:6" x14ac:dyDescent="0.25">
      <c r="D17" s="24" t="s">
        <v>27</v>
      </c>
      <c r="E17" s="78">
        <v>4</v>
      </c>
      <c r="F17" s="9">
        <f t="shared" si="1"/>
        <v>80</v>
      </c>
    </row>
    <row r="18" spans="4:6" x14ac:dyDescent="0.25">
      <c r="D18" s="79" t="s">
        <v>28</v>
      </c>
      <c r="E18" s="51">
        <f>SUM(E15:E17)</f>
        <v>5</v>
      </c>
      <c r="F18" s="9">
        <f t="shared" si="1"/>
        <v>100</v>
      </c>
    </row>
  </sheetData>
  <sheetProtection algorithmName="SHA-512" hashValue="5SAm84UJRvlbWyTui3TfHE1dfvy8SjOEkP6/wuObklJGs72qdMqPIXyEzQ+foGv9Gwajg0duVMaRE5jR6Ddxkw==" saltValue="DBDMu/XqfkWCJ27lXXlLqw==" spinCount="100000" sheet="1" objects="1" scenarios="1"/>
  <mergeCells count="9">
    <mergeCell ref="I9:I10"/>
    <mergeCell ref="J9:J10"/>
    <mergeCell ref="B1:N1"/>
    <mergeCell ref="B2:N2"/>
    <mergeCell ref="B3:N3"/>
    <mergeCell ref="B4:N4"/>
    <mergeCell ref="H6:H8"/>
    <mergeCell ref="I6:I8"/>
    <mergeCell ref="J6:J8"/>
  </mergeCells>
  <pageMargins left="0.7" right="0.7" top="0.75" bottom="0.75" header="0.3" footer="0.3"/>
  <pageSetup scale="3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
  <sheetViews>
    <sheetView view="pageBreakPreview" zoomScale="60" zoomScaleNormal="60" workbookViewId="0">
      <pane ySplit="2" topLeftCell="A3" activePane="bottomLeft" state="frozen"/>
      <selection pane="bottomLeft" activeCell="D2" sqref="D2"/>
    </sheetView>
  </sheetViews>
  <sheetFormatPr baseColWidth="10" defaultRowHeight="15" x14ac:dyDescent="0.25"/>
  <cols>
    <col min="1" max="1" width="11.42578125" style="4"/>
    <col min="2" max="2" width="19.85546875" customWidth="1"/>
    <col min="3" max="3" width="24.7109375" customWidth="1"/>
    <col min="4" max="4" width="22.28515625" customWidth="1"/>
    <col min="5" max="6" width="22.85546875" customWidth="1"/>
    <col min="7" max="7" width="17.42578125" customWidth="1"/>
    <col min="8" max="8" width="16.7109375" customWidth="1"/>
    <col min="9" max="9" width="17.85546875" customWidth="1"/>
    <col min="10" max="10" width="28.5703125" style="54" customWidth="1"/>
  </cols>
  <sheetData>
    <row r="1" spans="1:44" ht="59.25" customHeight="1" x14ac:dyDescent="0.25">
      <c r="A1" s="254" t="s">
        <v>260</v>
      </c>
      <c r="B1" s="254"/>
      <c r="C1" s="254"/>
      <c r="D1" s="254"/>
      <c r="E1" s="254"/>
      <c r="F1" s="254"/>
      <c r="G1" s="254"/>
      <c r="H1" s="254"/>
      <c r="I1" s="254"/>
      <c r="J1" s="254"/>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row>
    <row r="2" spans="1:44" s="166" customFormat="1" ht="88.5" customHeight="1" x14ac:dyDescent="0.25">
      <c r="A2" s="163" t="s">
        <v>261</v>
      </c>
      <c r="B2" s="163" t="s">
        <v>262</v>
      </c>
      <c r="C2" s="163" t="s">
        <v>263</v>
      </c>
      <c r="D2" s="163" t="s">
        <v>10</v>
      </c>
      <c r="E2" s="163" t="s">
        <v>264</v>
      </c>
      <c r="F2" s="163" t="s">
        <v>265</v>
      </c>
      <c r="G2" s="163" t="s">
        <v>266</v>
      </c>
      <c r="H2" s="163" t="s">
        <v>267</v>
      </c>
      <c r="I2" s="163" t="s">
        <v>268</v>
      </c>
      <c r="J2" s="164" t="s">
        <v>269</v>
      </c>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row>
    <row r="3" spans="1:44" s="172" customFormat="1" ht="90" x14ac:dyDescent="0.25">
      <c r="A3" s="167">
        <v>4</v>
      </c>
      <c r="B3" s="168" t="s">
        <v>270</v>
      </c>
      <c r="C3" s="168" t="s">
        <v>271</v>
      </c>
      <c r="D3" s="168" t="s">
        <v>272</v>
      </c>
      <c r="E3" s="169">
        <v>54164000</v>
      </c>
      <c r="F3" s="169">
        <v>54164000</v>
      </c>
      <c r="G3" s="170">
        <v>54164000</v>
      </c>
      <c r="H3" s="169">
        <v>52956000</v>
      </c>
      <c r="I3" s="169">
        <v>0</v>
      </c>
      <c r="J3" s="171">
        <f>+G3/E3*100</f>
        <v>100</v>
      </c>
    </row>
    <row r="4" spans="1:44" s="172" customFormat="1" ht="106.5" customHeight="1" x14ac:dyDescent="0.25">
      <c r="A4" s="167">
        <v>4</v>
      </c>
      <c r="B4" s="168" t="s">
        <v>270</v>
      </c>
      <c r="C4" s="168" t="s">
        <v>273</v>
      </c>
      <c r="D4" s="168" t="s">
        <v>274</v>
      </c>
      <c r="E4" s="169">
        <v>5275836000</v>
      </c>
      <c r="F4" s="169">
        <v>316286975</v>
      </c>
      <c r="G4" s="170">
        <v>235006021.69999999</v>
      </c>
      <c r="H4" s="169">
        <v>3700000</v>
      </c>
      <c r="I4" s="169">
        <f>E4-F4</f>
        <v>4959549025</v>
      </c>
      <c r="J4" s="36">
        <f t="shared" ref="J4:J26" si="0">+G4/E4*100</f>
        <v>4.4543845127104031</v>
      </c>
    </row>
    <row r="5" spans="1:44" s="172" customFormat="1" ht="102.75" customHeight="1" x14ac:dyDescent="0.25">
      <c r="A5" s="167">
        <v>20</v>
      </c>
      <c r="B5" s="168" t="s">
        <v>275</v>
      </c>
      <c r="C5" s="168" t="s">
        <v>276</v>
      </c>
      <c r="D5" s="168" t="s">
        <v>274</v>
      </c>
      <c r="E5" s="169">
        <v>340000000</v>
      </c>
      <c r="F5" s="169">
        <v>61035022</v>
      </c>
      <c r="G5" s="170">
        <v>20129202.600000001</v>
      </c>
      <c r="H5" s="169">
        <v>0</v>
      </c>
      <c r="I5" s="169">
        <f>E5-F5</f>
        <v>278964978</v>
      </c>
      <c r="J5" s="36">
        <f t="shared" si="0"/>
        <v>5.9203537058823539</v>
      </c>
    </row>
    <row r="6" spans="1:44" s="172" customFormat="1" ht="105" x14ac:dyDescent="0.25">
      <c r="A6" s="167">
        <v>20</v>
      </c>
      <c r="B6" s="168" t="s">
        <v>275</v>
      </c>
      <c r="C6" s="168" t="s">
        <v>277</v>
      </c>
      <c r="D6" s="168" t="s">
        <v>278</v>
      </c>
      <c r="E6" s="169">
        <v>100000000</v>
      </c>
      <c r="F6" s="169">
        <v>0</v>
      </c>
      <c r="G6" s="170">
        <v>0</v>
      </c>
      <c r="H6" s="169">
        <v>0</v>
      </c>
      <c r="I6" s="169">
        <v>100000000</v>
      </c>
      <c r="J6" s="19">
        <f t="shared" si="0"/>
        <v>0</v>
      </c>
    </row>
    <row r="7" spans="1:44" s="172" customFormat="1" ht="105" x14ac:dyDescent="0.25">
      <c r="A7" s="167">
        <v>23</v>
      </c>
      <c r="B7" s="168" t="s">
        <v>279</v>
      </c>
      <c r="C7" s="168" t="s">
        <v>280</v>
      </c>
      <c r="D7" s="168" t="s">
        <v>278</v>
      </c>
      <c r="E7" s="169">
        <v>412284584</v>
      </c>
      <c r="F7" s="169">
        <v>308989166</v>
      </c>
      <c r="G7" s="170">
        <v>265028830</v>
      </c>
      <c r="H7" s="169">
        <v>9866666</v>
      </c>
      <c r="I7" s="169">
        <f>E7-F7</f>
        <v>103295418</v>
      </c>
      <c r="J7" s="67">
        <f t="shared" si="0"/>
        <v>64.282983231796024</v>
      </c>
    </row>
    <row r="8" spans="1:44" s="172" customFormat="1" ht="60" x14ac:dyDescent="0.25">
      <c r="A8" s="167">
        <v>23</v>
      </c>
      <c r="B8" s="168" t="s">
        <v>279</v>
      </c>
      <c r="C8" s="168" t="s">
        <v>281</v>
      </c>
      <c r="D8" s="168" t="s">
        <v>282</v>
      </c>
      <c r="E8" s="169">
        <v>49000000</v>
      </c>
      <c r="F8" s="169">
        <v>49000000</v>
      </c>
      <c r="G8" s="170">
        <v>49000000</v>
      </c>
      <c r="H8" s="169">
        <v>39000000</v>
      </c>
      <c r="I8" s="169">
        <v>0</v>
      </c>
      <c r="J8" s="171">
        <f t="shared" si="0"/>
        <v>100</v>
      </c>
    </row>
    <row r="9" spans="1:44" s="172" customFormat="1" ht="120" x14ac:dyDescent="0.25">
      <c r="A9" s="167">
        <v>27</v>
      </c>
      <c r="B9" s="168" t="s">
        <v>283</v>
      </c>
      <c r="C9" s="168" t="s">
        <v>284</v>
      </c>
      <c r="D9" s="168" t="s">
        <v>285</v>
      </c>
      <c r="E9" s="169">
        <v>270132263.98000002</v>
      </c>
      <c r="F9" s="169">
        <v>0</v>
      </c>
      <c r="G9" s="170">
        <v>0</v>
      </c>
      <c r="H9" s="169">
        <v>0</v>
      </c>
      <c r="I9" s="169">
        <v>270132263.98000002</v>
      </c>
      <c r="J9" s="19">
        <f t="shared" si="0"/>
        <v>0</v>
      </c>
    </row>
    <row r="10" spans="1:44" s="172" customFormat="1" ht="105" hidden="1" x14ac:dyDescent="0.25">
      <c r="A10" s="167">
        <v>27</v>
      </c>
      <c r="B10" s="168" t="s">
        <v>283</v>
      </c>
      <c r="C10" s="168" t="s">
        <v>286</v>
      </c>
      <c r="D10" s="168" t="s">
        <v>287</v>
      </c>
      <c r="E10" s="169">
        <v>0</v>
      </c>
      <c r="F10" s="169">
        <v>0</v>
      </c>
      <c r="G10" s="170">
        <v>0</v>
      </c>
      <c r="H10" s="169">
        <v>0</v>
      </c>
      <c r="I10" s="169">
        <v>0</v>
      </c>
      <c r="J10" s="19" t="e">
        <f t="shared" si="0"/>
        <v>#DIV/0!</v>
      </c>
    </row>
    <row r="11" spans="1:44" s="172" customFormat="1" ht="135" x14ac:dyDescent="0.25">
      <c r="A11" s="167">
        <v>27</v>
      </c>
      <c r="B11" s="168" t="s">
        <v>283</v>
      </c>
      <c r="C11" s="168" t="s">
        <v>288</v>
      </c>
      <c r="D11" s="168" t="s">
        <v>289</v>
      </c>
      <c r="E11" s="169">
        <v>1051663049.29</v>
      </c>
      <c r="F11" s="169">
        <v>0</v>
      </c>
      <c r="G11" s="170">
        <v>0</v>
      </c>
      <c r="H11" s="169">
        <v>0</v>
      </c>
      <c r="I11" s="169">
        <v>1051663049.29</v>
      </c>
      <c r="J11" s="19">
        <f t="shared" si="0"/>
        <v>0</v>
      </c>
    </row>
    <row r="12" spans="1:44" s="172" customFormat="1" ht="105" x14ac:dyDescent="0.25">
      <c r="A12" s="167">
        <v>27</v>
      </c>
      <c r="B12" s="168" t="s">
        <v>283</v>
      </c>
      <c r="C12" s="168" t="s">
        <v>290</v>
      </c>
      <c r="D12" s="168" t="s">
        <v>291</v>
      </c>
      <c r="E12" s="169">
        <v>438933783.48000002</v>
      </c>
      <c r="F12" s="169">
        <v>0</v>
      </c>
      <c r="G12" s="170">
        <v>0</v>
      </c>
      <c r="H12" s="169">
        <v>0</v>
      </c>
      <c r="I12" s="169">
        <v>438933783.48000002</v>
      </c>
      <c r="J12" s="19">
        <f t="shared" si="0"/>
        <v>0</v>
      </c>
    </row>
    <row r="13" spans="1:44" s="172" customFormat="1" ht="90" hidden="1" x14ac:dyDescent="0.25">
      <c r="A13" s="167">
        <v>27</v>
      </c>
      <c r="B13" s="168" t="s">
        <v>283</v>
      </c>
      <c r="C13" s="168" t="s">
        <v>292</v>
      </c>
      <c r="D13" s="168" t="s">
        <v>293</v>
      </c>
      <c r="E13" s="169">
        <v>0</v>
      </c>
      <c r="F13" s="169">
        <v>0</v>
      </c>
      <c r="G13" s="170">
        <v>0</v>
      </c>
      <c r="H13" s="169">
        <v>0</v>
      </c>
      <c r="I13" s="169">
        <v>0</v>
      </c>
      <c r="J13" s="19" t="e">
        <f t="shared" si="0"/>
        <v>#DIV/0!</v>
      </c>
    </row>
    <row r="14" spans="1:44" s="172" customFormat="1" ht="105" x14ac:dyDescent="0.25">
      <c r="A14" s="167">
        <v>27</v>
      </c>
      <c r="B14" s="168" t="s">
        <v>283</v>
      </c>
      <c r="C14" s="168" t="s">
        <v>294</v>
      </c>
      <c r="D14" s="168" t="s">
        <v>295</v>
      </c>
      <c r="E14" s="169">
        <v>330943049.29000002</v>
      </c>
      <c r="F14" s="169">
        <v>0</v>
      </c>
      <c r="G14" s="170">
        <v>0</v>
      </c>
      <c r="H14" s="169">
        <v>0</v>
      </c>
      <c r="I14" s="169">
        <v>330943049.29000002</v>
      </c>
      <c r="J14" s="19">
        <f t="shared" si="0"/>
        <v>0</v>
      </c>
    </row>
    <row r="15" spans="1:44" s="172" customFormat="1" ht="120" x14ac:dyDescent="0.25">
      <c r="A15" s="167">
        <v>27</v>
      </c>
      <c r="B15" s="168" t="s">
        <v>283</v>
      </c>
      <c r="C15" s="168" t="s">
        <v>296</v>
      </c>
      <c r="D15" s="168" t="s">
        <v>297</v>
      </c>
      <c r="E15" s="169">
        <v>50286511.960000001</v>
      </c>
      <c r="F15" s="169">
        <v>0</v>
      </c>
      <c r="G15" s="170">
        <v>0</v>
      </c>
      <c r="H15" s="169">
        <v>0</v>
      </c>
      <c r="I15" s="169">
        <v>50286511.960000001</v>
      </c>
      <c r="J15" s="19">
        <f t="shared" si="0"/>
        <v>0</v>
      </c>
    </row>
    <row r="16" spans="1:44" s="172" customFormat="1" ht="90" hidden="1" x14ac:dyDescent="0.25">
      <c r="A16" s="167">
        <v>27</v>
      </c>
      <c r="B16" s="168" t="s">
        <v>283</v>
      </c>
      <c r="C16" s="168" t="s">
        <v>298</v>
      </c>
      <c r="D16" s="168" t="s">
        <v>299</v>
      </c>
      <c r="E16" s="169">
        <v>0</v>
      </c>
      <c r="F16" s="169">
        <v>0</v>
      </c>
      <c r="G16" s="170">
        <v>0</v>
      </c>
      <c r="H16" s="169">
        <v>0</v>
      </c>
      <c r="I16" s="169">
        <v>0</v>
      </c>
      <c r="J16" s="173" t="e">
        <f t="shared" si="0"/>
        <v>#DIV/0!</v>
      </c>
    </row>
    <row r="17" spans="1:12" s="172" customFormat="1" ht="75" hidden="1" x14ac:dyDescent="0.25">
      <c r="A17" s="167">
        <v>27</v>
      </c>
      <c r="B17" s="168" t="s">
        <v>283</v>
      </c>
      <c r="C17" s="168" t="s">
        <v>300</v>
      </c>
      <c r="D17" s="168" t="s">
        <v>301</v>
      </c>
      <c r="E17" s="169">
        <v>0</v>
      </c>
      <c r="F17" s="169">
        <v>0</v>
      </c>
      <c r="G17" s="170">
        <v>0</v>
      </c>
      <c r="H17" s="169">
        <v>0</v>
      </c>
      <c r="I17" s="169">
        <v>0</v>
      </c>
      <c r="J17" s="173" t="e">
        <f t="shared" si="0"/>
        <v>#DIV/0!</v>
      </c>
    </row>
    <row r="18" spans="1:12" s="172" customFormat="1" ht="90" x14ac:dyDescent="0.25">
      <c r="A18" s="167">
        <v>55</v>
      </c>
      <c r="B18" s="168" t="s">
        <v>302</v>
      </c>
      <c r="C18" s="168" t="s">
        <v>303</v>
      </c>
      <c r="D18" s="168" t="s">
        <v>272</v>
      </c>
      <c r="E18" s="169">
        <v>20519904</v>
      </c>
      <c r="F18" s="169">
        <v>20519904</v>
      </c>
      <c r="G18" s="170">
        <v>20519904</v>
      </c>
      <c r="H18" s="169">
        <v>0</v>
      </c>
      <c r="I18" s="169">
        <v>0</v>
      </c>
      <c r="J18" s="171">
        <f t="shared" si="0"/>
        <v>100</v>
      </c>
      <c r="L18" s="174" t="s">
        <v>36</v>
      </c>
    </row>
    <row r="19" spans="1:12" s="172" customFormat="1" ht="60" hidden="1" x14ac:dyDescent="0.25">
      <c r="A19" s="167">
        <v>88</v>
      </c>
      <c r="B19" s="168" t="s">
        <v>304</v>
      </c>
      <c r="C19" s="168" t="s">
        <v>305</v>
      </c>
      <c r="D19" s="168" t="s">
        <v>282</v>
      </c>
      <c r="E19" s="169">
        <v>0</v>
      </c>
      <c r="F19" s="169">
        <v>0</v>
      </c>
      <c r="G19" s="170">
        <v>0</v>
      </c>
      <c r="H19" s="169">
        <v>0</v>
      </c>
      <c r="I19" s="169">
        <v>0</v>
      </c>
      <c r="J19" s="173" t="e">
        <f t="shared" si="0"/>
        <v>#DIV/0!</v>
      </c>
    </row>
    <row r="20" spans="1:12" s="172" customFormat="1" ht="105" x14ac:dyDescent="0.25">
      <c r="A20" s="167">
        <v>88</v>
      </c>
      <c r="B20" s="168" t="s">
        <v>304</v>
      </c>
      <c r="C20" s="168" t="s">
        <v>306</v>
      </c>
      <c r="D20" s="168" t="s">
        <v>278</v>
      </c>
      <c r="E20" s="169">
        <v>363293889</v>
      </c>
      <c r="F20" s="169">
        <v>0</v>
      </c>
      <c r="G20" s="170">
        <v>0</v>
      </c>
      <c r="H20" s="169">
        <v>0</v>
      </c>
      <c r="I20" s="169">
        <v>363293889</v>
      </c>
      <c r="J20" s="19">
        <f t="shared" si="0"/>
        <v>0</v>
      </c>
    </row>
    <row r="21" spans="1:12" s="172" customFormat="1" ht="105" x14ac:dyDescent="0.25">
      <c r="A21" s="167">
        <v>89</v>
      </c>
      <c r="B21" s="168" t="s">
        <v>307</v>
      </c>
      <c r="C21" s="168" t="s">
        <v>308</v>
      </c>
      <c r="D21" s="168" t="s">
        <v>278</v>
      </c>
      <c r="E21" s="169">
        <v>40971757</v>
      </c>
      <c r="F21" s="169">
        <v>0</v>
      </c>
      <c r="G21" s="170">
        <v>0</v>
      </c>
      <c r="H21" s="169">
        <v>0</v>
      </c>
      <c r="I21" s="169">
        <v>40971757</v>
      </c>
      <c r="J21" s="19">
        <f t="shared" si="0"/>
        <v>0</v>
      </c>
    </row>
    <row r="22" spans="1:12" s="172" customFormat="1" ht="60" hidden="1" x14ac:dyDescent="0.25">
      <c r="A22" s="167">
        <v>89</v>
      </c>
      <c r="B22" s="168" t="s">
        <v>307</v>
      </c>
      <c r="C22" s="168" t="s">
        <v>309</v>
      </c>
      <c r="D22" s="168" t="s">
        <v>282</v>
      </c>
      <c r="E22" s="169">
        <v>0</v>
      </c>
      <c r="F22" s="169">
        <v>0</v>
      </c>
      <c r="G22" s="170">
        <v>0</v>
      </c>
      <c r="H22" s="169">
        <v>0</v>
      </c>
      <c r="I22" s="169">
        <v>0</v>
      </c>
      <c r="J22" s="19" t="e">
        <f t="shared" si="0"/>
        <v>#DIV/0!</v>
      </c>
    </row>
    <row r="23" spans="1:12" s="172" customFormat="1" ht="90" hidden="1" x14ac:dyDescent="0.25">
      <c r="A23" s="167">
        <v>90</v>
      </c>
      <c r="B23" s="168" t="s">
        <v>310</v>
      </c>
      <c r="C23" s="168" t="s">
        <v>311</v>
      </c>
      <c r="D23" s="168" t="s">
        <v>312</v>
      </c>
      <c r="E23" s="169">
        <v>0</v>
      </c>
      <c r="F23" s="169">
        <v>0</v>
      </c>
      <c r="G23" s="170">
        <v>0</v>
      </c>
      <c r="H23" s="169">
        <v>0</v>
      </c>
      <c r="I23" s="169">
        <v>0</v>
      </c>
      <c r="J23" s="19" t="e">
        <f t="shared" si="0"/>
        <v>#DIV/0!</v>
      </c>
    </row>
    <row r="24" spans="1:12" s="172" customFormat="1" ht="90" x14ac:dyDescent="0.25">
      <c r="A24" s="167">
        <v>90</v>
      </c>
      <c r="B24" s="168" t="s">
        <v>310</v>
      </c>
      <c r="C24" s="168" t="s">
        <v>313</v>
      </c>
      <c r="D24" s="168" t="s">
        <v>314</v>
      </c>
      <c r="E24" s="169">
        <v>106758463</v>
      </c>
      <c r="F24" s="169">
        <v>106758463</v>
      </c>
      <c r="G24" s="170">
        <v>0</v>
      </c>
      <c r="H24" s="169">
        <v>0</v>
      </c>
      <c r="I24" s="169">
        <v>0</v>
      </c>
      <c r="J24" s="19">
        <f t="shared" si="0"/>
        <v>0</v>
      </c>
    </row>
    <row r="25" spans="1:12" s="180" customFormat="1" ht="26.25" customHeight="1" x14ac:dyDescent="0.25">
      <c r="A25" s="175"/>
      <c r="B25" s="176"/>
      <c r="C25" s="176"/>
      <c r="D25" s="177" t="s">
        <v>28</v>
      </c>
      <c r="E25" s="178">
        <f>SUM(E3:E24)</f>
        <v>8904787255</v>
      </c>
      <c r="F25" s="178">
        <f>SUM(F3:F24)</f>
        <v>916753530</v>
      </c>
      <c r="G25" s="178">
        <f>SUM(G3:G24)</f>
        <v>643847958.29999995</v>
      </c>
      <c r="H25" s="178">
        <f>SUM(H3:H24)</f>
        <v>105522666</v>
      </c>
      <c r="I25" s="178">
        <f>SUM(I3:I24)</f>
        <v>7988033725</v>
      </c>
      <c r="J25" s="179">
        <f t="shared" si="0"/>
        <v>7.2303575578235417</v>
      </c>
    </row>
    <row r="26" spans="1:12" s="180" customFormat="1" x14ac:dyDescent="0.25">
      <c r="A26" s="181"/>
      <c r="B26" s="182"/>
      <c r="C26" s="182"/>
      <c r="D26" s="182" t="s">
        <v>315</v>
      </c>
      <c r="E26" s="181">
        <v>100</v>
      </c>
      <c r="F26" s="183">
        <f>+F25/E25*100</f>
        <v>10.295063809472223</v>
      </c>
      <c r="G26" s="183">
        <f>+G25/E25*100</f>
        <v>7.2303575578235417</v>
      </c>
      <c r="H26" s="183">
        <f>+H25/E25*100</f>
        <v>1.1850105227471828</v>
      </c>
      <c r="I26" s="183">
        <f>+I25/E25*100</f>
        <v>89.704936190527775</v>
      </c>
      <c r="J26" s="179">
        <f t="shared" si="0"/>
        <v>7.2303575578235417</v>
      </c>
    </row>
    <row r="27" spans="1:12" s="180" customFormat="1" x14ac:dyDescent="0.25">
      <c r="A27" s="184"/>
      <c r="J27" s="185"/>
    </row>
  </sheetData>
  <sheetProtection algorithmName="SHA-512" hashValue="Es95B19bYPzlaKbBmmq+2rO+LNk8SUFAIriK+hRQAhGgTHWMwSv3ayMB+gNlPgYkcvXObhj20fiZAp8zZ5Wy8w==" saltValue="oYRMGErsnuLqt2OoWb9ZWg==" spinCount="100000" sheet="1" objects="1" scenarios="1"/>
  <mergeCells count="1">
    <mergeCell ref="A1:J1"/>
  </mergeCells>
  <pageMargins left="0.7" right="0.7" top="0.75" bottom="0.75" header="0.3" footer="0.3"/>
  <pageSetup scale="44" orientation="portrait"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topLeftCell="A10" zoomScale="60" zoomScaleNormal="60" workbookViewId="0">
      <selection activeCell="D27" sqref="D27"/>
    </sheetView>
  </sheetViews>
  <sheetFormatPr baseColWidth="10" defaultRowHeight="15" x14ac:dyDescent="0.25"/>
  <cols>
    <col min="2" max="2" width="21.5703125" style="4" customWidth="1"/>
    <col min="3" max="3" width="19.85546875" customWidth="1"/>
    <col min="4" max="4" width="26.140625" customWidth="1"/>
    <col min="5" max="5" width="15.7109375" customWidth="1"/>
    <col min="6" max="6" width="42.42578125" customWidth="1"/>
    <col min="7" max="7" width="17.42578125" customWidth="1"/>
    <col min="8" max="8" width="18.42578125" hidden="1" customWidth="1"/>
    <col min="9" max="9" width="29.5703125" hidden="1" customWidth="1"/>
    <col min="10" max="10" width="27.42578125" style="5" customWidth="1"/>
    <col min="11" max="11" width="27.140625" style="5" customWidth="1"/>
    <col min="12" max="12" width="24.85546875" style="5" customWidth="1"/>
    <col min="13" max="13" width="41.42578125" customWidth="1"/>
  </cols>
  <sheetData>
    <row r="1" spans="2:13" s="2" customFormat="1" ht="18.75" x14ac:dyDescent="0.3">
      <c r="B1" s="1"/>
      <c r="J1" s="3"/>
      <c r="K1" s="3"/>
      <c r="L1" s="3"/>
    </row>
    <row r="2" spans="2:13" s="2" customFormat="1" ht="18.75" x14ac:dyDescent="0.3">
      <c r="B2" s="236" t="s">
        <v>0</v>
      </c>
      <c r="C2" s="236"/>
      <c r="D2" s="236"/>
      <c r="E2" s="236"/>
      <c r="F2" s="236"/>
      <c r="G2" s="236"/>
      <c r="H2" s="236"/>
      <c r="I2" s="236"/>
      <c r="J2" s="236"/>
      <c r="K2" s="236"/>
      <c r="L2" s="236"/>
      <c r="M2" s="236"/>
    </row>
    <row r="3" spans="2:13" s="2" customFormat="1" ht="18.75" x14ac:dyDescent="0.3">
      <c r="B3" s="236" t="s">
        <v>107</v>
      </c>
      <c r="C3" s="236"/>
      <c r="D3" s="236"/>
      <c r="E3" s="236"/>
      <c r="F3" s="236"/>
      <c r="G3" s="236"/>
      <c r="H3" s="236"/>
      <c r="I3" s="236"/>
      <c r="J3" s="236"/>
      <c r="K3" s="236"/>
      <c r="L3" s="236"/>
      <c r="M3" s="236"/>
    </row>
    <row r="4" spans="2:13" s="2" customFormat="1" ht="18.75" x14ac:dyDescent="0.3">
      <c r="B4" s="236" t="s">
        <v>2</v>
      </c>
      <c r="C4" s="236"/>
      <c r="D4" s="236"/>
      <c r="E4" s="236"/>
      <c r="F4" s="236"/>
      <c r="G4" s="236"/>
      <c r="H4" s="236"/>
      <c r="I4" s="236"/>
      <c r="J4" s="236"/>
      <c r="K4" s="236"/>
      <c r="L4" s="236"/>
      <c r="M4" s="236"/>
    </row>
    <row r="6" spans="2:13" ht="72" customHeight="1" x14ac:dyDescent="0.25">
      <c r="B6" s="6" t="s">
        <v>3</v>
      </c>
      <c r="C6" s="7" t="s">
        <v>4</v>
      </c>
      <c r="D6" s="7" t="s">
        <v>5</v>
      </c>
      <c r="E6" s="7" t="s">
        <v>6</v>
      </c>
      <c r="F6" s="7" t="s">
        <v>7</v>
      </c>
      <c r="G6" s="7" t="s">
        <v>8</v>
      </c>
      <c r="H6" s="7" t="s">
        <v>9</v>
      </c>
      <c r="I6" s="7" t="s">
        <v>10</v>
      </c>
      <c r="J6" s="6" t="s">
        <v>11</v>
      </c>
      <c r="K6" s="7" t="s">
        <v>12</v>
      </c>
      <c r="L6" s="7" t="s">
        <v>13</v>
      </c>
      <c r="M6" s="8" t="s">
        <v>14</v>
      </c>
    </row>
    <row r="7" spans="2:13" ht="87" customHeight="1" x14ac:dyDescent="0.25">
      <c r="B7" s="9">
        <v>1</v>
      </c>
      <c r="C7" s="123">
        <v>282</v>
      </c>
      <c r="D7" s="105" t="s">
        <v>188</v>
      </c>
      <c r="E7" s="124" t="s">
        <v>16</v>
      </c>
      <c r="F7" s="125">
        <v>2</v>
      </c>
      <c r="G7" s="126">
        <v>0</v>
      </c>
      <c r="H7" s="37" t="s">
        <v>189</v>
      </c>
      <c r="I7" s="105" t="s">
        <v>190</v>
      </c>
      <c r="J7" s="127">
        <v>60000000</v>
      </c>
      <c r="K7" s="128">
        <v>0</v>
      </c>
      <c r="L7" s="128">
        <v>0</v>
      </c>
      <c r="M7" s="36">
        <f>+G7/F7*100</f>
        <v>0</v>
      </c>
    </row>
    <row r="8" spans="2:13" ht="94.5" customHeight="1" x14ac:dyDescent="0.25">
      <c r="B8" s="9">
        <v>2</v>
      </c>
      <c r="C8" s="10">
        <v>283</v>
      </c>
      <c r="D8" s="41" t="s">
        <v>191</v>
      </c>
      <c r="E8" s="12" t="s">
        <v>16</v>
      </c>
      <c r="F8" s="70">
        <v>1</v>
      </c>
      <c r="G8" s="14" t="s">
        <v>192</v>
      </c>
      <c r="H8" s="15" t="s">
        <v>193</v>
      </c>
      <c r="I8" s="41" t="s">
        <v>194</v>
      </c>
      <c r="J8" s="129">
        <v>128268225</v>
      </c>
      <c r="K8" s="128">
        <v>0</v>
      </c>
      <c r="L8" s="130">
        <v>0</v>
      </c>
      <c r="M8" s="36" t="e">
        <f t="shared" ref="M8:M11" si="0">+G8/F8*100</f>
        <v>#VALUE!</v>
      </c>
    </row>
    <row r="9" spans="2:13" ht="124.5" customHeight="1" x14ac:dyDescent="0.25">
      <c r="B9" s="9">
        <v>3</v>
      </c>
      <c r="C9" s="131">
        <v>284</v>
      </c>
      <c r="D9" s="132" t="s">
        <v>195</v>
      </c>
      <c r="E9" s="133">
        <v>1</v>
      </c>
      <c r="F9" s="134">
        <v>1</v>
      </c>
      <c r="G9" s="135">
        <v>0.24868142577450059</v>
      </c>
      <c r="H9" s="15" t="s">
        <v>196</v>
      </c>
      <c r="I9" s="41" t="s">
        <v>197</v>
      </c>
      <c r="J9" s="129">
        <v>102471099</v>
      </c>
      <c r="K9" s="128">
        <v>42471099</v>
      </c>
      <c r="L9" s="130">
        <v>25482659</v>
      </c>
      <c r="M9" s="36">
        <f t="shared" si="0"/>
        <v>24.868142577450058</v>
      </c>
    </row>
    <row r="10" spans="2:13" ht="102" customHeight="1" x14ac:dyDescent="0.25">
      <c r="B10" s="9">
        <v>4</v>
      </c>
      <c r="C10" s="10">
        <v>285</v>
      </c>
      <c r="D10" s="41" t="s">
        <v>198</v>
      </c>
      <c r="E10" s="12">
        <v>1</v>
      </c>
      <c r="F10" s="70">
        <v>1</v>
      </c>
      <c r="G10" s="136">
        <v>0.80424851756071913</v>
      </c>
      <c r="H10" s="15" t="s">
        <v>199</v>
      </c>
      <c r="I10" s="41" t="s">
        <v>200</v>
      </c>
      <c r="J10" s="129">
        <v>120637656</v>
      </c>
      <c r="K10" s="128">
        <v>113137656</v>
      </c>
      <c r="L10" s="130">
        <v>97022656</v>
      </c>
      <c r="M10" s="95">
        <f t="shared" si="0"/>
        <v>80.424851756071916</v>
      </c>
    </row>
    <row r="11" spans="2:13" ht="113.25" customHeight="1" x14ac:dyDescent="0.25">
      <c r="B11" s="9">
        <v>5</v>
      </c>
      <c r="C11" s="131">
        <v>287</v>
      </c>
      <c r="D11" s="132" t="s">
        <v>201</v>
      </c>
      <c r="E11" s="133">
        <v>1</v>
      </c>
      <c r="F11" s="134">
        <v>1</v>
      </c>
      <c r="G11" s="137">
        <v>0</v>
      </c>
      <c r="H11" s="138" t="s">
        <v>202</v>
      </c>
      <c r="I11" s="139" t="s">
        <v>203</v>
      </c>
      <c r="J11" s="140">
        <v>131500000</v>
      </c>
      <c r="K11" s="141">
        <v>10500000</v>
      </c>
      <c r="L11" s="142">
        <v>0</v>
      </c>
      <c r="M11" s="36">
        <f t="shared" si="0"/>
        <v>0</v>
      </c>
    </row>
    <row r="12" spans="2:13" ht="42" customHeight="1" x14ac:dyDescent="0.25">
      <c r="B12" s="143"/>
      <c r="C12" s="24"/>
      <c r="D12" s="24" t="s">
        <v>28</v>
      </c>
      <c r="E12" s="24"/>
      <c r="F12" s="24"/>
      <c r="G12" s="24"/>
      <c r="H12" s="24"/>
      <c r="I12" s="24"/>
      <c r="J12" s="144">
        <f>SUM(J7:J11)</f>
        <v>542876980</v>
      </c>
      <c r="K12" s="144">
        <f t="shared" ref="K12:L12" si="1">SUM(K7:K11)</f>
        <v>166108755</v>
      </c>
      <c r="L12" s="144">
        <f t="shared" si="1"/>
        <v>122505315</v>
      </c>
      <c r="M12" s="9"/>
    </row>
    <row r="18" spans="6:10" ht="45" x14ac:dyDescent="0.25">
      <c r="F18" s="20" t="s">
        <v>22</v>
      </c>
      <c r="G18" s="21" t="s">
        <v>23</v>
      </c>
      <c r="H18" s="22" t="s">
        <v>24</v>
      </c>
      <c r="J18" s="23" t="s">
        <v>24</v>
      </c>
    </row>
    <row r="19" spans="6:10" x14ac:dyDescent="0.25">
      <c r="F19" s="24" t="s">
        <v>25</v>
      </c>
      <c r="G19" s="9">
        <v>1</v>
      </c>
      <c r="H19" s="9"/>
      <c r="J19" s="25">
        <f>+G19/$G$22*100</f>
        <v>20</v>
      </c>
    </row>
    <row r="20" spans="6:10" x14ac:dyDescent="0.25">
      <c r="F20" s="24" t="s">
        <v>26</v>
      </c>
      <c r="G20" s="9">
        <v>0</v>
      </c>
      <c r="H20" s="78"/>
      <c r="J20" s="25">
        <f t="shared" ref="J20:J22" si="2">+G20/$G$22*100</f>
        <v>0</v>
      </c>
    </row>
    <row r="21" spans="6:10" x14ac:dyDescent="0.25">
      <c r="F21" s="24" t="s">
        <v>27</v>
      </c>
      <c r="G21" s="9">
        <v>4</v>
      </c>
      <c r="H21" s="78"/>
      <c r="J21" s="25">
        <f t="shared" si="2"/>
        <v>80</v>
      </c>
    </row>
    <row r="22" spans="6:10" x14ac:dyDescent="0.25">
      <c r="F22" s="79" t="s">
        <v>28</v>
      </c>
      <c r="G22" s="51">
        <f>SUM(G19:G21)</f>
        <v>5</v>
      </c>
      <c r="H22" s="51"/>
      <c r="J22" s="25">
        <f t="shared" si="2"/>
        <v>100</v>
      </c>
    </row>
    <row r="23" spans="6:10" x14ac:dyDescent="0.25">
      <c r="G23" s="54"/>
    </row>
  </sheetData>
  <sheetProtection algorithmName="SHA-512" hashValue="ayxCkGg2uyp7Zvcmj1T6wFuPA7u3CmI4Nryy2CV6tkF2ZwhBN5hCiibr/woOceNsTuds5HL9mDxNEGPKpETFNg==" saltValue="sOwx0uoHP9THnaWZVntnpg==" spinCount="100000" sheet="1" objects="1" scenarios="1"/>
  <mergeCells count="3">
    <mergeCell ref="B2:M2"/>
    <mergeCell ref="B3:M3"/>
    <mergeCell ref="B4:M4"/>
  </mergeCells>
  <pageMargins left="0.7" right="0.7" top="0.75" bottom="0.75" header="0.3" footer="0.3"/>
  <pageSetup scale="4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6"/>
  <sheetViews>
    <sheetView topLeftCell="C1" zoomScale="80" zoomScaleNormal="80" workbookViewId="0">
      <selection activeCell="F23" sqref="F23"/>
    </sheetView>
  </sheetViews>
  <sheetFormatPr baseColWidth="10" defaultRowHeight="15" x14ac:dyDescent="0.25"/>
  <cols>
    <col min="3" max="3" width="16.42578125" customWidth="1"/>
    <col min="4" max="4" width="16.28515625" customWidth="1"/>
    <col min="5" max="5" width="27.85546875" customWidth="1"/>
    <col min="8" max="8" width="19.28515625" customWidth="1"/>
    <col min="9" max="9" width="22.7109375" customWidth="1"/>
    <col min="10" max="10" width="21.42578125" customWidth="1"/>
    <col min="11" max="11" width="14.85546875" customWidth="1"/>
    <col min="12" max="12" width="19.140625" customWidth="1"/>
    <col min="13" max="13" width="16.42578125" customWidth="1"/>
    <col min="14" max="14" width="23.140625" customWidth="1"/>
  </cols>
  <sheetData>
    <row r="1" spans="3:14" ht="18.75" x14ac:dyDescent="0.3">
      <c r="C1" s="1"/>
      <c r="D1" s="2"/>
      <c r="E1" s="2"/>
      <c r="F1" s="2"/>
      <c r="G1" s="2"/>
      <c r="H1" s="2"/>
      <c r="I1" s="2"/>
      <c r="J1" s="2"/>
      <c r="K1" s="3"/>
      <c r="L1" s="3"/>
      <c r="M1" s="3"/>
      <c r="N1" s="2"/>
    </row>
    <row r="2" spans="3:14" ht="18.75" x14ac:dyDescent="0.3">
      <c r="C2" s="236" t="s">
        <v>0</v>
      </c>
      <c r="D2" s="236"/>
      <c r="E2" s="236"/>
      <c r="F2" s="236"/>
      <c r="G2" s="236"/>
      <c r="H2" s="236"/>
      <c r="I2" s="236"/>
      <c r="J2" s="236"/>
      <c r="K2" s="236"/>
      <c r="L2" s="236"/>
      <c r="M2" s="236"/>
      <c r="N2" s="236"/>
    </row>
    <row r="3" spans="3:14" ht="18.75" x14ac:dyDescent="0.3">
      <c r="C3" s="236" t="s">
        <v>107</v>
      </c>
      <c r="D3" s="236"/>
      <c r="E3" s="236"/>
      <c r="F3" s="236"/>
      <c r="G3" s="236"/>
      <c r="H3" s="236"/>
      <c r="I3" s="236"/>
      <c r="J3" s="236"/>
      <c r="K3" s="236"/>
      <c r="L3" s="236"/>
      <c r="M3" s="236"/>
      <c r="N3" s="236"/>
    </row>
    <row r="4" spans="3:14" ht="18.75" x14ac:dyDescent="0.3">
      <c r="C4" s="236" t="s">
        <v>2</v>
      </c>
      <c r="D4" s="236"/>
      <c r="E4" s="236"/>
      <c r="F4" s="236"/>
      <c r="G4" s="236"/>
      <c r="H4" s="236"/>
      <c r="I4" s="236"/>
      <c r="J4" s="236"/>
      <c r="K4" s="236"/>
      <c r="L4" s="236"/>
      <c r="M4" s="236"/>
      <c r="N4" s="236"/>
    </row>
    <row r="5" spans="3:14" x14ac:dyDescent="0.25">
      <c r="C5" s="4"/>
      <c r="K5" s="5"/>
      <c r="L5" s="5"/>
      <c r="M5" s="5"/>
    </row>
    <row r="6" spans="3:14" ht="75" x14ac:dyDescent="0.25">
      <c r="C6" s="6" t="s">
        <v>3</v>
      </c>
      <c r="D6" s="7" t="s">
        <v>4</v>
      </c>
      <c r="E6" s="7" t="s">
        <v>5</v>
      </c>
      <c r="F6" s="7" t="s">
        <v>6</v>
      </c>
      <c r="G6" s="7" t="s">
        <v>7</v>
      </c>
      <c r="H6" s="7" t="s">
        <v>8</v>
      </c>
      <c r="I6" s="7" t="s">
        <v>9</v>
      </c>
      <c r="J6" s="7" t="s">
        <v>10</v>
      </c>
      <c r="K6" s="6" t="s">
        <v>11</v>
      </c>
      <c r="L6" s="7" t="s">
        <v>12</v>
      </c>
      <c r="M6" s="7" t="s">
        <v>13</v>
      </c>
      <c r="N6" s="8" t="s">
        <v>14</v>
      </c>
    </row>
  </sheetData>
  <mergeCells count="3">
    <mergeCell ref="C2:N2"/>
    <mergeCell ref="C3:N3"/>
    <mergeCell ref="C4:N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8"/>
  <sheetViews>
    <sheetView zoomScale="60" zoomScaleNormal="60" workbookViewId="0">
      <selection activeCell="N28" sqref="N28"/>
    </sheetView>
  </sheetViews>
  <sheetFormatPr baseColWidth="10" defaultRowHeight="15" x14ac:dyDescent="0.25"/>
  <cols>
    <col min="2" max="2" width="11.42578125" style="54"/>
    <col min="3" max="3" width="23.140625" customWidth="1"/>
    <col min="4" max="4" width="32.140625" customWidth="1"/>
    <col min="5" max="5" width="22" customWidth="1"/>
    <col min="6" max="6" width="22.42578125" customWidth="1"/>
    <col min="7" max="7" width="19.5703125" customWidth="1"/>
    <col min="8" max="8" width="17.85546875" hidden="1" customWidth="1"/>
    <col min="9" max="9" width="17.42578125" hidden="1" customWidth="1"/>
    <col min="10" max="10" width="31.42578125" hidden="1" customWidth="1"/>
    <col min="11" max="11" width="24.28515625" style="80" customWidth="1"/>
    <col min="12" max="12" width="23.28515625" style="80" customWidth="1"/>
    <col min="13" max="13" width="27.140625" style="80" customWidth="1"/>
    <col min="14" max="14" width="33.5703125" customWidth="1"/>
  </cols>
  <sheetData>
    <row r="2" spans="2:14" x14ac:dyDescent="0.25">
      <c r="B2" s="247" t="s">
        <v>52</v>
      </c>
      <c r="C2" s="247"/>
      <c r="D2" s="247"/>
      <c r="E2" s="247"/>
      <c r="F2" s="247"/>
      <c r="G2" s="247"/>
      <c r="H2" s="247"/>
      <c r="I2" s="247"/>
      <c r="J2" s="247"/>
      <c r="K2" s="247"/>
      <c r="L2" s="247"/>
      <c r="M2" s="247"/>
      <c r="N2" s="247"/>
    </row>
    <row r="3" spans="2:14" x14ac:dyDescent="0.25">
      <c r="B3" s="247" t="s">
        <v>53</v>
      </c>
      <c r="C3" s="247"/>
      <c r="D3" s="247"/>
      <c r="E3" s="247"/>
      <c r="F3" s="247"/>
      <c r="G3" s="247"/>
      <c r="H3" s="247"/>
      <c r="I3" s="247"/>
      <c r="J3" s="247"/>
      <c r="K3" s="247"/>
      <c r="L3" s="247"/>
      <c r="M3" s="247"/>
      <c r="N3" s="247"/>
    </row>
    <row r="4" spans="2:14" x14ac:dyDescent="0.25">
      <c r="B4" s="247" t="s">
        <v>54</v>
      </c>
      <c r="C4" s="247"/>
      <c r="D4" s="247"/>
      <c r="E4" s="247"/>
      <c r="F4" s="247"/>
      <c r="G4" s="247"/>
      <c r="H4" s="247"/>
      <c r="I4" s="247"/>
      <c r="J4" s="247"/>
      <c r="K4" s="247"/>
      <c r="L4" s="247"/>
      <c r="M4" s="247"/>
      <c r="N4" s="247"/>
    </row>
    <row r="5" spans="2:14" x14ac:dyDescent="0.25">
      <c r="B5" s="248"/>
      <c r="C5" s="248"/>
      <c r="D5" s="248"/>
      <c r="E5" s="248"/>
      <c r="F5" s="248"/>
      <c r="G5" s="248"/>
      <c r="H5" s="248"/>
      <c r="I5" s="248"/>
      <c r="J5" s="248"/>
      <c r="K5" s="248"/>
      <c r="L5" s="248"/>
      <c r="M5" s="248"/>
      <c r="N5" s="248"/>
    </row>
    <row r="7" spans="2:14" ht="93" customHeight="1" x14ac:dyDescent="0.25">
      <c r="B7" s="55" t="s">
        <v>55</v>
      </c>
      <c r="C7" s="56" t="s">
        <v>56</v>
      </c>
      <c r="D7" s="57" t="s">
        <v>57</v>
      </c>
      <c r="E7" s="56" t="s">
        <v>6</v>
      </c>
      <c r="F7" s="56" t="s">
        <v>58</v>
      </c>
      <c r="G7" s="56" t="s">
        <v>8</v>
      </c>
      <c r="H7" s="57"/>
      <c r="I7" s="57"/>
      <c r="J7" s="57"/>
      <c r="K7" s="56" t="s">
        <v>59</v>
      </c>
      <c r="L7" s="58" t="s">
        <v>60</v>
      </c>
      <c r="M7" s="58" t="s">
        <v>61</v>
      </c>
      <c r="N7" s="59" t="s">
        <v>14</v>
      </c>
    </row>
    <row r="8" spans="2:14" ht="99.75" x14ac:dyDescent="0.25">
      <c r="B8" s="9">
        <v>1</v>
      </c>
      <c r="C8" s="10">
        <v>246</v>
      </c>
      <c r="D8" s="41" t="s">
        <v>62</v>
      </c>
      <c r="E8" s="12" t="s">
        <v>16</v>
      </c>
      <c r="F8" s="12">
        <v>13</v>
      </c>
      <c r="G8" s="60">
        <v>0</v>
      </c>
      <c r="H8" s="61"/>
      <c r="I8" s="15" t="s">
        <v>63</v>
      </c>
      <c r="J8" s="41" t="s">
        <v>64</v>
      </c>
      <c r="K8" s="62">
        <v>30000000</v>
      </c>
      <c r="L8" s="62">
        <v>20000000</v>
      </c>
      <c r="M8" s="62">
        <v>5000000</v>
      </c>
      <c r="N8" s="36">
        <f>+G8/F8*100</f>
        <v>0</v>
      </c>
    </row>
    <row r="9" spans="2:14" ht="71.25" x14ac:dyDescent="0.25">
      <c r="B9" s="9">
        <v>2</v>
      </c>
      <c r="C9" s="10">
        <v>248</v>
      </c>
      <c r="D9" s="63" t="s">
        <v>65</v>
      </c>
      <c r="E9" s="12" t="s">
        <v>16</v>
      </c>
      <c r="F9" s="12">
        <v>12</v>
      </c>
      <c r="G9" s="64"/>
      <c r="H9" s="61"/>
      <c r="I9" s="15" t="s">
        <v>66</v>
      </c>
      <c r="J9" s="41" t="s">
        <v>67</v>
      </c>
      <c r="K9" s="62">
        <v>25000000</v>
      </c>
      <c r="L9" s="62">
        <v>0</v>
      </c>
      <c r="M9" s="62">
        <v>0</v>
      </c>
      <c r="N9" s="36">
        <f t="shared" ref="N9:N29" si="0">+G9/F9*100</f>
        <v>0</v>
      </c>
    </row>
    <row r="10" spans="2:14" ht="57" x14ac:dyDescent="0.25">
      <c r="B10" s="9">
        <v>3</v>
      </c>
      <c r="C10" s="10">
        <v>249</v>
      </c>
      <c r="D10" s="41" t="s">
        <v>68</v>
      </c>
      <c r="E10" s="12">
        <v>1</v>
      </c>
      <c r="F10" s="12">
        <v>1</v>
      </c>
      <c r="G10" s="65">
        <v>3.0209364999999998E-2</v>
      </c>
      <c r="H10" s="61" t="s">
        <v>69</v>
      </c>
      <c r="I10" s="15" t="s">
        <v>70</v>
      </c>
      <c r="J10" s="41" t="s">
        <v>71</v>
      </c>
      <c r="K10" s="62">
        <v>200000000</v>
      </c>
      <c r="L10" s="62">
        <v>147939435</v>
      </c>
      <c r="M10" s="62">
        <v>6041873</v>
      </c>
      <c r="N10" s="36">
        <f t="shared" si="0"/>
        <v>3.0209364999999999</v>
      </c>
    </row>
    <row r="11" spans="2:14" ht="54" customHeight="1" x14ac:dyDescent="0.25">
      <c r="B11" s="9">
        <v>4</v>
      </c>
      <c r="C11" s="10">
        <v>256</v>
      </c>
      <c r="D11" s="11" t="s">
        <v>72</v>
      </c>
      <c r="E11" s="12">
        <v>1</v>
      </c>
      <c r="F11" s="12">
        <v>1</v>
      </c>
      <c r="G11" s="65">
        <v>0.65343067921648434</v>
      </c>
      <c r="H11" s="61" t="s">
        <v>73</v>
      </c>
      <c r="I11" s="15" t="s">
        <v>74</v>
      </c>
      <c r="J11" s="41" t="s">
        <v>75</v>
      </c>
      <c r="K11" s="66">
        <v>196550000</v>
      </c>
      <c r="L11" s="66">
        <v>165231800</v>
      </c>
      <c r="M11" s="66">
        <v>128431800</v>
      </c>
      <c r="N11" s="67">
        <f t="shared" si="0"/>
        <v>65.343067921648441</v>
      </c>
    </row>
    <row r="12" spans="2:14" ht="56.25" customHeight="1" x14ac:dyDescent="0.25">
      <c r="B12" s="9">
        <v>5</v>
      </c>
      <c r="C12" s="10">
        <v>257</v>
      </c>
      <c r="D12" s="41" t="s">
        <v>76</v>
      </c>
      <c r="E12" s="68">
        <v>0</v>
      </c>
      <c r="F12" s="68">
        <v>1</v>
      </c>
      <c r="G12" s="69"/>
      <c r="H12" s="255"/>
      <c r="I12" s="252" t="s">
        <v>77</v>
      </c>
      <c r="J12" s="256" t="s">
        <v>78</v>
      </c>
      <c r="K12" s="66">
        <v>35700000</v>
      </c>
      <c r="L12" s="66">
        <v>22800000</v>
      </c>
      <c r="M12" s="66">
        <v>0</v>
      </c>
      <c r="N12" s="36">
        <f t="shared" si="0"/>
        <v>0</v>
      </c>
    </row>
    <row r="13" spans="2:14" ht="1.5" customHeight="1" x14ac:dyDescent="0.25">
      <c r="B13" s="9">
        <v>6</v>
      </c>
      <c r="C13" s="10">
        <v>258</v>
      </c>
      <c r="D13" s="41" t="s">
        <v>79</v>
      </c>
      <c r="E13" s="68">
        <v>0</v>
      </c>
      <c r="F13" s="68">
        <v>0</v>
      </c>
      <c r="G13" s="69"/>
      <c r="H13" s="255"/>
      <c r="I13" s="252"/>
      <c r="J13" s="256"/>
      <c r="K13" s="66">
        <v>0</v>
      </c>
      <c r="L13" s="66">
        <v>0</v>
      </c>
      <c r="M13" s="66">
        <v>0</v>
      </c>
      <c r="N13" s="36">
        <v>0</v>
      </c>
    </row>
    <row r="14" spans="2:14" ht="57" x14ac:dyDescent="0.25">
      <c r="B14" s="9">
        <v>7</v>
      </c>
      <c r="C14" s="10">
        <v>259</v>
      </c>
      <c r="D14" s="41" t="s">
        <v>80</v>
      </c>
      <c r="E14" s="70">
        <v>1</v>
      </c>
      <c r="F14" s="70">
        <v>1</v>
      </c>
      <c r="G14" s="71"/>
      <c r="H14" s="255"/>
      <c r="I14" s="252"/>
      <c r="J14" s="256"/>
      <c r="K14" s="66">
        <v>9000000</v>
      </c>
      <c r="L14" s="66">
        <v>9000000</v>
      </c>
      <c r="M14" s="66">
        <v>0</v>
      </c>
      <c r="N14" s="36">
        <f t="shared" si="0"/>
        <v>0</v>
      </c>
    </row>
    <row r="15" spans="2:14" ht="59.25" customHeight="1" x14ac:dyDescent="0.25">
      <c r="B15" s="9">
        <v>8</v>
      </c>
      <c r="C15" s="10">
        <v>263</v>
      </c>
      <c r="D15" s="41" t="s">
        <v>81</v>
      </c>
      <c r="E15" s="70">
        <v>1</v>
      </c>
      <c r="F15" s="70">
        <v>1</v>
      </c>
      <c r="G15" s="71">
        <v>2.6711185308848081E-2</v>
      </c>
      <c r="H15" s="255"/>
      <c r="I15" s="252"/>
      <c r="J15" s="256"/>
      <c r="K15" s="66">
        <v>59900000</v>
      </c>
      <c r="L15" s="66">
        <v>6400000</v>
      </c>
      <c r="M15" s="66">
        <v>1600000</v>
      </c>
      <c r="N15" s="36">
        <f t="shared" si="0"/>
        <v>2.671118530884808</v>
      </c>
    </row>
    <row r="16" spans="2:14" ht="57" x14ac:dyDescent="0.25">
      <c r="B16" s="9">
        <v>9</v>
      </c>
      <c r="C16" s="10">
        <v>261</v>
      </c>
      <c r="D16" s="41" t="s">
        <v>82</v>
      </c>
      <c r="E16" s="70">
        <v>1</v>
      </c>
      <c r="F16" s="70">
        <v>2</v>
      </c>
      <c r="G16" s="71"/>
      <c r="H16" s="255"/>
      <c r="I16" s="252"/>
      <c r="J16" s="256"/>
      <c r="K16" s="66">
        <v>27200000</v>
      </c>
      <c r="L16" s="66">
        <v>20000000</v>
      </c>
      <c r="M16" s="66">
        <v>0</v>
      </c>
      <c r="N16" s="36">
        <f t="shared" si="0"/>
        <v>0</v>
      </c>
    </row>
    <row r="17" spans="2:17" ht="85.5" x14ac:dyDescent="0.25">
      <c r="B17" s="9">
        <v>10</v>
      </c>
      <c r="C17" s="10">
        <v>262</v>
      </c>
      <c r="D17" s="11" t="s">
        <v>83</v>
      </c>
      <c r="E17" s="12">
        <v>1</v>
      </c>
      <c r="F17" s="12">
        <v>1</v>
      </c>
      <c r="G17" s="65"/>
      <c r="H17" s="61"/>
      <c r="I17" s="15" t="s">
        <v>84</v>
      </c>
      <c r="J17" s="41" t="s">
        <v>85</v>
      </c>
      <c r="K17" s="66">
        <v>100000000</v>
      </c>
      <c r="L17" s="66">
        <v>0</v>
      </c>
      <c r="M17" s="66">
        <v>0</v>
      </c>
      <c r="N17" s="36">
        <f t="shared" si="0"/>
        <v>0</v>
      </c>
    </row>
    <row r="18" spans="2:17" ht="85.5" x14ac:dyDescent="0.25">
      <c r="B18" s="9">
        <v>11</v>
      </c>
      <c r="C18" s="10">
        <v>264</v>
      </c>
      <c r="D18" s="11" t="s">
        <v>86</v>
      </c>
      <c r="E18" s="12">
        <v>0</v>
      </c>
      <c r="F18" s="12">
        <v>1</v>
      </c>
      <c r="G18" s="65"/>
      <c r="H18" s="61"/>
      <c r="I18" s="15" t="s">
        <v>87</v>
      </c>
      <c r="J18" s="41" t="s">
        <v>88</v>
      </c>
      <c r="K18" s="66">
        <v>100000000</v>
      </c>
      <c r="L18" s="66">
        <v>22800000</v>
      </c>
      <c r="M18" s="66">
        <v>0</v>
      </c>
      <c r="N18" s="36">
        <f t="shared" si="0"/>
        <v>0</v>
      </c>
    </row>
    <row r="19" spans="2:17" ht="71.25" x14ac:dyDescent="0.25">
      <c r="B19" s="9">
        <v>12</v>
      </c>
      <c r="C19" s="10">
        <v>265</v>
      </c>
      <c r="D19" s="11" t="s">
        <v>89</v>
      </c>
      <c r="E19" s="72">
        <v>0</v>
      </c>
      <c r="F19" s="72">
        <v>1</v>
      </c>
      <c r="G19" s="73">
        <v>0.22954194544518786</v>
      </c>
      <c r="H19" s="61" t="s">
        <v>90</v>
      </c>
      <c r="I19" s="15" t="s">
        <v>91</v>
      </c>
      <c r="J19" s="41" t="s">
        <v>92</v>
      </c>
      <c r="K19" s="66">
        <v>291450000</v>
      </c>
      <c r="L19" s="66">
        <v>129999999</v>
      </c>
      <c r="M19" s="66">
        <v>66900000</v>
      </c>
      <c r="N19" s="36">
        <f t="shared" si="0"/>
        <v>22.954194544518785</v>
      </c>
      <c r="Q19" t="s">
        <v>36</v>
      </c>
    </row>
    <row r="20" spans="2:17" ht="57" x14ac:dyDescent="0.25">
      <c r="B20" s="9">
        <v>13</v>
      </c>
      <c r="C20" s="10">
        <v>266</v>
      </c>
      <c r="D20" s="11" t="s">
        <v>93</v>
      </c>
      <c r="E20" s="12">
        <v>1</v>
      </c>
      <c r="F20" s="12">
        <v>1</v>
      </c>
      <c r="G20" s="65">
        <v>0.17499999999999999</v>
      </c>
      <c r="H20" s="61"/>
      <c r="I20" s="15" t="s">
        <v>94</v>
      </c>
      <c r="J20" s="41" t="s">
        <v>95</v>
      </c>
      <c r="K20" s="66">
        <v>16000000</v>
      </c>
      <c r="L20" s="66">
        <v>11200000</v>
      </c>
      <c r="M20" s="66">
        <v>2800000</v>
      </c>
      <c r="N20" s="36">
        <f t="shared" si="0"/>
        <v>17.5</v>
      </c>
    </row>
    <row r="21" spans="2:17" ht="77.25" customHeight="1" x14ac:dyDescent="0.25">
      <c r="B21" s="9">
        <v>14</v>
      </c>
      <c r="C21" s="10">
        <v>267</v>
      </c>
      <c r="D21" s="11" t="s">
        <v>96</v>
      </c>
      <c r="E21" s="12">
        <v>1</v>
      </c>
      <c r="F21" s="12">
        <v>1</v>
      </c>
      <c r="G21" s="74">
        <v>0</v>
      </c>
      <c r="H21" s="255"/>
      <c r="I21" s="252" t="s">
        <v>97</v>
      </c>
      <c r="J21" s="253" t="s">
        <v>98</v>
      </c>
      <c r="K21" s="66">
        <v>17500000</v>
      </c>
      <c r="L21" s="66">
        <v>17200000</v>
      </c>
      <c r="M21" s="66">
        <v>0</v>
      </c>
      <c r="N21" s="36">
        <f t="shared" si="0"/>
        <v>0</v>
      </c>
    </row>
    <row r="22" spans="2:17" ht="150" customHeight="1" x14ac:dyDescent="0.25">
      <c r="B22" s="9">
        <v>15</v>
      </c>
      <c r="C22" s="10">
        <v>268</v>
      </c>
      <c r="D22" s="11" t="s">
        <v>99</v>
      </c>
      <c r="E22" s="12">
        <v>12</v>
      </c>
      <c r="F22" s="12">
        <v>12</v>
      </c>
      <c r="G22" s="65"/>
      <c r="H22" s="255"/>
      <c r="I22" s="252"/>
      <c r="J22" s="253"/>
      <c r="K22" s="66">
        <v>18672500</v>
      </c>
      <c r="L22" s="66">
        <v>1687500</v>
      </c>
      <c r="M22" s="66">
        <v>0</v>
      </c>
      <c r="N22" s="36">
        <f t="shared" si="0"/>
        <v>0</v>
      </c>
    </row>
    <row r="23" spans="2:17" ht="99.75" x14ac:dyDescent="0.25">
      <c r="B23" s="9">
        <v>16</v>
      </c>
      <c r="C23" s="10">
        <v>269</v>
      </c>
      <c r="D23" s="11" t="s">
        <v>100</v>
      </c>
      <c r="E23" s="12">
        <v>12</v>
      </c>
      <c r="F23" s="12">
        <v>12</v>
      </c>
      <c r="G23" s="65">
        <v>0</v>
      </c>
      <c r="H23" s="255"/>
      <c r="I23" s="252"/>
      <c r="J23" s="253"/>
      <c r="K23" s="66">
        <v>15172500</v>
      </c>
      <c r="L23" s="66">
        <v>14487500</v>
      </c>
      <c r="M23" s="66">
        <v>3200000</v>
      </c>
      <c r="N23" s="36">
        <f t="shared" si="0"/>
        <v>0</v>
      </c>
    </row>
    <row r="24" spans="2:17" ht="146.25" customHeight="1" x14ac:dyDescent="0.25">
      <c r="B24" s="9">
        <v>17</v>
      </c>
      <c r="C24" s="10">
        <v>270</v>
      </c>
      <c r="D24" s="11" t="s">
        <v>101</v>
      </c>
      <c r="E24" s="12" t="s">
        <v>16</v>
      </c>
      <c r="F24" s="12">
        <v>12</v>
      </c>
      <c r="G24" s="65">
        <v>0</v>
      </c>
      <c r="H24" s="255"/>
      <c r="I24" s="252"/>
      <c r="J24" s="253"/>
      <c r="K24" s="66">
        <v>15172500</v>
      </c>
      <c r="L24" s="66">
        <v>11687500</v>
      </c>
      <c r="M24" s="66">
        <v>2500000</v>
      </c>
      <c r="N24" s="36">
        <f t="shared" si="0"/>
        <v>0</v>
      </c>
    </row>
    <row r="25" spans="2:17" ht="128.25" x14ac:dyDescent="0.25">
      <c r="B25" s="9">
        <v>18</v>
      </c>
      <c r="C25" s="75">
        <v>271</v>
      </c>
      <c r="D25" s="11" t="s">
        <v>102</v>
      </c>
      <c r="E25" s="12">
        <v>12</v>
      </c>
      <c r="F25" s="12">
        <v>12</v>
      </c>
      <c r="G25" s="65">
        <v>0</v>
      </c>
      <c r="H25" s="255"/>
      <c r="I25" s="252"/>
      <c r="J25" s="253"/>
      <c r="K25" s="66">
        <v>28492500</v>
      </c>
      <c r="L25" s="66">
        <v>22087500</v>
      </c>
      <c r="M25" s="66">
        <v>5100000</v>
      </c>
      <c r="N25" s="36">
        <f t="shared" si="0"/>
        <v>0</v>
      </c>
    </row>
    <row r="26" spans="2:17" ht="99.75" x14ac:dyDescent="0.25">
      <c r="B26" s="9">
        <v>19</v>
      </c>
      <c r="C26" s="10">
        <v>272</v>
      </c>
      <c r="D26" s="11" t="s">
        <v>103</v>
      </c>
      <c r="E26" s="12" t="s">
        <v>16</v>
      </c>
      <c r="F26" s="12">
        <v>12</v>
      </c>
      <c r="G26" s="64"/>
      <c r="H26" s="255"/>
      <c r="I26" s="252"/>
      <c r="J26" s="253"/>
      <c r="K26" s="66">
        <v>15172500</v>
      </c>
      <c r="L26" s="66">
        <v>15172500</v>
      </c>
      <c r="M26" s="66">
        <v>0</v>
      </c>
      <c r="N26" s="36">
        <f t="shared" si="0"/>
        <v>0</v>
      </c>
    </row>
    <row r="27" spans="2:17" ht="147.75" customHeight="1" x14ac:dyDescent="0.25">
      <c r="B27" s="9">
        <v>20</v>
      </c>
      <c r="C27" s="10">
        <v>273</v>
      </c>
      <c r="D27" s="11" t="s">
        <v>104</v>
      </c>
      <c r="E27" s="12">
        <v>12</v>
      </c>
      <c r="F27" s="12">
        <v>12</v>
      </c>
      <c r="G27" s="64"/>
      <c r="H27" s="255"/>
      <c r="I27" s="252"/>
      <c r="J27" s="253"/>
      <c r="K27" s="66">
        <v>2672500</v>
      </c>
      <c r="L27" s="66">
        <v>1687500</v>
      </c>
      <c r="M27" s="66">
        <v>0</v>
      </c>
      <c r="N27" s="36">
        <f t="shared" si="0"/>
        <v>0</v>
      </c>
    </row>
    <row r="28" spans="2:17" ht="93.75" customHeight="1" x14ac:dyDescent="0.25">
      <c r="B28" s="9">
        <v>21</v>
      </c>
      <c r="C28" s="10">
        <v>274</v>
      </c>
      <c r="D28" s="11" t="s">
        <v>105</v>
      </c>
      <c r="E28" s="12" t="s">
        <v>16</v>
      </c>
      <c r="F28" s="12">
        <v>12</v>
      </c>
      <c r="G28" s="64"/>
      <c r="H28" s="255"/>
      <c r="I28" s="252"/>
      <c r="J28" s="253"/>
      <c r="K28" s="66">
        <v>12672500</v>
      </c>
      <c r="L28" s="66">
        <v>11369166</v>
      </c>
      <c r="M28" s="66">
        <v>0</v>
      </c>
      <c r="N28" s="36">
        <f t="shared" si="0"/>
        <v>0</v>
      </c>
    </row>
    <row r="29" spans="2:17" ht="124.5" customHeight="1" x14ac:dyDescent="0.25">
      <c r="B29" s="9">
        <v>22</v>
      </c>
      <c r="C29" s="10">
        <v>260</v>
      </c>
      <c r="D29" s="11" t="s">
        <v>106</v>
      </c>
      <c r="E29" s="12">
        <v>12</v>
      </c>
      <c r="F29" s="12">
        <v>12</v>
      </c>
      <c r="G29" s="64"/>
      <c r="H29" s="255"/>
      <c r="I29" s="252"/>
      <c r="J29" s="253"/>
      <c r="K29" s="66">
        <v>18672500</v>
      </c>
      <c r="L29" s="66">
        <v>1687500</v>
      </c>
      <c r="M29" s="66">
        <v>0</v>
      </c>
      <c r="N29" s="36">
        <f t="shared" si="0"/>
        <v>0</v>
      </c>
    </row>
    <row r="30" spans="2:17" ht="47.25" customHeight="1" x14ac:dyDescent="0.25">
      <c r="B30" s="22"/>
      <c r="C30" s="76"/>
      <c r="D30" s="76" t="s">
        <v>28</v>
      </c>
      <c r="E30" s="76"/>
      <c r="F30" s="76"/>
      <c r="G30" s="76"/>
      <c r="H30" s="76"/>
      <c r="I30" s="76"/>
      <c r="J30" s="76"/>
      <c r="K30" s="77">
        <f>SUM(K8:K29)</f>
        <v>1235000000</v>
      </c>
      <c r="L30" s="77">
        <f t="shared" ref="L30:M30" si="1">SUM(L8:L29)</f>
        <v>652437900</v>
      </c>
      <c r="M30" s="77">
        <f t="shared" si="1"/>
        <v>221573673</v>
      </c>
      <c r="N30" s="77"/>
    </row>
    <row r="34" spans="4:8" ht="69" customHeight="1" x14ac:dyDescent="0.25">
      <c r="D34" s="20" t="s">
        <v>22</v>
      </c>
      <c r="E34" s="21" t="s">
        <v>23</v>
      </c>
      <c r="F34" s="22" t="s">
        <v>24</v>
      </c>
      <c r="H34" s="23" t="s">
        <v>24</v>
      </c>
    </row>
    <row r="35" spans="4:8" x14ac:dyDescent="0.25">
      <c r="D35" s="24" t="s">
        <v>25</v>
      </c>
      <c r="E35" s="9">
        <v>0</v>
      </c>
      <c r="F35" s="9">
        <f>+E35/$E$38*100</f>
        <v>0</v>
      </c>
      <c r="H35" s="25" t="e">
        <f>+E35/$G$25*100</f>
        <v>#DIV/0!</v>
      </c>
    </row>
    <row r="36" spans="4:8" x14ac:dyDescent="0.25">
      <c r="D36" s="24" t="s">
        <v>26</v>
      </c>
      <c r="E36" s="78">
        <v>1</v>
      </c>
      <c r="F36" s="78">
        <f t="shared" ref="F36:F38" si="2">+E36/$E$38*100</f>
        <v>4.5454545454545459</v>
      </c>
      <c r="H36" s="25" t="e">
        <f t="shared" ref="H36:H38" si="3">+E36/$G$25*100</f>
        <v>#DIV/0!</v>
      </c>
    </row>
    <row r="37" spans="4:8" x14ac:dyDescent="0.25">
      <c r="D37" s="24" t="s">
        <v>27</v>
      </c>
      <c r="E37" s="78">
        <v>21</v>
      </c>
      <c r="F37" s="78">
        <f t="shared" si="2"/>
        <v>95.454545454545453</v>
      </c>
      <c r="H37" s="25" t="e">
        <f t="shared" si="3"/>
        <v>#DIV/0!</v>
      </c>
    </row>
    <row r="38" spans="4:8" x14ac:dyDescent="0.25">
      <c r="D38" s="79" t="s">
        <v>28</v>
      </c>
      <c r="E38" s="51">
        <f>SUM(E35:E37)</f>
        <v>22</v>
      </c>
      <c r="F38" s="78">
        <f t="shared" si="2"/>
        <v>100</v>
      </c>
      <c r="H38" s="25" t="e">
        <f t="shared" si="3"/>
        <v>#DIV/0!</v>
      </c>
    </row>
  </sheetData>
  <mergeCells count="10">
    <mergeCell ref="H21:H29"/>
    <mergeCell ref="I21:I29"/>
    <mergeCell ref="J21:J29"/>
    <mergeCell ref="B2:N2"/>
    <mergeCell ref="B3:N3"/>
    <mergeCell ref="B4:N4"/>
    <mergeCell ref="B5:N5"/>
    <mergeCell ref="H12:H16"/>
    <mergeCell ref="I12:I16"/>
    <mergeCell ref="J12:J16"/>
  </mergeCells>
  <pageMargins left="0.7" right="0.7" top="0.75" bottom="0.75" header="0.3" footer="0.3"/>
  <pageSetup scale="48"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Representación Judicial</vt:lpstr>
      <vt:lpstr>Agricultura</vt:lpstr>
      <vt:lpstr>Familia</vt:lpstr>
      <vt:lpstr>Turismo</vt:lpstr>
      <vt:lpstr>Hacienda</vt:lpstr>
      <vt:lpstr>Aguas e Infraestructura</vt:lpstr>
      <vt:lpstr>Administrativa</vt:lpstr>
      <vt:lpstr>Salud</vt:lpstr>
      <vt:lpstr>Planeación</vt:lpstr>
      <vt:lpstr>Privada</vt:lpstr>
      <vt:lpstr>Cultura</vt:lpstr>
      <vt:lpstr>Educación</vt:lpstr>
      <vt:lpstr>Interior</vt:lpstr>
      <vt:lpstr>'Aguas e Infraestructura'!Área_de_impresión</vt:lpstr>
      <vt:lpstr>Cultura!Área_de_impresión</vt:lpstr>
      <vt:lpstr>Planeación!Área_de_impresión</vt:lpstr>
      <vt:lpstr>Turismo!Área_de_impresión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INGTIC03</cp:lastModifiedBy>
  <dcterms:created xsi:type="dcterms:W3CDTF">2016-11-23T19:26:19Z</dcterms:created>
  <dcterms:modified xsi:type="dcterms:W3CDTF">2016-11-24T15:01:26Z</dcterms:modified>
</cp:coreProperties>
</file>