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3\"/>
    </mc:Choice>
  </mc:AlternateContent>
  <xr:revisionPtr revIDLastSave="0" documentId="8_{F8288605-6A4C-43A0-95C4-EF0DE78BD207}" xr6:coauthVersionLast="47" xr6:coauthVersionMax="47" xr10:uidLastSave="{00000000-0000-0000-0000-000000000000}"/>
  <bookViews>
    <workbookView xWindow="20370" yWindow="-120" windowWidth="20730" windowHeight="11160" xr2:uid="{00000000-000D-0000-FFFF-FFFF00000000}"/>
  </bookViews>
  <sheets>
    <sheet name="Matriz" sheetId="1" r:id="rId1"/>
    <sheet name="Avance Total" sheetId="9" r:id="rId2"/>
  </sheets>
  <externalReferences>
    <externalReference r:id="rId3"/>
    <externalReference r:id="rId4"/>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I4" i="1" l="1"/>
  <c r="CM13" i="1" l="1"/>
  <c r="CH75" i="1"/>
  <c r="CG75" i="1"/>
  <c r="CH58" i="1"/>
  <c r="CG58" i="1"/>
  <c r="CG18" i="1"/>
  <c r="CH18" i="1"/>
  <c r="CI18" i="1" s="1"/>
  <c r="CG7" i="1"/>
  <c r="CG6" i="1"/>
  <c r="CG5" i="1"/>
  <c r="CH7" i="1"/>
  <c r="CI7" i="1" s="1"/>
  <c r="CH6" i="1"/>
  <c r="CH5" i="1"/>
  <c r="CI5" i="1" s="1"/>
  <c r="CG4" i="1"/>
  <c r="CH4" i="1"/>
  <c r="CE59" i="1"/>
  <c r="CE13" i="1"/>
  <c r="CI58" i="1" l="1"/>
  <c r="CI6" i="1"/>
  <c r="CF40" i="1"/>
  <c r="CF83" i="1"/>
  <c r="CG83" i="1"/>
  <c r="CF48" i="1"/>
  <c r="CH12" i="1"/>
  <c r="CG12" i="1"/>
  <c r="CH65" i="1" l="1"/>
  <c r="CG65" i="1"/>
  <c r="CH21" i="1"/>
  <c r="CG21" i="1"/>
  <c r="CH13" i="1"/>
  <c r="CG13" i="1"/>
  <c r="CG74" i="1" l="1"/>
  <c r="CH74" i="1" s="1"/>
  <c r="CG43" i="1"/>
  <c r="CH42" i="1" l="1"/>
  <c r="CG42" i="1"/>
  <c r="CH48" i="1" l="1"/>
  <c r="CG48" i="1"/>
  <c r="CH40" i="1"/>
  <c r="CG40" i="1"/>
  <c r="CH62" i="1" l="1"/>
  <c r="CG62" i="1"/>
  <c r="CH60" i="1"/>
  <c r="CG60" i="1"/>
  <c r="CH59" i="1"/>
  <c r="CG59" i="1"/>
  <c r="CH37" i="1"/>
  <c r="CG37" i="1"/>
  <c r="CH43" i="1" l="1"/>
  <c r="CG84" i="1"/>
  <c r="CG82" i="1"/>
  <c r="CI12" i="1"/>
  <c r="I31" i="9"/>
  <c r="CF42" i="1"/>
  <c r="CE35" i="1"/>
  <c r="CF4" i="1"/>
  <c r="CH85" i="1"/>
  <c r="CG85" i="1"/>
  <c r="CH84" i="1"/>
  <c r="CH83" i="1"/>
  <c r="CH82" i="1"/>
  <c r="CI74" i="1"/>
  <c r="CI71" i="1"/>
  <c r="CH70" i="1"/>
  <c r="CG70" i="1"/>
  <c r="CH69" i="1"/>
  <c r="CG69" i="1"/>
  <c r="CH68" i="1"/>
  <c r="CG68" i="1"/>
  <c r="CH66" i="1"/>
  <c r="CG66" i="1"/>
  <c r="CI65" i="1"/>
  <c r="CH64" i="1"/>
  <c r="CG64" i="1"/>
  <c r="CI60" i="1"/>
  <c r="CH55" i="1"/>
  <c r="CG55" i="1"/>
  <c r="CH53" i="1"/>
  <c r="CG53" i="1"/>
  <c r="CH51" i="1"/>
  <c r="CG51" i="1"/>
  <c r="CH49" i="1"/>
  <c r="CG49" i="1"/>
  <c r="CI49" i="1" s="1"/>
  <c r="CH46" i="1"/>
  <c r="CG46" i="1"/>
  <c r="CG44" i="1"/>
  <c r="CI44" i="1" s="1"/>
  <c r="CI42" i="1"/>
  <c r="CI41" i="1"/>
  <c r="CI37" i="1"/>
  <c r="CI35" i="1"/>
  <c r="CI34" i="1"/>
  <c r="CH33" i="1"/>
  <c r="CG33" i="1"/>
  <c r="CH31" i="1"/>
  <c r="CG31" i="1"/>
  <c r="CH27" i="1"/>
  <c r="CG27" i="1"/>
  <c r="CG25" i="1"/>
  <c r="CI25" i="1" s="1"/>
  <c r="CI14" i="1"/>
  <c r="H35" i="9"/>
  <c r="B7" i="9" s="1"/>
  <c r="G35" i="9"/>
  <c r="B6" i="9" s="1"/>
  <c r="F35" i="9"/>
  <c r="B5" i="9" s="1"/>
  <c r="E35" i="9"/>
  <c r="D35" i="9"/>
  <c r="B3" i="9" s="1"/>
  <c r="I34" i="9"/>
  <c r="I33" i="9"/>
  <c r="I32" i="9"/>
  <c r="I30" i="9"/>
  <c r="CN85" i="1"/>
  <c r="CF85" i="1"/>
  <c r="CN84" i="1"/>
  <c r="CF84" i="1"/>
  <c r="CN83" i="1"/>
  <c r="CN82" i="1"/>
  <c r="CF82" i="1"/>
  <c r="CN80" i="1"/>
  <c r="CF80" i="1"/>
  <c r="CN79" i="1"/>
  <c r="CF79" i="1"/>
  <c r="CF75" i="1"/>
  <c r="CN71" i="1"/>
  <c r="CN70" i="1"/>
  <c r="CN69" i="1"/>
  <c r="CF69" i="1"/>
  <c r="CN68" i="1"/>
  <c r="CF68" i="1"/>
  <c r="CN66" i="1"/>
  <c r="CF66" i="1"/>
  <c r="CF65" i="1"/>
  <c r="CF61" i="1"/>
  <c r="CF51" i="1"/>
  <c r="CF49" i="1"/>
  <c r="CN42" i="1"/>
  <c r="CN41" i="1"/>
  <c r="CN40" i="1"/>
  <c r="CM35" i="1"/>
  <c r="CN30" i="1"/>
  <c r="CF30" i="1"/>
  <c r="CN26" i="1"/>
  <c r="CF26" i="1"/>
  <c r="CN25" i="1"/>
  <c r="CL13" i="1"/>
  <c r="CN13" i="1" s="1"/>
  <c r="CN8" i="1"/>
  <c r="CN7" i="1"/>
  <c r="CF7" i="1"/>
  <c r="CN6" i="1"/>
  <c r="CF6" i="1"/>
  <c r="CN5" i="1"/>
  <c r="CF5" i="1"/>
  <c r="CN4" i="1"/>
  <c r="CA55" i="1"/>
  <c r="CI33" i="1" l="1"/>
  <c r="CI70" i="1"/>
  <c r="CI82" i="1"/>
  <c r="CF87" i="1"/>
  <c r="CI31" i="1"/>
  <c r="CI53" i="1"/>
  <c r="CI64" i="1"/>
  <c r="CI27" i="1"/>
  <c r="CI43" i="1"/>
  <c r="CI55" i="1"/>
  <c r="CI83" i="1"/>
  <c r="CI68" i="1"/>
  <c r="CI84" i="1"/>
  <c r="CI13" i="1"/>
  <c r="CI48" i="1"/>
  <c r="CI69" i="1"/>
  <c r="CI80" i="1"/>
  <c r="CI46" i="1"/>
  <c r="CI59" i="1"/>
  <c r="CI62" i="1"/>
  <c r="CI85" i="1"/>
  <c r="I35" i="9"/>
  <c r="CN87" i="1"/>
  <c r="CA35" i="1"/>
  <c r="BW35" i="1"/>
  <c r="CI87" i="1" l="1"/>
  <c r="CA53" i="1"/>
  <c r="BY51" i="1"/>
  <c r="BZ49" i="1"/>
  <c r="BY49" i="1"/>
  <c r="BY12" i="1" l="1"/>
  <c r="BX82" i="1"/>
  <c r="BZ51" i="1" l="1"/>
  <c r="BZ43" i="1"/>
  <c r="BY43" i="1"/>
  <c r="CA80" i="1" l="1"/>
  <c r="BZ46" i="1" l="1"/>
  <c r="BY46" i="1"/>
  <c r="BZ69" i="1" l="1"/>
  <c r="BZ70" i="1"/>
  <c r="BY70" i="1"/>
  <c r="BZ68" i="1"/>
  <c r="BZ66" i="1"/>
  <c r="BZ12" i="1" l="1"/>
  <c r="BZ64" i="1" l="1"/>
  <c r="BY64" i="1"/>
  <c r="BZ62" i="1"/>
  <c r="BY62" i="1"/>
  <c r="BZ60" i="1"/>
  <c r="BY60" i="1"/>
  <c r="BZ59" i="1"/>
  <c r="BY59" i="1"/>
  <c r="BZ33" i="1"/>
  <c r="BY33" i="1"/>
  <c r="BZ27" i="1" l="1"/>
  <c r="BY27" i="1"/>
  <c r="BZ5" i="1"/>
  <c r="BY4" i="1"/>
  <c r="BZ85" i="1"/>
  <c r="BY85" i="1"/>
  <c r="BZ58" i="1"/>
  <c r="BY58" i="1"/>
  <c r="BZ37" i="1"/>
  <c r="BY37" i="1"/>
  <c r="CA33" i="1"/>
  <c r="BY13" i="1"/>
  <c r="BZ13" i="1"/>
  <c r="CA84" i="1" l="1"/>
  <c r="CA83" i="1"/>
  <c r="BZ75" i="1"/>
  <c r="BZ74" i="1"/>
  <c r="CA71" i="1"/>
  <c r="CA69" i="1"/>
  <c r="CA68" i="1"/>
  <c r="CA65" i="1"/>
  <c r="CA49" i="1"/>
  <c r="CA48" i="1"/>
  <c r="CA44" i="1"/>
  <c r="CA41" i="1"/>
  <c r="CA27" i="1"/>
  <c r="CA14" i="1"/>
  <c r="CA6" i="1"/>
  <c r="CA4" i="1"/>
  <c r="BX5" i="1"/>
  <c r="CA74" i="1" l="1"/>
  <c r="CA70" i="1"/>
  <c r="BZ21" i="1"/>
  <c r="BY21" i="1"/>
  <c r="BZ82" i="1"/>
  <c r="BY82" i="1"/>
  <c r="CA62" i="1"/>
  <c r="CA59" i="1"/>
  <c r="CA46" i="1"/>
  <c r="BY31" i="1"/>
  <c r="CA31" i="1" s="1"/>
  <c r="BY25" i="1"/>
  <c r="CA25" i="1" s="1"/>
  <c r="BZ18" i="1"/>
  <c r="BY18" i="1"/>
  <c r="BX4" i="1"/>
  <c r="CA82" i="1" l="1"/>
  <c r="CA37" i="1"/>
  <c r="CA12" i="1"/>
  <c r="CA13" i="1"/>
  <c r="CA60" i="1"/>
  <c r="CA64" i="1"/>
  <c r="CA85" i="1"/>
  <c r="B9" i="9"/>
  <c r="BC69" i="1"/>
  <c r="BC68" i="1"/>
  <c r="AO66" i="1"/>
  <c r="AH66" i="1"/>
  <c r="BG18" i="1"/>
  <c r="BB61" i="1"/>
  <c r="AP25" i="1"/>
  <c r="AP24" i="1"/>
  <c r="BX85" i="1"/>
  <c r="BX84" i="1"/>
  <c r="BX80" i="1"/>
  <c r="BX79" i="1"/>
  <c r="BX75" i="1"/>
  <c r="BX69" i="1"/>
  <c r="BX68" i="1"/>
  <c r="BX66" i="1"/>
  <c r="BX65" i="1"/>
  <c r="BX61" i="1"/>
  <c r="BX60" i="1"/>
  <c r="BX51" i="1"/>
  <c r="BX49" i="1"/>
  <c r="BX42" i="1"/>
  <c r="CA42" i="1" s="1"/>
  <c r="CA34" i="1"/>
  <c r="BX30" i="1"/>
  <c r="BX26" i="1"/>
  <c r="BX7" i="1"/>
  <c r="BX6" i="1"/>
  <c r="CA87" i="1" l="1"/>
  <c r="BX87" i="1"/>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AA85" i="1" l="1"/>
  <c r="AA75" i="1"/>
  <c r="AA69" i="1" l="1"/>
  <c r="AA68" i="1"/>
  <c r="AA66" i="1"/>
  <c r="AA28" i="1"/>
  <c r="AA27" i="1"/>
  <c r="AA17" i="1"/>
  <c r="AA16" i="1"/>
  <c r="AA49" i="1" l="1"/>
  <c r="AA65" i="1"/>
  <c r="AA61" i="1"/>
  <c r="AA60" i="1"/>
  <c r="AA4" i="1"/>
  <c r="AA51" i="1" l="1"/>
  <c r="AA42" i="1" l="1"/>
  <c r="AA35" i="1"/>
  <c r="AA8" i="1" l="1"/>
  <c r="AA36" i="1" l="1"/>
  <c r="AA34" i="1"/>
  <c r="AA30" i="1"/>
  <c r="Q13" i="1" l="1"/>
  <c r="AA26" i="1" l="1"/>
  <c r="AA79" i="1"/>
  <c r="AA80" i="1"/>
  <c r="AA6" i="1"/>
  <c r="AA84" i="1"/>
  <c r="AA7" i="1"/>
  <c r="J13" i="1"/>
  <c r="CI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AUXFAMILIA26</author>
    <author>Indeportes0314</author>
  </authors>
  <commentList>
    <comment ref="CG7" authorId="0" shapeId="0" xr:uid="{00000000-0006-0000-0000-000002000000}">
      <text>
        <r>
          <rPr>
            <b/>
            <sz val="9"/>
            <color indexed="81"/>
            <rFont val="Tahoma"/>
            <family val="2"/>
          </rPr>
          <t>Laura:</t>
        </r>
        <r>
          <rPr>
            <sz val="9"/>
            <color indexed="81"/>
            <rFont val="Tahoma"/>
            <family val="2"/>
          </rPr>
          <t xml:space="preserve">
No es coherente que la meta financiera ejecutada sea mayor a la meta financiera programada, (se gasto mas de lo que se tiene?), se sugiere revisar los datos
LA OBSERVACION APLICA PARA TODAS LAS METAS </t>
        </r>
      </text>
    </comment>
    <comment ref="BA32" authorId="1" shapeId="0" xr:uid="{00000000-0006-0000-0000-000004000000}">
      <text>
        <r>
          <rPr>
            <b/>
            <sz val="9"/>
            <color indexed="81"/>
            <rFont val="Tahoma"/>
            <family val="2"/>
          </rPr>
          <t>AUXFAMILIA26:</t>
        </r>
        <r>
          <rPr>
            <sz val="9"/>
            <color indexed="81"/>
            <rFont val="Tahoma"/>
            <family val="2"/>
          </rPr>
          <t xml:space="preserve">
pendiente respuesta universidades </t>
        </r>
      </text>
    </comment>
    <comment ref="BA49" authorId="1" shapeId="0" xr:uid="{00000000-0006-0000-0000-000009000000}">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1" shapeId="0" xr:uid="{00000000-0006-0000-0000-00000B000000}">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Y59" authorId="2" shapeId="0" xr:uid="{00000000-0006-0000-0000-00000C000000}">
      <text>
        <r>
          <rPr>
            <b/>
            <sz val="9"/>
            <color indexed="81"/>
            <rFont val="Tahoma"/>
            <family val="2"/>
          </rPr>
          <t>Indeportes0314:</t>
        </r>
        <r>
          <rPr>
            <sz val="9"/>
            <color indexed="81"/>
            <rFont val="Tahoma"/>
            <family val="2"/>
          </rPr>
          <t xml:space="preserve">
a la deportista maria yuliet perez bedoya le pago todo el ministerio del deporte, indeportes Quindio no genero inversion economica en este evento deportivo.</t>
        </r>
      </text>
    </comment>
    <comment ref="BB74" authorId="1" shapeId="0" xr:uid="{00000000-0006-0000-0000-00000E000000}">
      <text>
        <r>
          <rPr>
            <b/>
            <sz val="9"/>
            <color indexed="81"/>
            <rFont val="Tahoma"/>
            <family val="2"/>
          </rPr>
          <t>AUXFAMILIA26:</t>
        </r>
        <r>
          <rPr>
            <sz val="9"/>
            <color indexed="81"/>
            <rFont val="Tahoma"/>
            <family val="2"/>
          </rPr>
          <t xml:space="preserve">
pendiente respuesta universidades</t>
        </r>
      </text>
    </comment>
    <comment ref="BJ74" authorId="1" shapeId="0" xr:uid="{00000000-0006-0000-0000-00000F000000}">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List>
</comments>
</file>

<file path=xl/sharedStrings.xml><?xml version="1.0" encoding="utf-8"?>
<sst xmlns="http://schemas.openxmlformats.org/spreadsheetml/2006/main" count="2201" uniqueCount="1163">
  <si>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</si>
  <si>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</si>
  <si>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</si>
  <si>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</si>
  <si>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</si>
  <si>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</si>
  <si>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</si>
  <si>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</si>
  <si>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</si>
  <si>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</si>
  <si>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</si>
  <si>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</si>
  <si>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</si>
  <si>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</si>
  <si>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</si>
  <si>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</si>
  <si>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</si>
  <si>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</si>
  <si>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</si>
  <si>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</si>
  <si>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</si>
  <si>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</si>
  <si>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</si>
  <si>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</si>
  <si>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</si>
  <si>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</si>
  <si>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</si>
  <si>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</si>
  <si>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</si>
  <si>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</si>
  <si>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</si>
  <si>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</si>
  <si>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</si>
  <si>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</si>
  <si>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</si>
  <si>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</si>
  <si>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</si>
  <si>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</si>
  <si>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</si>
  <si>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</si>
  <si>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</si>
  <si>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</si>
  <si>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</si>
  <si>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</si>
  <si>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</si>
  <si>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</si>
  <si>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</si>
  <si>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</si>
  <si>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</si>
  <si>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</si>
  <si>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</si>
  <si>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</si>
  <si>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</si>
  <si>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</si>
  <si>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</si>
  <si>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</si>
  <si>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</si>
  <si>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</si>
  <si>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</si>
  <si>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</si>
  <si>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</si>
  <si>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</si>
  <si>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</si>
  <si>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</si>
  <si>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</si>
  <si>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</si>
  <si>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</si>
  <si>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</si>
  <si>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</si>
  <si>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</si>
  <si>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</si>
  <si>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</si>
  <si>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</si>
  <si>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</si>
  <si>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</si>
  <si>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</si>
  <si>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</si>
  <si>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</si>
  <si>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</si>
  <si>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</si>
  <si>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</si>
  <si>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</si>
  <si>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</si>
  <si>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</si>
  <si>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</si>
  <si>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</si>
  <si>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</si>
  <si>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</si>
  <si>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</si>
  <si>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</si>
  <si>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</si>
  <si>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</si>
  <si>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</si>
  <si>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</si>
  <si>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</si>
  <si>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</si>
  <si>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</si>
  <si>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</si>
  <si>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</si>
  <si>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</si>
  <si>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</si>
  <si>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</si>
  <si>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</si>
  <si>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</si>
  <si>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</si>
  <si>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</si>
  <si>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</si>
  <si>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</si>
  <si>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</si>
  <si>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</si>
  <si>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</si>
  <si>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</si>
  <si>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</si>
  <si>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</si>
  <si>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</si>
  <si>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</si>
  <si>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</si>
  <si>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</si>
  <si>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</si>
  <si>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</si>
  <si>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</si>
  <si>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</si>
  <si>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</si>
  <si>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</si>
  <si>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</si>
  <si>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</si>
  <si>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</si>
  <si>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</si>
  <si>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</si>
  <si>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</si>
  <si>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</si>
  <si>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</si>
  <si>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</si>
  <si>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</si>
  <si>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</si>
  <si>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</si>
  <si>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</si>
  <si>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</si>
  <si>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</si>
  <si>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</si>
  <si>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</si>
  <si>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</si>
  <si>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</si>
  <si>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</si>
  <si>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</si>
  <si>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</si>
  <si>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</si>
  <si>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</si>
  <si>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</si>
  <si>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</si>
  <si>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</si>
  <si>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</si>
  <si>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</si>
  <si>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</si>
  <si>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</si>
  <si>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</si>
  <si>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</si>
  <si>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</si>
  <si>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</si>
  <si>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</si>
  <si>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</si>
  <si>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</si>
  <si>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</si>
  <si>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</si>
  <si>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</si>
  <si>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</si>
  <si>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</si>
  <si>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</si>
  <si>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</si>
  <si>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</si>
  <si>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</si>
  <si>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</si>
  <si>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</si>
  <si>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</si>
  <si>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</si>
  <si>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</si>
  <si>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</si>
  <si>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</si>
  <si>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</si>
  <si>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</si>
  <si>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</si>
  <si>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</si>
  <si>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</si>
  <si>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</si>
  <si>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</si>
  <si>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</si>
  <si>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</si>
  <si>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</si>
  <si>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</si>
  <si>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</si>
  <si>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</si>
  <si>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</si>
  <si>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</si>
  <si>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</si>
  <si>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</si>
  <si>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</si>
  <si>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</si>
  <si>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</si>
  <si>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</si>
  <si>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</si>
  <si>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</si>
  <si>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</si>
  <si>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</si>
  <si>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</si>
  <si>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</si>
  <si>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</si>
  <si>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</si>
  <si>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</si>
  <si>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</si>
  <si>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</si>
  <si>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</si>
  <si>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</si>
  <si>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</si>
  <si>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</si>
  <si>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</si>
  <si>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</si>
  <si>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</si>
  <si>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</si>
  <si>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</si>
  <si>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</si>
  <si>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</si>
  <si>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</si>
  <si>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</si>
  <si>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</si>
  <si>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</si>
  <si>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</si>
  <si>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</si>
  <si>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</si>
  <si>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</si>
  <si>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</si>
  <si>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</si>
  <si>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</si>
  <si>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</si>
  <si>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</si>
  <si>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</si>
  <si>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</si>
  <si>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</si>
  <si>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</si>
  <si>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</si>
  <si>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</si>
  <si>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</si>
  <si>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</si>
  <si>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</si>
  <si>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</si>
  <si>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</si>
  <si>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</si>
  <si>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</si>
  <si>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</si>
  <si>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</si>
  <si>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</si>
  <si>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</si>
  <si>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</si>
  <si>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</si>
  <si>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</si>
  <si>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</si>
  <si>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</si>
  <si>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</si>
  <si>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</si>
  <si>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</si>
  <si>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</si>
  <si>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</si>
  <si>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</si>
  <si>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</si>
  <si>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</si>
  <si>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</si>
  <si>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</si>
  <si>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</si>
  <si>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</si>
  <si>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</si>
  <si>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</si>
  <si>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</si>
  <si>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</si>
  <si>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</si>
  <si>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</si>
  <si>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</si>
  <si>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</si>
  <si>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</si>
  <si>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</si>
  <si>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</si>
  <si>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</si>
  <si>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</si>
  <si>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</si>
  <si>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</si>
  <si>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</si>
  <si>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</si>
  <si>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</si>
  <si>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</si>
  <si>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</si>
  <si>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</si>
  <si>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</si>
  <si>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</si>
  <si>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</si>
  <si>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</si>
  <si>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</si>
  <si>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</si>
  <si>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</si>
  <si>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</si>
  <si>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</si>
  <si>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</si>
  <si>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</si>
  <si>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</si>
  <si>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</si>
  <si>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</si>
  <si>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</si>
  <si>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</si>
  <si>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</si>
  <si>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</si>
  <si>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</si>
  <si>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</si>
  <si>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</si>
  <si>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</si>
  <si>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</si>
  <si>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</si>
  <si>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</si>
  <si>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</si>
  <si>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</si>
  <si>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</si>
  <si>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</si>
  <si>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</si>
  <si>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</si>
  <si>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</si>
  <si>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</si>
  <si>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</si>
  <si>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</si>
  <si>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</si>
  <si>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</si>
  <si>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</si>
  <si>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</si>
  <si>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</si>
  <si>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</si>
  <si>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</si>
  <si>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</si>
  <si>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</si>
  <si>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</si>
  <si>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</si>
  <si>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</si>
  <si>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</si>
  <si>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</si>
  <si>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</si>
  <si>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</si>
  <si>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</si>
  <si>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</si>
  <si>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</si>
  <si>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</si>
  <si>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</si>
  <si>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</si>
  <si>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</si>
  <si>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</si>
  <si>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</si>
  <si>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</si>
  <si>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</si>
  <si>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</si>
  <si>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</si>
  <si>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</si>
  <si>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</si>
  <si>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</si>
  <si>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</si>
  <si>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</si>
  <si>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</si>
  <si>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</si>
  <si>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</si>
  <si>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</si>
  <si>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</si>
  <si>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</si>
  <si>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</si>
  <si>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</si>
  <si>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</si>
  <si>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</si>
  <si>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</si>
  <si>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</si>
  <si>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</si>
  <si>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</si>
  <si>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</si>
  <si>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</si>
  <si>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</si>
  <si>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</si>
  <si>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</si>
  <si>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</si>
  <si>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</si>
  <si>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</si>
  <si>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</si>
  <si>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</si>
  <si>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</si>
  <si>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</si>
  <si>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</si>
  <si>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</si>
  <si>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</si>
  <si>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</si>
  <si>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</si>
  <si>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</si>
  <si>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</si>
  <si>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</si>
  <si>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</si>
  <si>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</si>
  <si>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</si>
  <si>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</si>
  <si>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</si>
  <si>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</si>
  <si>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</si>
  <si>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</si>
  <si>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</si>
  <si>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4.64%%</t>
  </si>
  <si>
    <t>1</t>
  </si>
  <si>
    <t>16.5%</t>
  </si>
  <si>
    <t>CRITICO</t>
  </si>
  <si>
    <t>BAJO</t>
  </si>
  <si>
    <t>MEDIO</t>
  </si>
  <si>
    <t>SATISFACTORIO</t>
  </si>
  <si>
    <t>SOBRESALIENTE</t>
  </si>
  <si>
    <t>TOTAL</t>
  </si>
  <si>
    <t>PARTICIPCION Y MOVIIZACION</t>
  </si>
  <si>
    <t>CRÍTICO</t>
  </si>
  <si>
    <t>5.3%</t>
  </si>
  <si>
    <t>LINEAS</t>
  </si>
  <si>
    <t>EJES ESTRATÉGICOS</t>
  </si>
  <si>
    <t>TOTAL, INDICADORES</t>
  </si>
  <si>
    <t>por debajo de la tasa nacional ( 5,81 %)</t>
  </si>
  <si>
    <t>por debajo de la tasa nacional (13,94)</t>
  </si>
  <si>
    <t>por debajo de la tasa nacional ( 24,05%)</t>
  </si>
  <si>
    <t>por debajo de la prevalencia nacional (3,6 %)</t>
  </si>
  <si>
    <t>por debajo de la prevalencia nacional (473647/ 32 dptos = 14801)</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</si>
  <si>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</si>
  <si>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</si>
  <si>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</si>
  <si>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</si>
  <si>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</si>
  <si>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</si>
  <si>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</si>
  <si>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</si>
  <si>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</si>
  <si>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</si>
  <si>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</si>
  <si>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</si>
  <si>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</si>
  <si>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</si>
  <si>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</si>
  <si>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</si>
  <si>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</si>
  <si>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</si>
  <si>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</si>
  <si>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</si>
  <si>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</si>
  <si>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</si>
  <si>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</si>
  <si>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</si>
  <si>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</si>
  <si>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</si>
  <si>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</si>
  <si>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Número de alianzas para la promoción del turismo establecidas para Jóvenes</t>
  </si>
  <si>
    <t>Número de proyectos artísticos y culturales apoyados y ejecutados.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</si>
  <si>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</si>
  <si>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</si>
  <si>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</si>
  <si>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</si>
  <si>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</si>
  <si>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</si>
  <si>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</si>
  <si>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1,1,1</t>
  </si>
  <si>
    <t>Responsable: SENA
Meta 31/ Responsable: Secretaría de Agricultura</t>
  </si>
  <si>
    <t>$ 382,688,000</t>
  </si>
  <si>
    <t>$ 11.540.000
$ 8.655.000</t>
  </si>
  <si>
    <t>$ 0
$ 11.540.000</t>
  </si>
  <si>
    <t>PROGRAMADO 
(Meta al 2022)</t>
  </si>
  <si>
    <t>20.3%</t>
  </si>
  <si>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</si>
  <si>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</si>
  <si>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</si>
  <si>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</si>
  <si>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</si>
  <si>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</si>
  <si>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</si>
  <si>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</si>
  <si>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</si>
  <si>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</si>
  <si>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</si>
  <si>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</si>
  <si>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</si>
  <si>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</si>
  <si>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</si>
  <si>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</si>
  <si>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</si>
  <si>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</si>
  <si>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</si>
  <si>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</si>
  <si>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</si>
  <si>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</si>
  <si>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</si>
  <si>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</si>
  <si>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</si>
  <si>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</si>
  <si>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xml:space="preserve">
$ 28,850,000</t>
  </si>
  <si>
    <t xml:space="preserve">
$ 34,620,000</t>
  </si>
  <si>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</si>
  <si>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</si>
  <si>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</si>
  <si>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</si>
  <si>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</si>
  <si>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</si>
  <si>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</si>
  <si>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</si>
  <si>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</si>
  <si>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</si>
  <si>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</si>
  <si>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</si>
  <si>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</si>
  <si>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</si>
  <si>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</si>
  <si>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</si>
  <si>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</si>
  <si>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</si>
  <si>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</si>
  <si>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</si>
  <si>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</si>
  <si>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</si>
  <si>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</si>
  <si>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</si>
  <si>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</si>
  <si>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</si>
  <si>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</si>
  <si>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</si>
  <si>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</si>
  <si>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</si>
  <si>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</si>
  <si>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</si>
  <si>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</si>
  <si>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</si>
  <si>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</si>
  <si>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</si>
  <si>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</si>
  <si>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</si>
  <si>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</si>
  <si>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</si>
  <si>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</si>
  <si>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</si>
  <si>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</si>
  <si>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</si>
  <si>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</si>
  <si>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</si>
  <si>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</si>
  <si>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</si>
  <si>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</si>
  <si>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</si>
  <si>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</si>
  <si>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</si>
  <si>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</si>
  <si>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</si>
  <si>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</si>
  <si>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</si>
  <si>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</si>
  <si>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</si>
  <si>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</si>
  <si>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</si>
  <si>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</si>
  <si>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</si>
  <si>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</si>
  <si>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</si>
  <si>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</si>
  <si>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</si>
  <si>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</si>
  <si>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</si>
  <si>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</si>
  <si>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</si>
  <si>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</si>
  <si>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</si>
  <si>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</si>
  <si>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</si>
  <si>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</si>
  <si>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</si>
  <si>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</si>
  <si>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</si>
  <si>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</si>
  <si>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</si>
  <si>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</si>
  <si>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</si>
  <si>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</si>
  <si>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</si>
  <si>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</si>
  <si>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</si>
  <si>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</si>
  <si>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</si>
  <si>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</si>
  <si>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</si>
  <si>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</si>
  <si>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</si>
  <si>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</si>
  <si>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</si>
  <si>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</si>
  <si>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</si>
  <si>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</si>
  <si>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</si>
  <si>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</si>
  <si>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</si>
  <si>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</si>
  <si>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</si>
  <si>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</si>
  <si>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</si>
  <si>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</si>
  <si>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</si>
  <si>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</si>
  <si>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</si>
  <si>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</si>
  <si>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</si>
  <si>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</si>
  <si>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</si>
  <si>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</si>
  <si>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</si>
  <si>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</si>
  <si>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</si>
  <si>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</si>
  <si>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</si>
  <si>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</si>
  <si>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</si>
  <si>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</si>
  <si>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</si>
  <si>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</si>
  <si>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</si>
  <si>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</si>
  <si>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</si>
  <si>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</si>
  <si>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</si>
  <si>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</si>
  <si>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</si>
  <si>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</si>
  <si>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</si>
  <si>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</si>
  <si>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</si>
  <si>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</si>
  <si>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</si>
  <si>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</si>
  <si>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</si>
  <si>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</si>
  <si>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</si>
  <si>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</si>
  <si>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</si>
  <si>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</si>
  <si>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</si>
  <si>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</si>
  <si>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</si>
  <si>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</si>
  <si>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</si>
  <si>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</si>
  <si>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</si>
  <si>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</si>
  <si>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</si>
  <si>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</si>
  <si>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</si>
  <si>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</si>
  <si>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</si>
  <si>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</si>
  <si>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</si>
  <si>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</si>
  <si>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</si>
  <si>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</si>
  <si>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</si>
  <si>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</si>
  <si>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</si>
  <si>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</si>
  <si>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</si>
  <si>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</si>
  <si>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</si>
  <si>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</si>
  <si>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</si>
  <si>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</si>
  <si>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</si>
  <si>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</si>
  <si>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</si>
  <si>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</si>
  <si>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</si>
  <si>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</si>
  <si>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</si>
  <si>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</si>
  <si>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</si>
  <si>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</si>
  <si>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</si>
  <si>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</si>
  <si>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</si>
  <si>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</si>
  <si>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</si>
  <si>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</si>
  <si>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</si>
  <si>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</si>
  <si>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</si>
  <si>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</si>
  <si>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</si>
  <si>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</si>
  <si>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</si>
  <si>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</si>
  <si>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</si>
  <si>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</si>
  <si>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</si>
  <si>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</si>
  <si>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</si>
  <si>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</si>
  <si>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</si>
  <si>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</si>
  <si>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</si>
  <si>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</si>
  <si>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</si>
  <si>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</si>
  <si>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</si>
  <si>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</si>
  <si>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</si>
  <si>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</si>
  <si>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</si>
  <si>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</si>
  <si>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</si>
  <si>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</si>
  <si>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</si>
  <si>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</si>
  <si>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</si>
  <si>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</si>
  <si>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</si>
  <si>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</si>
  <si>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</si>
  <si>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</si>
  <si>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</si>
  <si>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</si>
  <si>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</si>
  <si>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</si>
  <si>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</si>
  <si>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</si>
  <si>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</si>
  <si>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</si>
  <si>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</si>
  <si>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</si>
  <si>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</si>
  <si>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</si>
  <si>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</si>
  <si>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</si>
  <si>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</si>
  <si>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</si>
  <si>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</si>
  <si>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</si>
  <si>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</si>
  <si>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</si>
  <si>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</si>
  <si>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</si>
  <si>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</si>
  <si>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</si>
  <si>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</si>
  <si>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</si>
  <si>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</si>
  <si>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</si>
  <si>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</si>
  <si>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</si>
  <si>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</si>
  <si>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</si>
  <si>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</si>
  <si>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</si>
  <si>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</si>
  <si>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</si>
  <si>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</si>
  <si>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</si>
  <si>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</si>
  <si>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</si>
  <si>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</si>
  <si>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</si>
  <si>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</si>
  <si>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</si>
  <si>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</si>
  <si>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</si>
  <si>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</si>
  <si>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</si>
  <si>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</si>
  <si>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</si>
  <si>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</si>
  <si>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</si>
  <si>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</si>
  <si>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</si>
  <si>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</si>
  <si>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</si>
  <si>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</si>
  <si>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</si>
  <si>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</si>
  <si>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</si>
  <si>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</si>
  <si>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</si>
  <si>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</si>
  <si>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</si>
  <si>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</si>
  <si>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</si>
  <si>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</si>
  <si>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</si>
  <si>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</si>
  <si>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</si>
  <si>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</si>
  <si>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</si>
  <si>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</si>
  <si>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</si>
  <si>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</si>
  <si>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</si>
  <si>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</si>
  <si>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</si>
  <si>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</si>
  <si>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</si>
  <si>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</si>
  <si>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</si>
  <si>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</si>
  <si>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</si>
  <si>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</si>
  <si>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</si>
  <si>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</si>
  <si>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</si>
  <si>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</si>
  <si>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</si>
  <si>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</si>
  <si>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</si>
  <si>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</si>
  <si>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</si>
  <si>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</si>
  <si>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</si>
  <si>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</si>
  <si>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</si>
  <si>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</si>
  <si>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</si>
  <si>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</si>
  <si>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</si>
  <si>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</si>
  <si>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</si>
  <si>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</si>
  <si>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</si>
  <si>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</si>
  <si>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</si>
  <si>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</si>
  <si>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</si>
  <si>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</si>
  <si>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</si>
  <si>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</si>
  <si>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</si>
  <si>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</si>
  <si>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</si>
  <si>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</si>
  <si>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</si>
  <si>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</si>
  <si>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</si>
  <si>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</si>
  <si>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</si>
  <si>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</si>
  <si>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</si>
  <si>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</si>
  <si>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</si>
  <si>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</si>
  <si>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</si>
  <si>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</si>
  <si>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</si>
  <si>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</si>
  <si>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</si>
  <si>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</si>
  <si>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</si>
  <si>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</si>
  <si>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</si>
  <si>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</si>
  <si>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</si>
  <si>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</si>
  <si>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</si>
  <si>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</si>
  <si>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</si>
  <si>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</si>
  <si>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</si>
  <si>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</si>
  <si>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</si>
  <si>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</si>
  <si>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</si>
  <si>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</si>
  <si>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</si>
  <si>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</si>
  <si>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</si>
  <si>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</si>
  <si>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</si>
  <si>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</si>
  <si>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</si>
  <si>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</si>
  <si>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</si>
  <si>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</si>
  <si>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</si>
  <si>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</si>
  <si>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</si>
  <si>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</si>
  <si>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</si>
  <si>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</si>
  <si>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</si>
  <si>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</si>
  <si>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</si>
  <si>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</si>
  <si>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</si>
  <si>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</si>
  <si>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</si>
  <si>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</si>
  <si>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</si>
  <si>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</si>
  <si>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</si>
  <si>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</si>
  <si>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</si>
  <si>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</si>
  <si>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</si>
  <si>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</si>
  <si>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</si>
  <si>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</si>
  <si>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</si>
  <si>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</si>
  <si>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</si>
  <si>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</si>
  <si>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</si>
  <si>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</si>
  <si>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</si>
  <si>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</si>
  <si>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</si>
  <si>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</si>
  <si>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</si>
  <si>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</si>
  <si>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</si>
  <si>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</si>
  <si>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</si>
  <si>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</si>
  <si>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</si>
  <si>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</si>
  <si>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</si>
  <si>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</si>
  <si>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</si>
  <si>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</si>
  <si>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</si>
  <si>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</si>
  <si>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</si>
  <si>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</si>
  <si>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</si>
  <si>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</si>
  <si>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</si>
  <si>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</si>
  <si>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</si>
  <si>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</si>
  <si>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</si>
  <si>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</si>
  <si>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</si>
  <si>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</si>
  <si>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</si>
  <si>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</si>
  <si>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</si>
  <si>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</si>
  <si>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</si>
  <si>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</si>
  <si>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</si>
  <si>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</si>
  <si>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</si>
  <si>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</si>
  <si>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</si>
  <si>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</si>
  <si>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</si>
  <si>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</si>
  <si>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</si>
  <si>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</si>
  <si>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</si>
  <si>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</si>
  <si>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</si>
  <si>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</si>
  <si>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</si>
  <si>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</si>
  <si>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</si>
  <si>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</si>
  <si>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</si>
  <si>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</si>
  <si>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</si>
  <si>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</si>
  <si>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</si>
  <si>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</si>
  <si>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</si>
  <si>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</si>
  <si>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</si>
  <si>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</si>
  <si>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</si>
  <si>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</si>
  <si>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</si>
  <si>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</si>
  <si>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</si>
  <si>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</si>
  <si>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</si>
  <si>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</si>
  <si>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</si>
  <si>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</si>
  <si>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17.5%</t>
  </si>
  <si>
    <t>3.82%</t>
  </si>
  <si>
    <t>48.5%</t>
  </si>
  <si>
    <t>45.9%</t>
  </si>
  <si>
    <t>7.56%</t>
  </si>
  <si>
    <t>por debajo de la tasa nacional</t>
  </si>
  <si>
    <t>por debajo de la prevalencia nacional</t>
  </si>
  <si>
    <t>AVANCE DE CUMPLIMIENTO TOTAL</t>
  </si>
  <si>
    <t>Avance total cumplimiento PPJ</t>
  </si>
  <si>
    <r>
      <t xml:space="preserve">$ 1,000,000
</t>
    </r>
    <r>
      <rPr>
        <sz val="10"/>
        <color rgb="FFFF0000"/>
        <rFont val="Calibri"/>
        <family val="2"/>
        <scheme val="minor"/>
      </rPr>
      <t>$ 2,855,000</t>
    </r>
  </si>
  <si>
    <r>
      <rPr>
        <b/>
        <sz val="10"/>
        <rFont val="Calibri"/>
        <family val="2"/>
        <scheme val="minor"/>
      </rPr>
      <t>Secretaría del Interior:</t>
    </r>
    <r>
      <rPr>
        <sz val="10"/>
        <rFont val="Calibri"/>
        <family val="2"/>
        <scheme val="minor"/>
      </rPr>
      <t xml:space="preserve">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t>
    </r>
  </si>
  <si>
    <r>
      <rPr>
        <b/>
        <sz val="10"/>
        <color rgb="FFFF0000"/>
        <rFont val="Calibri"/>
        <family val="2"/>
        <scheme val="minor"/>
      </rPr>
      <t xml:space="preserve">Secretaría del Interior: </t>
    </r>
    <r>
      <rPr>
        <sz val="10"/>
        <color rgb="FFFF000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</si>
  <si>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t xml:space="preserve">$ 2,131,000
$ 57,630,000
$ 9,905,167
</t>
    </r>
    <r>
      <rPr>
        <sz val="10"/>
        <color rgb="FFFF0000"/>
        <rFont val="Calibri"/>
        <family val="2"/>
        <scheme val="minor"/>
      </rPr>
      <t>$ 6,447,50</t>
    </r>
  </si>
  <si>
    <t>Secretaria de Familia
Secretaria de Planeación
Alcaldías Municipales</t>
  </si>
  <si>
    <t>Secretaria de Familia, Secretarías de Planeación
Alcaldías Municipales</t>
  </si>
  <si>
    <t>Consejos de Política Social Departamentales y Consejos de Política Social Municipales.</t>
  </si>
  <si>
    <t>Colombia Joven, Gobernación, Institutos Descentralizados
Alcaldías Municipales</t>
  </si>
  <si>
    <t>Ministerio del Trabajo,               Secretaria de Familia
Secretaria de Planeación
Alcaldías Municipales</t>
  </si>
  <si>
    <t>Secretaria de Planeación Secretaría de Familia
Secretaria de Turismo Industria y Comercio, CODECTY, Camaras de Comercio, Gremios
Dirección Territorial Ministerio del Trabajo.    SENA 
Secretaría de Agricultura
Alcaldías Municipales</t>
  </si>
  <si>
    <t>Secretaria de Planeación Secretaría de Familia
Secretaria de Turismo Industria y Comercio, CODECTI, Camaras de Comercio, Gremios
Dirección Territorial Ministerio del Trabajo.    SENA, Universidades, 
Secretaría de Agricultura
Alcaldías Municipales</t>
  </si>
  <si>
    <t>Secretaria de Turismo Industria y Comercio, CODECTI, Camaras de Comercio, Gremios
Dirección Territorial Ministerio del Trabajo.    SENA, Universidades, 
Alcaldías Municipales, Consejo Regional de Competitividad.</t>
  </si>
  <si>
    <t>Dirección Territorial Ministerio del Trabajo, SENA, Camara de Comercio, Gremios, Consejo Departamental de Política Salarial.</t>
  </si>
  <si>
    <t>Secretaria de Planeación y Planificación
Secretaria de Turismo Industria y Comercio
Secretaría de Educación Municipal
ICBF 
Secretaría de Desarrollo Rural
Ministerio del Trabajo
Alcaldías Municipales</t>
  </si>
  <si>
    <t>Secretaria de Planeación 
Secretaria de Turismo Industria y Comercio
Secretaría de Educación Municipal
Secretaría de Agricultura
ICBF
Ministerio del Trabajo
Alcaldías Municipales</t>
  </si>
  <si>
    <t>Secretaría de Turismo, Industria y Comercio, SENA, Universidades, Gremios, Secretaría de Educación. COPOS</t>
  </si>
  <si>
    <t>Secretaría de Turismo, Industria y Comercio, Camara de Comercio, SENA, Universidades, Gremios, Secretaría de Educación. CONPOS</t>
  </si>
  <si>
    <t>Secretaría de Turismo, Industria y Comercio,  Red Departamental de Emprendimiento, CONPOS</t>
  </si>
  <si>
    <t>Secretaría de Educación Departamental y S.E Municipal.
Alcaldías Municipales</t>
  </si>
  <si>
    <t>Secretaría de Educación
Universidades
Secretaría de Familia
Alcaldías Municipales</t>
  </si>
  <si>
    <t>Secretarías de Salud
Alcaldías Municipales</t>
  </si>
  <si>
    <t>Secretaría de Salud
Alcaldías Municipales</t>
  </si>
  <si>
    <t>INDEPORTES, Alcaldías Municipales, IMDERA</t>
  </si>
  <si>
    <t>Secretaría de Salud Departamental, Secretaría de Salud Municipal .</t>
  </si>
  <si>
    <t>Secretaría de Interior, Secretarías de Gobierno, Policía Nacional, Fiscalía, Comisarías de Familia, ICBF, Instituto de Medicina Legal.</t>
  </si>
  <si>
    <t>Secretaría de Salud
Secretaría del Interior
Secretaría de Educación
Secretaría de Familia
Organismos de Seguridad
Alcaldías Municipales</t>
  </si>
  <si>
    <t>Secretaría de Salud
Secretaría del Interior
Secretaría de Educación
Instituto de Tránsito
Secretaría de Familia
Organismos de Seguridad
Alcaldías Municipales</t>
  </si>
  <si>
    <t>Secretaría de Salud
Secretaría del Interior
Secretaría de Educación
Organismos de Seguridad
Alcaldías Municipales</t>
  </si>
  <si>
    <t>Secretaría del Interior, ICBF, Policía Nacional, Secretaría de Educación.</t>
  </si>
  <si>
    <t>Secretaría del Interior, ICBF, Policía Nacional, CONPOS</t>
  </si>
  <si>
    <t>Secretaría de Educación Departamental, Secretaría de Educación Municipal
Alcaldías Municipales</t>
  </si>
  <si>
    <t>Secretaría de Salud
Secretaría del Interior
Secretaría de Educación
Secretaría de Familia
Organismos de Seguridad</t>
  </si>
  <si>
    <t>Secretaría de Salud
Secretaría de Educación
Secretaría de Familia
ICBF
Alcaldías Municipales</t>
  </si>
  <si>
    <t>Indeportes
Alcaldías Municipales</t>
  </si>
  <si>
    <t>Indeportes
Secretaría de Educación
Universidades, SENA
Alcaldías Municipales</t>
  </si>
  <si>
    <t xml:space="preserve">INDEPORTESs, alcaldias municipales, </t>
  </si>
  <si>
    <t>Secretaría de  Turismo, Industria y Comercio,Secretaría de Cultura, CORPOCULTURA y Alcaldías</t>
  </si>
  <si>
    <t>Secretaría de Cultura</t>
  </si>
  <si>
    <t>Secretaría de Familia
Responsables de comunicaciones</t>
  </si>
  <si>
    <t>Secretaría de Salud
Secretaría del Interior
Secretaría de Educación
Secretaría de Familia
ICBF
Universidades</t>
  </si>
  <si>
    <t>Secretaria de Planeación y Planificación</t>
  </si>
  <si>
    <t>Secretaria de Planeación y Planificación
Secretaría de Familia</t>
  </si>
  <si>
    <t>Secretaría de Familia
Secretaria de Aguas e Infraestructura
Alcaldías Municipales</t>
  </si>
  <si>
    <t>Secretaría de Familia
Alcaldías Municipales</t>
  </si>
  <si>
    <t>PORCENTAJE DE EJECUCIÓN PRESUPUESTAL</t>
  </si>
  <si>
    <t xml:space="preserve">     </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</si>
  <si>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BYI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</si>
  <si>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discpaBYad,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</si>
  <si>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 xml:space="preserve">Alcaldía de Filandia: En este punto se destaca la atención al grupo de población en situación de discapacidad, con quien se practica diferentes deportes, promoviendo su autoexploración y el mejoramiento de sus capacidades excepcionales.
Alcaldía de Circasia: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Alcaldía Córdoba: se esta trabajando con los adultos en el grupo de Amor y Vida con un porcentaje de 20 participantes, trabajo interno en elBYA con 13 adultos y externos 36 adultos con actividades Ludicas y Recreativas, juegos tradicionales;  se sigue trabajando con los adultos mayores del grupo Amor y Vida con la participacion de 20 adultos y con los adultos delBYA Hogar Humberto Lopez Vasquez, con la realizacion de actividades  Ludicas y Recreativas, juegos tradicionales.
Indeportes: No Reportó información.
Observación: No se pueden medir el porcentaje de avance de los indicadores., ya que la información suministrada por los responsables no se presenta en la variable adecuada.
</t>
  </si>
  <si>
    <t>Alcaldía de Filandia: En este punto se destaca la atención al grupo de población en situación de discapacidad, con quienes se practican diferentes deportes, promoviendo su autoexploración y el mejoramiento de sus capacidades excepcionales.
Alcaldía de Montenegro: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La administración municipal en conjunto con INDEPORTES y el enlace del Adulto Mayor del municipio realizando actividades recreatiavas y lúdicas, juegos deportivos, con la participación de 130 adultos mayores del grupo de Amor y Vida y los adultos delBYA Hogar Humberto López Vásquez.
Alcaldía de la Tebaida: se espera realizar para el próximo trimestre.
Indeportes: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</si>
  <si>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BYC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</si>
  <si>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se está a la espera de la unificación de la elección  por parte de la autoridad electoral de los CMJ y los BYJ a nivel nacional</t>
  </si>
  <si>
    <t>Por debajo de la tasa nacional (15%)</t>
  </si>
  <si>
    <t xml:space="preserve">PORCENTAJE DE AVANCE TOTAL </t>
  </si>
  <si>
    <r>
      <t xml:space="preserve">Secretaría del Interior: </t>
    </r>
    <r>
      <rPr>
        <sz val="10"/>
        <color theme="1"/>
        <rFont val="Calibri"/>
        <family val="2"/>
        <scheme val="minor"/>
      </rPr>
      <t xml:space="preserve">Se desarrollaron campañas de sensibilización para la prevención del reclutamiento.
</t>
    </r>
    <r>
      <rPr>
        <b/>
        <sz val="10"/>
        <color theme="1"/>
        <rFont val="Calibri"/>
        <family val="2"/>
        <scheme val="minor"/>
      </rPr>
      <t xml:space="preserve">
Secretaría Familia: </t>
    </r>
    <r>
      <rPr>
        <sz val="10"/>
        <color theme="1"/>
        <rFont val="Calibri"/>
        <family val="2"/>
        <scheme val="minor"/>
      </rPr>
      <t>No Reportó información.</t>
    </r>
  </si>
  <si>
    <r>
      <rPr>
        <b/>
        <sz val="10"/>
        <color theme="1"/>
        <rFont val="Calibri"/>
        <family val="2"/>
        <scheme val="minor"/>
      </rPr>
      <t xml:space="preserve">Alcaldía de Circasia: </t>
    </r>
    <r>
      <rPr>
        <sz val="10"/>
        <color theme="1"/>
        <rFont val="Calibri"/>
        <family val="2"/>
        <scheme val="minor"/>
      </rPr>
      <t xml:space="preserve">Cuenta con el Acuerdo Municipal 011 del 29 de mayo de 2015, que adopta la Política Pública de Juventud Municipal "Circasia  para la Juventud" 2015-2024
</t>
    </r>
    <r>
      <rPr>
        <b/>
        <sz val="10"/>
        <color theme="1"/>
        <rFont val="Calibri"/>
        <family val="2"/>
        <scheme val="minor"/>
      </rPr>
      <t xml:space="preserve">Alcaldía de Salento: </t>
    </r>
    <r>
      <rPr>
        <sz val="10"/>
        <color theme="1"/>
        <rFont val="Calibri"/>
        <family val="2"/>
        <scheme val="minor"/>
      </rPr>
      <t xml:space="preserve">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color theme="1"/>
        <rFont val="Calibri"/>
        <family val="2"/>
        <scheme val="minor"/>
      </rPr>
      <t>Alcaldía de Armenia:</t>
    </r>
    <r>
      <rPr>
        <sz val="10"/>
        <color theme="1"/>
        <rFont val="Calibri"/>
        <family val="2"/>
        <scheme val="minor"/>
      </rPr>
      <t xml:space="preserve"> Cuenta con la Política Pública "JÓVENES CONSTRUYENDO CIUDAD 2014-2024" adoptada mediante el decreto 169 del 11 DE febrero de 2015. 
</t>
    </r>
    <r>
      <rPr>
        <b/>
        <sz val="10"/>
        <color theme="1"/>
        <rFont val="Calibri"/>
        <family val="2"/>
        <scheme val="minor"/>
      </rPr>
      <t>Alcaldía La  Tebaida:</t>
    </r>
    <r>
      <rPr>
        <sz val="10"/>
        <color theme="1"/>
        <rFont val="Calibri"/>
        <family val="2"/>
        <scheme val="minor"/>
      </rPr>
      <t xml:space="preserve"> Política Pública adoptada mediante acuerdo muncipal 015 de 2019, en el momento se encuentra en etapa de ejecución. 
</t>
    </r>
    <r>
      <rPr>
        <b/>
        <sz val="10"/>
        <color theme="1"/>
        <rFont val="Calibri"/>
        <family val="2"/>
        <scheme val="minor"/>
      </rPr>
      <t>Alcaldía de Quimbaya</t>
    </r>
    <r>
      <rPr>
        <sz val="10"/>
        <color theme="1"/>
        <rFont val="Calibri"/>
        <family val="2"/>
        <scheme val="minor"/>
      </rPr>
      <t xml:space="preserve">: El municipio de Quimbaya adoptó la política pública de juventud mediante acuerdo municipal 016 de 2019.
</t>
    </r>
    <r>
      <rPr>
        <b/>
        <sz val="10"/>
        <color theme="1"/>
        <rFont val="Calibri"/>
        <family val="2"/>
        <scheme val="minor"/>
      </rPr>
      <t>Alcaldía de Buenavista</t>
    </r>
    <r>
      <rPr>
        <sz val="10"/>
        <color theme="1"/>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El municipio actualmente cuenta con una política pública de juventud "activos por la juventud 2022- 2032",aprobada mediante el acuerdo municipal 07 de 08 de septiembre del 2022 y se encuentra en etapa de implementación y seguimiento 
</t>
    </r>
    <r>
      <rPr>
        <b/>
        <sz val="10"/>
        <color theme="1"/>
        <rFont val="Calibri"/>
        <family val="2"/>
        <scheme val="minor"/>
      </rPr>
      <t>Alcaldía de Filandia</t>
    </r>
    <r>
      <rPr>
        <sz val="10"/>
        <color theme="1"/>
        <rFont val="Calibri"/>
        <family val="2"/>
        <scheme val="minor"/>
      </rPr>
      <t xml:space="preserve">: El  municipio de Filandia cuenta con política de juventud adoptada bajo acuerdo N°021 de 2019, cuya medición se realiza en el COMPOS.
</t>
    </r>
    <r>
      <rPr>
        <b/>
        <sz val="10"/>
        <color theme="1"/>
        <rFont val="Calibri"/>
        <family val="2"/>
        <scheme val="minor"/>
      </rPr>
      <t xml:space="preserve">Alcaldía de Pijao: </t>
    </r>
    <r>
      <rPr>
        <sz val="10"/>
        <color theme="1"/>
        <rFont val="Calibri"/>
        <family val="2"/>
        <scheme val="minor"/>
      </rPr>
      <t xml:space="preserve">La Política se encuentra en proceso de formulación.
</t>
    </r>
    <r>
      <rPr>
        <b/>
        <sz val="10"/>
        <color theme="1"/>
        <rFont val="Calibri"/>
        <family val="2"/>
        <scheme val="minor"/>
      </rPr>
      <t>Alcaldía de Córdoba:</t>
    </r>
    <r>
      <rPr>
        <sz val="10"/>
        <color theme="1"/>
        <rFont val="Calibri"/>
        <family val="2"/>
        <scheme val="minor"/>
      </rPr>
      <t xml:space="preserve"> El municipio no cuenta con la política pública de juventud implementada, sin embargo se realizan actividades teniendo en cuenta la Política Departamental de Juventud. 
</t>
    </r>
    <r>
      <rPr>
        <b/>
        <sz val="10"/>
        <color theme="1"/>
        <rFont val="Calibri"/>
        <family val="2"/>
        <scheme val="minor"/>
      </rPr>
      <t>Alcaldía Calarcá:</t>
    </r>
    <r>
      <rPr>
        <sz val="10"/>
        <color theme="1"/>
        <rFont val="Calibri"/>
        <family val="2"/>
        <scheme val="minor"/>
      </rPr>
      <t xml:space="preserve"> POLÍTICA PUBLICA DE JUVENTUDES "LOS JÓVENES SOMOS EL CAMBIO" adoptada mediante el acuerdo 019 del 2018. Se realiza seguimiento semestral, se realiza rendición de cuentas en el marco de la Asamblea y en el COMPOS cuarta sesión realizada el día 20 de diciembre de 2022.
</t>
    </r>
    <r>
      <rPr>
        <b/>
        <sz val="10"/>
        <color theme="1"/>
        <rFont val="Calibri"/>
        <family val="2"/>
        <scheme val="minor"/>
      </rPr>
      <t>Secretaría de Familia:</t>
    </r>
    <r>
      <rPr>
        <sz val="10"/>
        <color theme="1"/>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</si>
  <si>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Circasia:</t>
    </r>
    <r>
      <rPr>
        <sz val="10"/>
        <color theme="1"/>
        <rFont val="Calibri"/>
        <family val="2"/>
        <scheme val="minor"/>
      </rPr>
      <t xml:space="preserve"> No Reporta. 
</t>
    </r>
    <r>
      <rPr>
        <b/>
        <sz val="10"/>
        <color theme="1"/>
        <rFont val="Calibri"/>
        <family val="2"/>
        <scheme val="minor"/>
      </rPr>
      <t>Consejo municipal de política Social Calarcá:</t>
    </r>
    <r>
      <rPr>
        <sz val="10"/>
        <color theme="1"/>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atención a jóvenes del municipio de Calarcá.
</t>
    </r>
    <r>
      <rPr>
        <b/>
        <sz val="10"/>
        <color theme="1"/>
        <rFont val="Calibri"/>
        <family val="2"/>
        <scheme val="minor"/>
      </rPr>
      <t>Consejo municipal de política Social Córdoba</t>
    </r>
    <r>
      <rPr>
        <sz val="10"/>
        <color theme="1"/>
        <rFont val="Calibri"/>
        <family val="2"/>
        <scheme val="minor"/>
      </rPr>
      <t xml:space="preserve">: El Municipio cuenta con el COMPOS-Consejo Municipal de Política Social, mediante el Decreto No. 085 del 26 de Diciembre del 2014,  en donde se realizaron las cuatro sesiones y cuenta con el plan de acción al cual se dio cumplimiento. Igualmente se realizaron los seguimientos a la POLÍTICA PÚBLICA  DE PRIMERA INFANCIA, INFANCIA Y ADOLESCENCIA Y FORTALECIMIENTO FAMILIAR. .
</t>
    </r>
    <r>
      <rPr>
        <b/>
        <sz val="10"/>
        <color theme="1"/>
        <rFont val="Calibri"/>
        <family val="2"/>
        <scheme val="minor"/>
      </rPr>
      <t xml:space="preserve">Secretaría de Familia: </t>
    </r>
    <r>
      <rPr>
        <sz val="10"/>
        <color theme="1"/>
        <rFont val="Calibri"/>
        <family val="2"/>
        <scheme val="minor"/>
      </rPr>
      <t>Reporta que los planes y políticas del plan de desarrollo departamental se encuentran armonizadas con la política pública de juventud.</t>
    </r>
  </si>
  <si>
    <r>
      <rPr>
        <b/>
        <sz val="10"/>
        <color theme="1"/>
        <rFont val="Calibri"/>
        <family val="2"/>
        <scheme val="minor"/>
      </rPr>
      <t xml:space="preserve">Secretaría de Familia: </t>
    </r>
    <r>
      <rPr>
        <sz val="10"/>
        <color theme="1"/>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
    </r>
  </si>
  <si>
    <r>
      <t xml:space="preserve">Alcaldía de Montenegro: </t>
    </r>
    <r>
      <rPr>
        <sz val="10"/>
        <color theme="1"/>
        <rFont val="Calibri"/>
        <family val="2"/>
        <scheme val="minor"/>
      </rPr>
      <t>Un sistema departamental de juventud en el cual las instancias municipales tienen participación a través de sus delegados .</t>
    </r>
    <r>
      <rPr>
        <b/>
        <sz val="10"/>
        <color theme="1"/>
        <rFont val="Calibri"/>
        <family val="2"/>
        <scheme val="minor"/>
      </rPr>
      <t xml:space="preserve">
Alcaldía de Armenia: </t>
    </r>
    <r>
      <rPr>
        <sz val="10"/>
        <color theme="1"/>
        <rFont val="Calibri"/>
        <family val="2"/>
        <scheme val="minor"/>
      </rPr>
      <t>A través del Decreto 349 del 09 de noviembre de 2020  se crea el sistema municipal de juventud.</t>
    </r>
    <r>
      <rPr>
        <b/>
        <sz val="10"/>
        <color theme="1"/>
        <rFont val="Calibri"/>
        <family val="2"/>
        <scheme val="minor"/>
      </rPr>
      <t xml:space="preserve">
Alcaldía de Circasia: </t>
    </r>
    <r>
      <rPr>
        <sz val="10"/>
        <color theme="1"/>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color theme="1"/>
        <rFont val="Calibri"/>
        <family val="2"/>
        <scheme val="minor"/>
      </rPr>
      <t xml:space="preserve">
Alcaldía Quimbaya: </t>
    </r>
    <r>
      <rPr>
        <sz val="10"/>
        <color theme="1"/>
        <rFont val="Calibri"/>
        <family val="2"/>
        <scheme val="minor"/>
      </rPr>
      <t>Actualmente el municipio de Quimbaya cuenta con CMJ, Comisión de concertación y decisión, plataforma juvenil y convoca periódicamente la asamblea municipal de juventud.</t>
    </r>
    <r>
      <rPr>
        <b/>
        <sz val="10"/>
        <color theme="1"/>
        <rFont val="Calibri"/>
        <family val="2"/>
        <scheme val="minor"/>
      </rPr>
      <t xml:space="preserve">
Alcaldía de Salento: </t>
    </r>
    <r>
      <rPr>
        <sz val="10"/>
        <color theme="1"/>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color theme="1"/>
        <rFont val="Calibri"/>
        <family val="2"/>
        <scheme val="minor"/>
      </rPr>
      <t xml:space="preserve">
Alcaldía La Tebaida: .  </t>
    </r>
    <r>
      <rPr>
        <sz val="10"/>
        <color theme="1"/>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color theme="1"/>
        <rFont val="Calibri"/>
        <family val="2"/>
        <scheme val="minor"/>
      </rPr>
      <t xml:space="preserve">
Alcaldía de Filandia: </t>
    </r>
    <r>
      <rPr>
        <sz val="10"/>
        <color theme="1"/>
        <rFont val="Calibri"/>
        <family val="2"/>
        <scheme val="minor"/>
      </rPr>
      <t xml:space="preserve">el municipio de Filandia cuenta con Consejo Municipal de Juventud  y Plataforma de Juventud operando. </t>
    </r>
    <r>
      <rPr>
        <b/>
        <sz val="10"/>
        <color theme="1"/>
        <rFont val="Calibri"/>
        <family val="2"/>
        <scheme val="minor"/>
      </rPr>
      <t xml:space="preserve">
Secretaría de Familia: </t>
    </r>
    <r>
      <rPr>
        <sz val="10"/>
        <color theme="1"/>
        <rFont val="Calibri"/>
        <family val="2"/>
        <scheme val="minor"/>
      </rPr>
      <t xml:space="preserve">Reporta que 11 de los 12 municipios quindianos, cuentan con Plataforma de Juventud operando, realización de Asambleas juveniles, cumplimiento de las Comisiones de Concertación y Decisión y los Consejos Municipales de Juventud electos a excepción de Filandia. </t>
    </r>
    <r>
      <rPr>
        <b/>
        <sz val="10"/>
        <color theme="1"/>
        <rFont val="Calibri"/>
        <family val="2"/>
        <scheme val="minor"/>
      </rPr>
      <t xml:space="preserve">
Alcaldía de Calarcá: </t>
    </r>
    <r>
      <rPr>
        <sz val="10"/>
        <color theme="1"/>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color theme="1"/>
        <rFont val="Calibri"/>
        <family val="2"/>
        <scheme val="minor"/>
      </rPr>
      <t xml:space="preserve">
Alcaldía de Génova: </t>
    </r>
    <r>
      <rPr>
        <sz val="10"/>
        <color theme="1"/>
        <rFont val="Calibri"/>
        <family val="2"/>
        <scheme val="minor"/>
      </rPr>
      <t>Plataforma Deptal y Consejo Deptal activo y con delegados de Génova.</t>
    </r>
    <r>
      <rPr>
        <b/>
        <sz val="10"/>
        <color theme="1"/>
        <rFont val="Calibri"/>
        <family val="2"/>
        <scheme val="minor"/>
      </rPr>
      <t xml:space="preserve">
Alcaldía de Buenavista: </t>
    </r>
    <r>
      <rPr>
        <sz val="10"/>
        <color theme="1"/>
        <rFont val="Calibri"/>
        <family val="2"/>
        <scheme val="minor"/>
      </rPr>
      <t>Pese a tener actualización de la línea base de la Plataforma Municipal de Juventud, contando con presidente, vicepresidente y secretaria, sin embargo, falta dinamismo y activación real de la PMJ. En el mes de agosto se concluye la creación de la agenda juvenil municipal. En el CMJ existe la renuncia de dos consejeras así como la inasistencia reiterativa de otros Consejeros, por lo que el presidente está realizando los trámites correspondientes al reglamento para suplir las vacantes existentes y poder garantizar un CMJ completo y al servicio de los jóvenes del municipio.</t>
    </r>
    <r>
      <rPr>
        <b/>
        <sz val="10"/>
        <color theme="1"/>
        <rFont val="Calibri"/>
        <family val="2"/>
        <scheme val="minor"/>
      </rPr>
      <t xml:space="preserve">
Alcaldía Pijao: </t>
    </r>
    <r>
      <rPr>
        <sz val="10"/>
        <color theme="1"/>
        <rFont val="Calibri"/>
        <family val="2"/>
        <scheme val="minor"/>
      </rPr>
      <t xml:space="preserve">se cuenta con la plataforma Municipal de juventud actualizada, consejo de juventud, cada uno con sus reglamentos internos y en total funcionamiento.
</t>
    </r>
  </si>
  <si>
    <r>
      <t xml:space="preserve">
</t>
    </r>
    <r>
      <rPr>
        <b/>
        <sz val="10"/>
        <color theme="1"/>
        <rFont val="Calibri"/>
        <family val="2"/>
        <scheme val="minor"/>
      </rPr>
      <t>Cámara de Comercio de Armenia y del Quindío:</t>
    </r>
    <r>
      <rPr>
        <sz val="10"/>
        <color theme="1"/>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color theme="1"/>
        <rFont val="Calibri"/>
        <family val="2"/>
        <scheme val="minor"/>
      </rPr>
      <t xml:space="preserve">Alcaldía Filandia: </t>
    </r>
    <r>
      <rPr>
        <sz val="10"/>
        <color theme="1"/>
        <rFont val="Calibri"/>
        <family val="2"/>
        <scheme val="minor"/>
      </rPr>
      <t xml:space="preserve">2 jóvenes en ruedas de negocio.
</t>
    </r>
    <r>
      <rPr>
        <b/>
        <sz val="10"/>
        <color theme="1"/>
        <rFont val="Calibri"/>
        <family val="2"/>
        <scheme val="minor"/>
      </rPr>
      <t>Secretaría Turismo, Industria y Comercio:</t>
    </r>
    <r>
      <rPr>
        <sz val="10"/>
        <color theme="1"/>
        <rFont val="Calibri"/>
        <family val="2"/>
        <scheme val="minor"/>
      </rPr>
      <t xml:space="preserve"> Se agotó el presupuesto en el periodo anterior.
</t>
    </r>
  </si>
  <si>
    <r>
      <rPr>
        <b/>
        <sz val="10"/>
        <color theme="1"/>
        <rFont val="Calibri"/>
        <family val="2"/>
        <scheme val="minor"/>
      </rPr>
      <t xml:space="preserve">
Cámara de Comercio de Armenia y del Quindío: Cámara de Comercio de Armenia y del Quindío: </t>
    </r>
    <r>
      <rPr>
        <sz val="10"/>
        <color theme="1"/>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</si>
  <si>
    <r>
      <rPr>
        <b/>
        <sz val="10"/>
        <color theme="1"/>
        <rFont val="Calibri"/>
        <family val="2"/>
        <scheme val="minor"/>
      </rPr>
      <t>OBSERVACIONES:</t>
    </r>
    <r>
      <rPr>
        <sz val="10"/>
        <color theme="1"/>
        <rFont val="Calibri"/>
        <family val="2"/>
        <scheme val="minor"/>
      </rPr>
      <t xml:space="preserve"> El último reporte por el SIRITI es del 2019 según lo reportado en el DANE, por lo cual la información reportada no corresponde al año 2022.
</t>
    </r>
    <r>
      <rPr>
        <b/>
        <sz val="10"/>
        <color theme="1"/>
        <rFont val="Calibri"/>
        <family val="2"/>
        <scheme val="minor"/>
      </rPr>
      <t xml:space="preserve">Secretaría de Familia: </t>
    </r>
    <r>
      <rPr>
        <sz val="10"/>
        <color theme="1"/>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Ministerio del Trabajo:</t>
    </r>
    <r>
      <rPr>
        <sz val="10"/>
        <color theme="1"/>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color theme="1"/>
        <rFont val="Calibri"/>
        <family val="2"/>
        <scheme val="minor"/>
      </rPr>
      <t>ICBF</t>
    </r>
    <r>
      <rPr>
        <sz val="10"/>
        <color theme="1"/>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color theme="1"/>
        <rFont val="Calibri"/>
        <family val="2"/>
        <scheme val="minor"/>
      </rPr>
      <t xml:space="preserve">Alcaldía Calarcá: </t>
    </r>
    <r>
      <rPr>
        <sz val="10"/>
        <color theme="1"/>
        <rFont val="Calibri"/>
        <family val="2"/>
        <scheme val="minor"/>
      </rPr>
      <t xml:space="preserve">El programa de NNA, realizó  una jornada de prevención del trabajo infantil en el barrio Llanitos Piloto. 
</t>
    </r>
    <r>
      <rPr>
        <b/>
        <sz val="10"/>
        <color theme="1"/>
        <rFont val="Calibri"/>
        <family val="2"/>
        <scheme val="minor"/>
      </rPr>
      <t xml:space="preserve">Alcaldía Filandia: </t>
    </r>
    <r>
      <rPr>
        <sz val="10"/>
        <color theme="1"/>
        <rFont val="Calibri"/>
        <family val="2"/>
        <scheme val="minor"/>
      </rPr>
      <t xml:space="preserve">el Municipio de Filandia no cuenta con casos de trabajo infantil.
</t>
    </r>
  </si>
  <si>
    <r>
      <t xml:space="preserve">
</t>
    </r>
    <r>
      <rPr>
        <b/>
        <sz val="10"/>
        <color theme="1"/>
        <rFont val="Calibri"/>
        <family val="2"/>
        <scheme val="minor"/>
      </rPr>
      <t>Alcaldía de Calarcá:</t>
    </r>
    <r>
      <rPr>
        <sz val="10"/>
        <color theme="1"/>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color theme="1"/>
        <rFont val="Calibri"/>
        <family val="2"/>
        <scheme val="minor"/>
      </rPr>
      <t>Secretaría de Educación:</t>
    </r>
    <r>
      <rPr>
        <sz val="10"/>
        <color theme="1"/>
        <rFont val="Calibri"/>
        <family val="2"/>
        <scheme val="minor"/>
      </rPr>
      <t xml:space="preserve"> 65,34%. Tasa de Cobertura Neta en Educación Básica Secundaria a Diciembre de 2022.  Es importante aclarar que este indicador reportado corresponde a  datos parciales del mes de diciembre de 2022, y no a los datos definitivos de la vigencia en mención, los cuales se obtienen durante el primer semestre del año 2023.</t>
    </r>
  </si>
  <si>
    <r>
      <t xml:space="preserve">
</t>
    </r>
    <r>
      <rPr>
        <b/>
        <sz val="10"/>
        <color theme="1"/>
        <rFont val="Calibri"/>
        <family val="2"/>
        <scheme val="minor"/>
      </rPr>
      <t>Alcaldía de Buenavista</t>
    </r>
    <r>
      <rPr>
        <sz val="10"/>
        <color theme="1"/>
        <rFont val="Calibri"/>
        <family val="2"/>
        <scheme val="minor"/>
      </rPr>
      <t xml:space="preserve">: 100% de los estudiantes con cobertura en educación en básica secundaria y media vocacional.
</t>
    </r>
    <r>
      <rPr>
        <b/>
        <sz val="10"/>
        <color theme="1"/>
        <rFont val="Calibri"/>
        <family val="2"/>
        <scheme val="minor"/>
      </rPr>
      <t>Alcaldía Armenia:</t>
    </r>
    <r>
      <rPr>
        <sz val="10"/>
        <color theme="1"/>
        <rFont val="Calibri"/>
        <family val="2"/>
        <scheme val="minor"/>
      </rPr>
      <t xml:space="preserve"> 23 Instituciones Educativas y 1200 Jóvenes de media de las Instituciones Educativas.
</t>
    </r>
    <r>
      <rPr>
        <b/>
        <sz val="10"/>
        <color theme="1"/>
        <rFont val="Calibri"/>
        <family val="2"/>
        <scheme val="minor"/>
      </rPr>
      <t xml:space="preserve">Alcaldía Génova: </t>
    </r>
    <r>
      <rPr>
        <sz val="10"/>
        <color theme="1"/>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de Córdoba garantiza la atención con estrategias de permanencia ( PAE - Programa de Alimentación Escolar y transporte escolar) a los estudiantes que cumplen los criterios de focalización.
</t>
    </r>
    <r>
      <rPr>
        <b/>
        <sz val="10"/>
        <color theme="1"/>
        <rFont val="Calibri"/>
        <family val="2"/>
        <scheme val="minor"/>
      </rPr>
      <t>Alcaldía de Montenegro:</t>
    </r>
    <r>
      <rPr>
        <sz val="10"/>
        <color theme="1"/>
        <rFont val="Calibri"/>
        <family val="2"/>
        <scheme val="minor"/>
      </rPr>
      <t xml:space="preserve">  se realiza junta municipal de educación (JUME), Comité Municipal de Educación, aporte a bolsa común del PAE.
</t>
    </r>
    <r>
      <rPr>
        <b/>
        <sz val="10"/>
        <color theme="1"/>
        <rFont val="Calibri"/>
        <family val="2"/>
        <scheme val="minor"/>
      </rPr>
      <t xml:space="preserve">Alcaldía de Armenia: </t>
    </r>
    <r>
      <rPr>
        <sz val="10"/>
        <color theme="1"/>
        <rFont val="Calibri"/>
        <family val="2"/>
        <scheme val="minor"/>
      </rPr>
      <t xml:space="preserve">24 Instituciones Educativas y 1200 Jóvenes beneficiados de media de las Instituciones Educativa
</t>
    </r>
    <r>
      <rPr>
        <b/>
        <sz val="10"/>
        <color theme="1"/>
        <rFont val="Calibri"/>
        <family val="2"/>
        <scheme val="minor"/>
      </rPr>
      <t>Alcaldía de Calarcá:</t>
    </r>
    <r>
      <rPr>
        <sz val="10"/>
        <color theme="1"/>
        <rFont val="Calibri"/>
        <family val="2"/>
        <scheme val="minor"/>
      </rPr>
      <t xml:space="preserve"> Se apoyo al 100% de los estudiantes de las 14 Instituciones Educativas sector urbano y rural con recursos de gratuidad escolar.
</t>
    </r>
    <r>
      <rPr>
        <b/>
        <sz val="10"/>
        <color theme="1"/>
        <rFont val="Calibri"/>
        <family val="2"/>
        <scheme val="minor"/>
      </rPr>
      <t xml:space="preserve">Alcaldía Filandia </t>
    </r>
    <r>
      <rPr>
        <sz val="10"/>
        <color theme="1"/>
        <rFont val="Calibri"/>
        <family val="2"/>
        <scheme val="minor"/>
      </rPr>
      <t>Tasa de cobertura neta básica secundaria: 90%, 622 alumnos hasta el mes de noviembre de 2022.</t>
    </r>
  </si>
  <si>
    <r>
      <t xml:space="preserve">
</t>
    </r>
    <r>
      <rPr>
        <b/>
        <sz val="10"/>
        <color theme="1"/>
        <rFont val="Calibri"/>
        <family val="2"/>
        <scheme val="minor"/>
      </rPr>
      <t>Secretaría de Familia:</t>
    </r>
    <r>
      <rPr>
        <sz val="10"/>
        <color theme="1"/>
        <rFont val="Calibri"/>
        <family val="2"/>
        <scheme val="minor"/>
      </rPr>
      <t xml:space="preserve"> La tasa de deserción universitaria es del 8,79%  según reporte del Ministerio de Educación.
</t>
    </r>
    <r>
      <rPr>
        <b/>
        <sz val="10"/>
        <color theme="1"/>
        <rFont val="Calibri"/>
        <family val="2"/>
        <scheme val="minor"/>
      </rPr>
      <t>Alcaldía de Buenavista</t>
    </r>
    <r>
      <rPr>
        <sz val="10"/>
        <color theme="1"/>
        <rFont val="Calibri"/>
        <family val="2"/>
        <scheme val="minor"/>
      </rPr>
      <t xml:space="preserve">: No se han registrado casos de deserción escolar en el tercer trimestre 2022.
</t>
    </r>
    <r>
      <rPr>
        <b/>
        <sz val="10"/>
        <color theme="1"/>
        <rFont val="Calibri"/>
        <family val="2"/>
        <scheme val="minor"/>
      </rPr>
      <t>Alcaldía de Filandia:</t>
    </r>
    <r>
      <rPr>
        <sz val="10"/>
        <color theme="1"/>
        <rFont val="Calibri"/>
        <family val="2"/>
        <scheme val="minor"/>
      </rPr>
      <t xml:space="preserve"> Tasa de deserción a largo plazo (semestre 10): 15% a largo plazo.
</t>
    </r>
    <r>
      <rPr>
        <b/>
        <sz val="10"/>
        <color theme="1"/>
        <rFont val="Calibri"/>
        <family val="2"/>
        <scheme val="minor"/>
      </rPr>
      <t>Alcaldía Armenia</t>
    </r>
    <r>
      <rPr>
        <sz val="10"/>
        <color theme="1"/>
        <rFont val="Calibri"/>
        <family val="2"/>
        <scheme val="minor"/>
      </rPr>
      <t xml:space="preserve">: la Secretaría de Educación Municipal no maneja la tasa de deserción universitaria.
</t>
    </r>
    <r>
      <rPr>
        <b/>
        <sz val="10"/>
        <color theme="1"/>
        <rFont val="Calibri"/>
        <family val="2"/>
        <scheme val="minor"/>
      </rPr>
      <t>Alcaldía Génova:</t>
    </r>
    <r>
      <rPr>
        <sz val="10"/>
        <color theme="1"/>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 xml:space="preserve">Alcaldía Salento: </t>
    </r>
    <r>
      <rPr>
        <sz val="10"/>
        <color theme="1"/>
        <rFont val="Calibri"/>
        <family val="2"/>
        <scheme val="minor"/>
      </rPr>
      <t xml:space="preserve">Convenio de asociación con la Universidad del Quindío para el sostenimiento del programa Matricula Cero.
</t>
    </r>
    <r>
      <rPr>
        <b/>
        <sz val="10"/>
        <color theme="1"/>
        <rFont val="Calibri"/>
        <family val="2"/>
        <scheme val="minor"/>
      </rPr>
      <t>Alcaldía de Córdoba:</t>
    </r>
    <r>
      <rPr>
        <sz val="10"/>
        <color theme="1"/>
        <rFont val="Calibri"/>
        <family val="2"/>
        <scheme val="minor"/>
      </rPr>
      <t xml:space="preserve">  La Institución Educativa ofrece en todo el ciclo básico lo que contribuye a asegurar la continuidad y el flujo de los estudiantes a través de los niveles de  básica, secundaria y media. Además, se ofrecen dos modalidades en convenio SENA: Sistemas agropecuarios ecológicos y agroindustria alimentaria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color theme="1"/>
        <rFont val="Calibri"/>
        <family val="2"/>
        <scheme val="minor"/>
      </rPr>
      <t xml:space="preserve">Alcaldía de Calarcá: </t>
    </r>
    <r>
      <rPr>
        <sz val="10"/>
        <color theme="1"/>
        <rFont val="Calibri"/>
        <family val="2"/>
        <scheme val="minor"/>
      </rPr>
      <t xml:space="preserve">Se garantizó póliza de seguro de atención medica, quirúrgica y hospitalaria por accidentes escolares y gastos funerarios para los estudiantes de las 14 IE del área urbana y rural del municipio y de acuerdo a la Resolución 969 de 5/11/2021 por medio del cual se transfiere el recurso del SGP dotación de provisión de la canasta educativa a las 14 IE del municipio. 
</t>
    </r>
  </si>
  <si>
    <r>
      <t xml:space="preserve">
</t>
    </r>
    <r>
      <rPr>
        <b/>
        <sz val="10"/>
        <color theme="1"/>
        <rFont val="Calibri"/>
        <family val="2"/>
        <scheme val="minor"/>
      </rPr>
      <t>Secretaría de Familia:</t>
    </r>
    <r>
      <rPr>
        <sz val="10"/>
        <color theme="1"/>
        <rFont val="Calibri"/>
        <family val="2"/>
        <scheme val="minor"/>
      </rPr>
      <t xml:space="preserve"> La tasa de cobertura de educación superior es del 62,3% según reporte del Ministerio de Educación.
</t>
    </r>
    <r>
      <rPr>
        <b/>
        <sz val="10"/>
        <color rgb="FFFF0000"/>
        <rFont val="Calibri"/>
        <family val="2"/>
        <scheme val="minor"/>
      </rPr>
      <t/>
    </r>
  </si>
  <si>
    <r>
      <rPr>
        <b/>
        <sz val="10"/>
        <color theme="1"/>
        <rFont val="Calibri"/>
        <family val="2"/>
        <scheme val="minor"/>
      </rPr>
      <t xml:space="preserve">Secretaría de Familia: </t>
    </r>
    <r>
      <rPr>
        <sz val="10"/>
        <color theme="1"/>
        <rFont val="Calibri"/>
        <family val="2"/>
        <scheme val="minor"/>
      </rPr>
      <t xml:space="preserve">Se oficiaron los actores respnsables de este indicadr  por misionalidad sin embargo, no se obtuvo reporte alguno.  
</t>
    </r>
    <r>
      <rPr>
        <b/>
        <sz val="10"/>
        <color theme="1"/>
        <rFont val="Calibri"/>
        <family val="2"/>
        <scheme val="minor"/>
      </rPr>
      <t xml:space="preserve">Secretaría de Salud: </t>
    </r>
    <r>
      <rPr>
        <sz val="10"/>
        <color theme="1"/>
        <rFont val="Calibri"/>
        <family val="2"/>
        <scheme val="minor"/>
      </rPr>
      <t>se realizaron asistencias técnicas en las IPS de 11 municipios del Quindío sobre SERVICIOS DE SALUD AMIGABLES PARA ADOLESCENTES Y JOVENES SSAAJ Temas tratados: Reglamentación normas de calidad de aplicación de los SSAAJ.</t>
    </r>
  </si>
  <si>
    <r>
      <t>Alcaldía Filandia:</t>
    </r>
    <r>
      <rPr>
        <sz val="10"/>
        <color theme="1"/>
        <rFont val="Calibri"/>
        <family val="2"/>
        <scheme val="minor"/>
      </rPr>
      <t xml:space="preserve"> 340 jóvenes participan en actividades recreativas, deportivas y de actividad física.</t>
    </r>
    <r>
      <rPr>
        <b/>
        <sz val="10"/>
        <color theme="1"/>
        <rFont val="Calibri"/>
        <family val="2"/>
        <scheme val="minor"/>
      </rPr>
      <t xml:space="preserve">
 Alcaldía Salento: </t>
    </r>
    <r>
      <rPr>
        <sz val="10"/>
        <color theme="1"/>
        <rFont val="Calibri"/>
        <family val="2"/>
        <scheme val="minor"/>
      </rPr>
      <t>Fortalecimiento y apoyo a las Escuelas de Formación Deportiva, reactivación de torneos de fútbol, fútbol de salón.</t>
    </r>
    <r>
      <rPr>
        <b/>
        <sz val="10"/>
        <color theme="1"/>
        <rFont val="Calibri"/>
        <family val="2"/>
        <scheme val="minor"/>
      </rPr>
      <t xml:space="preserve">
Alcaldía Buenavista:</t>
    </r>
    <r>
      <rPr>
        <sz val="10"/>
        <color theme="1"/>
        <rFont val="Calibri"/>
        <family val="2"/>
        <scheme val="minor"/>
      </rPr>
      <t xml:space="preserve"> Se cuenta con 120 jóvenes que hacen parte de las 4 escuelas de formación deportiva del municipio. Adicionalmente, acompañamiento de indeportes dos veces a la semana para la realización de aeróbicos, y contratista de la jefatura de juventud que está realizando entrenamiento al equipo de futbol femenino del municipios.</t>
    </r>
    <r>
      <rPr>
        <b/>
        <sz val="10"/>
        <color theme="1"/>
        <rFont val="Calibri"/>
        <family val="2"/>
        <scheme val="minor"/>
      </rPr>
      <t xml:space="preserve">
Alcaldía de La Tebaida:</t>
    </r>
    <r>
      <rPr>
        <sz val="10"/>
        <color theme="1"/>
        <rFont val="Calibri"/>
        <family val="2"/>
        <scheme val="minor"/>
      </rPr>
      <t xml:space="preserve"> No se rindió esta información en este trimestre</t>
    </r>
    <r>
      <rPr>
        <b/>
        <sz val="10"/>
        <color theme="1"/>
        <rFont val="Calibri"/>
        <family val="2"/>
        <scheme val="minor"/>
      </rPr>
      <t xml:space="preserve">
Alcaldía Quimbaya: </t>
    </r>
    <r>
      <rPr>
        <sz val="10"/>
        <color theme="1"/>
        <rFont val="Calibri"/>
        <family val="2"/>
        <scheme val="minor"/>
      </rPr>
      <t>En el municipio de Quimbaya se fortalecen las escuelas de formación deportiva y se realizan eventos deportivos y recreativos con la participación de los jóvenes.</t>
    </r>
    <r>
      <rPr>
        <b/>
        <sz val="10"/>
        <color theme="1"/>
        <rFont val="Calibri"/>
        <family val="2"/>
        <scheme val="minor"/>
      </rPr>
      <t xml:space="preserve">
Alcaldía Génova:  </t>
    </r>
    <r>
      <rPr>
        <sz val="10"/>
        <color theme="1"/>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 y actividades recreativas</t>
    </r>
    <r>
      <rPr>
        <b/>
        <sz val="10"/>
        <color theme="1"/>
        <rFont val="Calibri"/>
        <family val="2"/>
        <scheme val="minor"/>
      </rPr>
      <t xml:space="preserve">
Alcaldía de Armenia: </t>
    </r>
    <r>
      <rPr>
        <sz val="10"/>
        <color theme="1"/>
        <rFont val="Calibri"/>
        <family val="2"/>
        <scheme val="minor"/>
      </rPr>
      <t xml:space="preserve">Promoción, apoyo logístico, ejecución y dotación de grupos de recreación dirigida 4295 jóvenes.      </t>
    </r>
    <r>
      <rPr>
        <b/>
        <sz val="10"/>
        <color theme="1"/>
        <rFont val="Calibri"/>
        <family val="2"/>
        <scheme val="minor"/>
      </rPr>
      <t xml:space="preserve">      
Alcaldía de Montenegro:</t>
    </r>
    <r>
      <rPr>
        <sz val="10"/>
        <color theme="1"/>
        <rFont val="Calibri"/>
        <family val="2"/>
        <scheme val="minor"/>
      </rPr>
      <t xml:space="preserve"> actualmente se benefician 3781 jóvenes de las diferentes escuelas de formación del municipio (23 escuelas de formación).</t>
    </r>
    <r>
      <rPr>
        <b/>
        <sz val="10"/>
        <color theme="1"/>
        <rFont val="Calibri"/>
        <family val="2"/>
        <scheme val="minor"/>
      </rPr>
      <t xml:space="preserve">
Alcaldía de Calarcá: </t>
    </r>
    <r>
      <rPr>
        <sz val="10"/>
        <color theme="1"/>
        <rFont val="Calibri"/>
        <family val="2"/>
        <scheme val="minor"/>
      </rPr>
      <t>Se realizaron adecuaciones locativas en el parque Alto del Río para mejorar las condiciones del mismo e Incentivos para otorgar apoyo a los deportistas destacados que representan el municipio en competencias de orden departamental o nacional.</t>
    </r>
    <r>
      <rPr>
        <b/>
        <sz val="10"/>
        <color theme="1"/>
        <rFont val="Calibri"/>
        <family val="2"/>
        <scheme val="minor"/>
      </rPr>
      <t xml:space="preserve">
INDEPORTES: </t>
    </r>
    <r>
      <rPr>
        <sz val="10"/>
        <color theme="1"/>
        <rFont val="Calibri"/>
        <family val="2"/>
        <scheme val="minor"/>
      </rPr>
      <t xml:space="preserve">Se implementó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(Jóvenes impactados 14.955) 
</t>
    </r>
  </si>
  <si>
    <r>
      <rPr>
        <b/>
        <sz val="10"/>
        <color theme="1"/>
        <rFont val="Calibri"/>
        <family val="2"/>
        <scheme val="minor"/>
      </rPr>
      <t>Secretaría de Salud:</t>
    </r>
    <r>
      <rPr>
        <sz val="10"/>
        <color theme="1"/>
        <rFont val="Calibri"/>
        <family val="2"/>
        <scheme val="minor"/>
      </rPr>
      <t xml:space="preserve"> en 11 municipios centralizados del Quindío se realizaron talleres pedagógicos Salud Sexual y Reproductiva con temas tratados: Derechos sexuales y reproductivos, Prevención de ITS, Prevención de Embarazo y embarazo subsiguiente, métodos anticonceptivos, prevención de violencias sexuales. Población 1296 estudiantes. </t>
    </r>
  </si>
  <si>
    <r>
      <rPr>
        <b/>
        <sz val="10"/>
        <color theme="1"/>
        <rFont val="Calibri"/>
        <family val="2"/>
        <scheme val="minor"/>
      </rPr>
      <t xml:space="preserve">Secretaría de Salud: </t>
    </r>
    <r>
      <rPr>
        <sz val="10"/>
        <color theme="1"/>
        <rFont val="Calibri"/>
        <family val="2"/>
        <scheme val="minor"/>
      </rPr>
      <t>Desde el programa Convivencia Social y Salud Mental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Dentro de las actividades puntuales se realizaron las siguientes:* Tercera sesión consejo territorial de Salud mental.
* Capacitación a Familias y Jóvenes del Barrio las Colinas de Armenia brindando información en temas de violencias, ideación suicida y trastornos mentales.</t>
    </r>
    <r>
      <rPr>
        <b/>
        <sz val="10"/>
        <color theme="1"/>
        <rFont val="Calibri"/>
        <family val="2"/>
        <scheme val="minor"/>
      </rPr>
      <t xml:space="preserve">
</t>
    </r>
  </si>
  <si>
    <r>
      <t xml:space="preserve">
</t>
    </r>
    <r>
      <rPr>
        <b/>
        <sz val="10"/>
        <color theme="1"/>
        <rFont val="Calibri"/>
        <family val="2"/>
        <scheme val="minor"/>
      </rPr>
      <t>Secretaría del Interior:</t>
    </r>
    <r>
      <rPr>
        <sz val="10"/>
        <color theme="1"/>
        <rFont val="Calibri"/>
        <family val="2"/>
        <scheme val="minor"/>
      </rPr>
      <t xml:space="preserve"> Acompañamiento y seguimiento a los 12 municipios en la ejecución de los PISCC.
</t>
    </r>
    <r>
      <rPr>
        <b/>
        <sz val="10"/>
        <color theme="1"/>
        <rFont val="Calibri"/>
        <family val="2"/>
        <scheme val="minor"/>
      </rPr>
      <t>Policía Nacional</t>
    </r>
    <r>
      <rPr>
        <sz val="10"/>
        <color theme="1"/>
        <rFont val="Calibri"/>
        <family val="2"/>
        <scheme val="minor"/>
      </rPr>
      <t xml:space="preserve">: El Grupo de protección a la infancia y adolescencia, durante el IV trimestre realizó en los 12 municipios del Departamento más de 37 acciones de prevención, vigilancia y control en 29 instituciones educativas, beneficiando a más de  2.664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color rgb="FFFF0000"/>
        <rFont val="Calibri"/>
        <family val="2"/>
        <scheme val="minor"/>
      </rPr>
      <t/>
    </r>
  </si>
  <si>
    <r>
      <rPr>
        <b/>
        <sz val="10"/>
        <color theme="1"/>
        <rFont val="Calibri"/>
        <family val="2"/>
        <scheme val="minor"/>
      </rPr>
      <t xml:space="preserve">Secretaría del Interior: </t>
    </r>
    <r>
      <rPr>
        <sz val="10"/>
        <color theme="1"/>
        <rFont val="Calibri"/>
        <family val="2"/>
        <scheme val="minor"/>
      </rPr>
      <t xml:space="preserve">La tasa actual es de  682 por cada 100 mil jóvenes según informe de página JUACO, 2019
</t>
    </r>
    <r>
      <rPr>
        <b/>
        <sz val="10"/>
        <color theme="1"/>
        <rFont val="Calibri"/>
        <family val="2"/>
        <scheme val="minor"/>
      </rPr>
      <t>Secretaría de familia</t>
    </r>
    <r>
      <rPr>
        <sz val="10"/>
        <color theme="1"/>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color theme="1"/>
        <rFont val="Calibri"/>
        <family val="2"/>
        <scheme val="minor"/>
      </rPr>
      <t>Comisaría de Familia La Tebaida</t>
    </r>
    <r>
      <rPr>
        <sz val="10"/>
        <color theme="1"/>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color theme="1"/>
        <rFont val="Calibri"/>
        <family val="2"/>
        <scheme val="minor"/>
      </rPr>
      <t>Comisaría de Familia Córdoba:</t>
    </r>
    <r>
      <rPr>
        <sz val="10"/>
        <color theme="1"/>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color theme="1"/>
        <rFont val="Calibri"/>
        <family val="2"/>
        <scheme val="minor"/>
      </rPr>
      <t>Medicina Legal</t>
    </r>
    <r>
      <rPr>
        <sz val="10"/>
        <color theme="1"/>
        <rFont val="Calibri"/>
        <family val="2"/>
        <scheme val="minor"/>
      </rPr>
      <t xml:space="preserve">: Las actividades propuestas no hacen parte de la misión, ni de las funciones del Instituto Nacional de Medicina Legal y Ciencias Forenses.
</t>
    </r>
    <r>
      <rPr>
        <b/>
        <sz val="10"/>
        <color theme="1"/>
        <rFont val="Calibri"/>
        <family val="2"/>
        <scheme val="minor"/>
      </rPr>
      <t>ICBF:</t>
    </r>
    <r>
      <rPr>
        <sz val="10"/>
        <color theme="1"/>
        <rFont val="Calibri"/>
        <family val="2"/>
        <scheme val="minor"/>
      </rPr>
      <t xml:space="preserve"> *Fortalecimiento a I.E del Departamento en Prevención de Violencia en la escuela *Articulación con Policía de Infancia y Adolescencia para la prevención de la ESCNNA y trata de personas 
</t>
    </r>
  </si>
  <si>
    <r>
      <t xml:space="preserve">
</t>
    </r>
    <r>
      <rPr>
        <b/>
        <sz val="10"/>
        <color theme="1"/>
        <rFont val="Calibri"/>
        <family val="2"/>
        <scheme val="minor"/>
      </rPr>
      <t>Secretaría de Familia:</t>
    </r>
    <r>
      <rPr>
        <sz val="10"/>
        <color theme="1"/>
        <rFont val="Calibri"/>
        <family val="2"/>
        <scheme val="minor"/>
      </rPr>
      <t xml:space="preserve"> la tasa de accidentes fatales viales x 100 mil jóvenes es del 18,62% según fuente de verificación.
</t>
    </r>
    <r>
      <rPr>
        <b/>
        <sz val="10"/>
        <color theme="1"/>
        <rFont val="Calibri"/>
        <family val="2"/>
        <scheme val="minor"/>
      </rPr>
      <t>Alcaldía de Armenia:</t>
    </r>
    <r>
      <rPr>
        <sz val="10"/>
        <color theme="1"/>
        <rFont val="Calibri"/>
        <family val="2"/>
        <scheme val="minor"/>
      </rPr>
      <t xml:space="preserve"> Promoción, apoyo logístico, ejecución y dotación de grupos de recreación dirigida a 4216 jóvenes.
</t>
    </r>
    <r>
      <rPr>
        <b/>
        <sz val="10"/>
        <color theme="1"/>
        <rFont val="Calibri"/>
        <family val="2"/>
        <scheme val="minor"/>
      </rPr>
      <t>Alcaldía Salento:</t>
    </r>
    <r>
      <rPr>
        <sz val="10"/>
        <color theme="1"/>
        <rFont val="Calibri"/>
        <family val="2"/>
        <scheme val="minor"/>
      </rPr>
      <t xml:space="preserve"> En proceso la construcción de la Política Pública de Seguridad Vial, proceso a cargo de la Secretaría de Gobierno
</t>
    </r>
    <r>
      <rPr>
        <b/>
        <sz val="10"/>
        <color theme="1"/>
        <rFont val="Calibri"/>
        <family val="2"/>
        <scheme val="minor"/>
      </rPr>
      <t>Alcaldía de Calarcá</t>
    </r>
    <r>
      <rPr>
        <sz val="10"/>
        <color theme="1"/>
        <rFont val="Calibri"/>
        <family val="2"/>
        <scheme val="minor"/>
      </rPr>
      <t xml:space="preserve">: Se han realizado 246 campañas de educación vial en el  Municipio de Calarcá en donde  se han beneficiado los diferentes actores viales, especialmente jóvenes.
</t>
    </r>
    <r>
      <rPr>
        <b/>
        <sz val="10"/>
        <color theme="1"/>
        <rFont val="Calibri"/>
        <family val="2"/>
        <scheme val="minor"/>
      </rPr>
      <t xml:space="preserve">IDTQ: </t>
    </r>
    <r>
      <rPr>
        <sz val="10"/>
        <color theme="1"/>
        <rFont val="Calibri"/>
        <family val="2"/>
        <scheme val="minor"/>
      </rPr>
      <t xml:space="preserve">Estrategia de movilidad saludable, segura y sostenible efectivamente formulada y adoptada por parte del Instituto Departamental de Tránsito del Quindío, con el acompañamiento y el aporte técnico de las acciones de la Secretaría de familia.
Realizando por parte del IDTQ aportaciones en materia de movilidad, control al transito, señalización y educación vial.
</t>
    </r>
  </si>
  <si>
    <r>
      <t xml:space="preserve">
</t>
    </r>
    <r>
      <rPr>
        <b/>
        <sz val="10"/>
        <color theme="1"/>
        <rFont val="Calibri"/>
        <family val="2"/>
        <scheme val="minor"/>
      </rPr>
      <t>Secretaría de Salud:</t>
    </r>
    <r>
      <rPr>
        <sz val="10"/>
        <color theme="1"/>
        <rFont val="Calibri"/>
        <family val="2"/>
        <scheme val="minor"/>
      </rPr>
      <t xml:space="preserve">  Se realizan actividades como el seguimiento a la gestión del riesgo en los eventos violencia de género e intento de suicidio y otros trastornos mentales, en ese sentido se hace articulación con instituciones Prestadoras de Servicios de Salud y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brinda asistencia y acompañamiento en los municipios del departamento, con relación a los eventos de interés en salud pública. Se orienta en las diferentes fases frente a la adopción y adaptación de la política pública de salud mental con el fin de articular todo el Departamento para la implementación de dicha normatividad.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  Dentro de las actividades puntuales se realizan las siguientes: * Capacitación a Familias y Jóvenes brindando información en temas de violencias, ideación suicida y trastornos mentales. * Psi coeducación en temática relacionadas a los eventos de interés en salud mental. * Asistencias técnicas a planes locales de salud en temas de salud mental. * Acompañamiento campaña en salud mental en Universidades del Departamento. *Campaña día mundial de la prevención del suicidio.
</t>
    </r>
    <r>
      <rPr>
        <b/>
        <sz val="10"/>
        <color theme="1"/>
        <rFont val="Calibri"/>
        <family val="2"/>
        <scheme val="minor"/>
      </rPr>
      <t>Alcaldía Génova</t>
    </r>
    <r>
      <rPr>
        <sz val="10"/>
        <color theme="1"/>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color theme="1"/>
        <rFont val="Calibri"/>
        <family val="2"/>
        <scheme val="minor"/>
      </rPr>
      <t>Alcaldía de Armenia:</t>
    </r>
    <r>
      <rPr>
        <sz val="10"/>
        <color theme="1"/>
        <rFont val="Calibri"/>
        <family val="2"/>
        <scheme val="minor"/>
      </rPr>
      <t xml:space="preserve"> La población cubierta con acciones de promoción de factores protectores frente a la conducta suicida es de 2935 jóvenes 
</t>
    </r>
    <r>
      <rPr>
        <b/>
        <sz val="10"/>
        <color theme="1"/>
        <rFont val="Calibri"/>
        <family val="2"/>
        <scheme val="minor"/>
      </rPr>
      <t>Alcaldía de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La Administración Municipal, por parte del Plan Local de Salud Territorial maneja la línea de salud mental, con el fin de evitar suicidios en la población del municipio. Se realizan campañas en contra del suicidio a jóvenes de la Institución Educativa José Maria Córdoba a través del convenio celebrado con el hospital San Roque PIC-Plan de Intervenciones Colectivas.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No se maneja la tasa solicitada en el indicador no obstante, se realizan estrategias de prevención del suicidio, en instituciones educativas, en los diferentes barrios del municipio identificando los líderes y creando grupos de participación a los cuales, se les comparten temas de prevención en salud mental. También se realizan campañas por medio de redes sociales de la administración.
</t>
    </r>
    <r>
      <rPr>
        <b/>
        <sz val="10"/>
        <color theme="1"/>
        <rFont val="Calibri"/>
        <family val="2"/>
        <scheme val="minor"/>
      </rPr>
      <t xml:space="preserve">Alcaldía de Calarcá: </t>
    </r>
    <r>
      <rPr>
        <sz val="10"/>
        <color theme="1"/>
        <rFont val="Calibri"/>
        <family val="2"/>
        <scheme val="minor"/>
      </rPr>
      <t xml:space="preserve">Seguimientos realizados por el programa de salud mental, según reporte del SIVIGILA. Se realizaron tres jornadas de sensibilización en temas referentes a la prevención del suicidio y a la sexualidad responsable en la Institución Educativa Segundo Henao, donde se impactaron 75 jóvenes. 
</t>
    </r>
    <r>
      <rPr>
        <b/>
        <sz val="10"/>
        <color theme="1"/>
        <rFont val="Calibri"/>
        <family val="2"/>
        <scheme val="minor"/>
      </rPr>
      <t>Secretaría del Interior</t>
    </r>
    <r>
      <rPr>
        <sz val="10"/>
        <color theme="1"/>
        <rFont val="Calibri"/>
        <family val="2"/>
        <scheme val="minor"/>
      </rPr>
      <t xml:space="preserve">: La tasa actual es de  7.2 por cada 100.000 jóvenes según informe de página JUACO, 2021.
</t>
    </r>
    <r>
      <rPr>
        <b/>
        <sz val="10"/>
        <color rgb="FFFF0000"/>
        <rFont val="Calibri"/>
        <family val="2"/>
        <scheme val="minor"/>
      </rPr>
      <t/>
    </r>
  </si>
  <si>
    <r>
      <rPr>
        <b/>
        <sz val="10"/>
        <color theme="1"/>
        <rFont val="Calibri"/>
        <family val="2"/>
        <scheme val="minor"/>
      </rPr>
      <t>Secretaría del Interior:</t>
    </r>
    <r>
      <rPr>
        <sz val="10"/>
        <color theme="1"/>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color theme="1"/>
        <rFont val="Calibri"/>
        <family val="2"/>
        <scheme val="minor"/>
      </rPr>
      <t xml:space="preserve">Secretaría de Familia: </t>
    </r>
    <r>
      <rPr>
        <sz val="10"/>
        <color theme="1"/>
        <rFont val="Calibri"/>
        <family val="2"/>
        <scheme val="minor"/>
      </rPr>
      <t xml:space="preserve">la tasa de violencia intrafamiliar x 100 mil jóvenes es del 12,27% según fuente de verificación.
</t>
    </r>
    <r>
      <rPr>
        <b/>
        <sz val="10"/>
        <color rgb="FFFF0000"/>
        <rFont val="Calibri"/>
        <family val="2"/>
        <scheme val="minor"/>
      </rPr>
      <t/>
    </r>
  </si>
  <si>
    <r>
      <t>Secretaría del Interior:</t>
    </r>
    <r>
      <rPr>
        <sz val="10"/>
        <color theme="1"/>
        <rFont val="Calibri"/>
        <family val="2"/>
        <scheme val="minor"/>
      </rPr>
      <t xml:space="preserve"> 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color theme="1"/>
        <rFont val="Calibri"/>
        <family val="2"/>
        <scheme val="minor"/>
      </rPr>
      <t>Policía Nacional:</t>
    </r>
    <r>
      <rPr>
        <sz val="10"/>
        <color theme="1"/>
        <rFont val="Calibri"/>
        <family val="2"/>
        <scheme val="minor"/>
      </rPr>
      <t xml:space="preserve"> El Grupo de Protección a la Infancia y Adolescencia realizó durante el IV trimestre en los 12 municipios del departamento, diferentes acciones de prevención, vigilancia y control más de 24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642 personas, para finalizar el año 2022 no se cuenta con denuncias antes este grupo por reclutamiento de jóvenes víctimas en la región. </t>
    </r>
  </si>
  <si>
    <r>
      <rPr>
        <b/>
        <sz val="10"/>
        <color theme="1"/>
        <rFont val="Calibri"/>
        <family val="2"/>
        <scheme val="minor"/>
      </rPr>
      <t xml:space="preserve">Alcaldía Génova: </t>
    </r>
    <r>
      <rPr>
        <sz val="10"/>
        <color theme="1"/>
        <rFont val="Calibri"/>
        <family val="2"/>
        <scheme val="minor"/>
      </rPr>
      <t xml:space="preserve">Se realizan campañas sobre espacios libres de humo y consumo de sustancias,  se realiza plan de acción con  los integrantes del subcomité de sustancias psicoactivas.
</t>
    </r>
    <r>
      <rPr>
        <b/>
        <sz val="10"/>
        <color theme="1"/>
        <rFont val="Calibri"/>
        <family val="2"/>
        <scheme val="minor"/>
      </rPr>
      <t>Alcaldía Quimbaya:</t>
    </r>
    <r>
      <rPr>
        <sz val="10"/>
        <color theme="1"/>
        <rFont val="Calibri"/>
        <family val="2"/>
        <scheme val="minor"/>
      </rPr>
      <t xml:space="preserve"> En el municipio de Quimbaya las 7 instituciones educativas ejecutan proyectos de educación sexual y construcción de ciudadanía.
</t>
    </r>
    <r>
      <rPr>
        <b/>
        <sz val="10"/>
        <color theme="1"/>
        <rFont val="Calibri"/>
        <family val="2"/>
        <scheme val="minor"/>
      </rPr>
      <t>Alcaldía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Se realizan campañas de salud sexual y reproductiva a jóvenes de la Institución Educativa José Maria Córdoba a través del convenio celebrado con el hospital San Roque  PIC-Plan de Intervenciones Colectivas. Se realiza campaña de socialización de la ley 1622 de 2013 y 1757 de 2015 con apoyo de la Secretaría de Familia Departamental a través de la Jefatura de Juventud.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se realizan estrategias como la semana andina para reforzar los talleres que se dan constantemente en las instituciones educativas, no se manejan porcentajes estadísticos.
</t>
    </r>
    <r>
      <rPr>
        <b/>
        <sz val="10"/>
        <color theme="1"/>
        <rFont val="Calibri"/>
        <family val="2"/>
        <scheme val="minor"/>
      </rPr>
      <t>Alcaldía de Calarcá:</t>
    </r>
    <r>
      <rPr>
        <sz val="10"/>
        <color theme="1"/>
        <rFont val="Calibri"/>
        <family val="2"/>
        <scheme val="minor"/>
      </rPr>
      <t xml:space="preserve"> Se realizan talleres en las IE, estrategia comunicativa, seguimiento a los servicios amigables en el municipio. 
</t>
    </r>
    <r>
      <rPr>
        <b/>
        <sz val="10"/>
        <color theme="1"/>
        <rFont val="Calibri"/>
        <family val="2"/>
        <scheme val="minor"/>
      </rPr>
      <t>Alcaldía de Armenia</t>
    </r>
    <r>
      <rPr>
        <sz val="10"/>
        <color theme="1"/>
        <rFont val="Calibri"/>
        <family val="2"/>
        <scheme val="minor"/>
      </rPr>
      <t xml:space="preserve">: Personas sensibilizadas en el cuidado de la salud sexual y derechos sexuales y reproductivos 4000.
</t>
    </r>
    <r>
      <rPr>
        <b/>
        <sz val="10"/>
        <color theme="1"/>
        <rFont val="Calibri"/>
        <family val="2"/>
        <scheme val="minor"/>
      </rPr>
      <t>Secretaría de Educación:</t>
    </r>
    <r>
      <rPr>
        <sz val="10"/>
        <color theme="1"/>
        <rFont val="Calibri"/>
        <family val="2"/>
        <scheme val="minor"/>
      </rPr>
      <t xml:space="preserve"> 100% de las Instituciones Educativas Oficiales, llevan a cabo la ejecución de proyectos de Educación Sexual y Construcción de Ciudadania, además del trabajo continúo desde la dirección de calidad educativa en la revisión de los PEI para que contengan los líneamientos en los temas relacionados.</t>
    </r>
  </si>
  <si>
    <r>
      <rPr>
        <b/>
        <sz val="10"/>
        <color theme="1"/>
        <rFont val="Calibri"/>
        <family val="2"/>
        <scheme val="minor"/>
      </rPr>
      <t xml:space="preserve">Observación: </t>
    </r>
    <r>
      <rPr>
        <sz val="10"/>
        <color theme="1"/>
        <rFont val="Calibri"/>
        <family val="2"/>
        <scheme val="minor"/>
      </rPr>
      <t xml:space="preserve">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color theme="1"/>
        <rFont val="Calibri"/>
        <family val="2"/>
        <scheme val="minor"/>
      </rPr>
      <t>Secretaría de Familia</t>
    </r>
    <r>
      <rPr>
        <sz val="10"/>
        <color theme="1"/>
        <rFont val="Calibri"/>
        <family val="2"/>
        <scheme val="minor"/>
      </rPr>
      <t xml:space="preserve">: La prevalencia de consumo de sustancias psicoactivas último año en escolares es del  6,8% según fuente de verificación.
</t>
    </r>
    <r>
      <rPr>
        <b/>
        <sz val="10"/>
        <color theme="1"/>
        <rFont val="Calibri"/>
        <family val="2"/>
        <scheme val="minor"/>
      </rPr>
      <t>Secretaría de Educación</t>
    </r>
    <r>
      <rPr>
        <sz val="10"/>
        <color theme="1"/>
        <rFont val="Calibri"/>
        <family val="2"/>
        <scheme val="minor"/>
      </rPr>
      <t>: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t>
    </r>
  </si>
  <si>
    <r>
      <rPr>
        <b/>
        <sz val="10"/>
        <color theme="1"/>
        <rFont val="Calibri"/>
        <family val="2"/>
        <scheme val="minor"/>
      </rPr>
      <t xml:space="preserve">Indeportes: </t>
    </r>
    <r>
      <rPr>
        <sz val="10"/>
        <color theme="1"/>
        <rFont val="Calibri"/>
        <family val="2"/>
        <scheme val="minor"/>
      </rPr>
      <t xml:space="preserve">En respuesta a la Ordenanza 026 del 18 de diciembre del 2020 se llevaron a cabo los Juegos Deportivos Departamentales y Para Departamentales 2022, donde se inscribieron 1694 deportistas compitiendo en 20 deportes convencionales y 8 adaptados, los municipios de Circasia, Montenegro, Calarcá y Córdoba recibieron a los deportistas en la fase zonal y en la capital Quindiana se disputó la fase final dejando como campeón a Armenia con 189 medallas, la Tebaida en el segundo puesto con 96 medallas y Quimbaya tercer puesto con 36.
</t>
    </r>
    <r>
      <rPr>
        <b/>
        <sz val="10"/>
        <color theme="1"/>
        <rFont val="Calibri"/>
        <family val="2"/>
        <scheme val="minor"/>
      </rPr>
      <t>Alcaldía de Filandia:</t>
    </r>
    <r>
      <rPr>
        <sz val="10"/>
        <color theme="1"/>
        <rFont val="Calibri"/>
        <family val="2"/>
        <scheme val="minor"/>
      </rPr>
      <t xml:space="preserve"> 3 jóvenes con logros deportivos en eventos internacionales, de los cuales uno pertenece a sector de discapacidad. 
</t>
    </r>
    <r>
      <rPr>
        <b/>
        <sz val="10"/>
        <color theme="1"/>
        <rFont val="Calibri"/>
        <family val="2"/>
        <scheme val="minor"/>
      </rPr>
      <t>Alcaldía la Tebaida:</t>
    </r>
    <r>
      <rPr>
        <sz val="10"/>
        <color theme="1"/>
        <rFont val="Calibri"/>
        <family val="2"/>
        <scheme val="minor"/>
      </rPr>
      <t xml:space="preserve"> en el mes de julio se contó con 56 jóvenes para representar al Municipio en los juegos Intercolegiados del Departamento.
</t>
    </r>
  </si>
  <si>
    <r>
      <rPr>
        <b/>
        <sz val="10"/>
        <color theme="1"/>
        <rFont val="Calibri"/>
        <family val="2"/>
        <scheme val="minor"/>
      </rPr>
      <t>Indeportes:</t>
    </r>
    <r>
      <rPr>
        <sz val="10"/>
        <color theme="1"/>
        <rFont val="Calibri"/>
        <family val="2"/>
        <scheme val="minor"/>
      </rPr>
      <t xml:space="preserve"> Se realizó asistencia técnica a 500 deportistas de reserva y altos logros deportivas en las líneas metodológica, jurídica y biomédica a niños y niñas talentos deportivos en diferentes disciplinas deportivas.</t>
    </r>
  </si>
  <si>
    <r>
      <t xml:space="preserve">Indeportes: </t>
    </r>
    <r>
      <rPr>
        <sz val="10"/>
        <color theme="1"/>
        <rFont val="Calibri"/>
        <family val="2"/>
        <scheme val="minor"/>
      </rPr>
      <t>5 deportes no convencionales apoyados.</t>
    </r>
    <r>
      <rPr>
        <b/>
        <sz val="10"/>
        <color theme="1"/>
        <rFont val="Calibri"/>
        <family val="2"/>
        <scheme val="minor"/>
      </rPr>
      <t xml:space="preserve">
Alcaldía de La Tebaida: </t>
    </r>
    <r>
      <rPr>
        <sz val="10"/>
        <color theme="1"/>
        <rFont val="Calibri"/>
        <family val="2"/>
        <scheme val="minor"/>
      </rPr>
      <t>patinaje y levantamiento de pesas</t>
    </r>
    <r>
      <rPr>
        <b/>
        <sz val="10"/>
        <color theme="1"/>
        <rFont val="Calibri"/>
        <family val="2"/>
        <scheme val="minor"/>
      </rPr>
      <t>.</t>
    </r>
  </si>
  <si>
    <r>
      <t>Secretaria de Turismo, Industria y Comercio:</t>
    </r>
    <r>
      <rPr>
        <sz val="10"/>
        <color theme="1"/>
        <rFont val="Calibri"/>
        <family val="2"/>
        <scheme val="minor"/>
      </rPr>
      <t xml:space="preserve"> Secretaría de Turismo Industria y Comercio: Se agotó el presupuesto en el periodo anterior.</t>
    </r>
    <r>
      <rPr>
        <b/>
        <sz val="10"/>
        <color theme="1"/>
        <rFont val="Calibri"/>
        <family val="2"/>
        <scheme val="minor"/>
      </rPr>
      <t xml:space="preserve">
Secretaría de Familia: </t>
    </r>
    <r>
      <rPr>
        <sz val="10"/>
        <color theme="1"/>
        <rFont val="Calibri"/>
        <family val="2"/>
        <scheme val="minor"/>
      </rPr>
      <t xml:space="preserve">Informa la promoción del turismo de naturaleza de aventura a través de la participación de la feria ANATO.
</t>
    </r>
    <r>
      <rPr>
        <b/>
        <sz val="10"/>
        <color theme="1"/>
        <rFont val="Calibri"/>
        <family val="2"/>
        <scheme val="minor"/>
      </rPr>
      <t xml:space="preserve">Alcaldía Salento: </t>
    </r>
    <r>
      <rPr>
        <sz val="10"/>
        <color theme="1"/>
        <rFont val="Calibri"/>
        <family val="2"/>
        <scheme val="minor"/>
      </rPr>
      <t>Actividades desarrolladas por parte del programa Cátedra de la Salentinidad hacia las instituciones educativas y población joven del municipio (Capacitación docentes y dotación material pedagógico).</t>
    </r>
    <r>
      <rPr>
        <b/>
        <sz val="10"/>
        <color theme="1"/>
        <rFont val="Calibri"/>
        <family val="2"/>
        <scheme val="minor"/>
      </rPr>
      <t xml:space="preserve">
Alcaldía de Córdoba: </t>
    </r>
    <r>
      <rPr>
        <sz val="10"/>
        <color theme="1"/>
        <rFont val="Calibri"/>
        <family val="2"/>
        <scheme val="minor"/>
      </rPr>
      <t xml:space="preserve"> En el Municipio a la fecha no existen alianzas para la promoción de turismo establecida para jóvenes, sin embargo empresas privadas como Soñarte y Café restaurante 1920, Los cainos, Café mujer  ubicadas en el municipio, fomentan  la promoción de turismo en jóvenes, buscando emplearlos en las diferentes áreas de dichas empresas. </t>
    </r>
    <r>
      <rPr>
        <b/>
        <sz val="10"/>
        <color theme="1"/>
        <rFont val="Calibri"/>
        <family val="2"/>
        <scheme val="minor"/>
      </rPr>
      <t xml:space="preserve">
Alcaldía de Calarcá: </t>
    </r>
    <r>
      <rPr>
        <sz val="10"/>
        <color theme="1"/>
        <rFont val="Calibri"/>
        <family val="2"/>
        <scheme val="minor"/>
      </rPr>
      <t xml:space="preserve">Desde la Secretaría de Desarrollo Económico, Ambiental y Comunitario se realizó con la IE Segundo Henao, jornada de socialización sobre el sector turístico del municipio en la Hacienda la Pradera.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</si>
  <si>
    <r>
      <t xml:space="preserve">   
</t>
    </r>
    <r>
      <rPr>
        <b/>
        <sz val="10"/>
        <color theme="1"/>
        <rFont val="Calibri"/>
        <family val="2"/>
        <scheme val="minor"/>
      </rPr>
      <t>Secretaría de Cultura</t>
    </r>
    <r>
      <rPr>
        <sz val="10"/>
        <color theme="1"/>
        <rFont val="Calibri"/>
        <family val="2"/>
        <scheme val="minor"/>
      </rPr>
      <t>: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 DE PROYECTOS ARTÍSTICOS Y CULTURALES EN EL DEPARTAMENTO DEL QUINDÍO AÑO 2022 Y SE DICTAN OTRAS DISPOSICIONES, ninguno de los proyectos presentados y seleccionados benefician a este tipo de población, pero si se pueden beneficiar en la ejecución de estos 1.153 jóvenes.</t>
    </r>
  </si>
  <si>
    <r>
      <rPr>
        <b/>
        <sz val="10"/>
        <color theme="1"/>
        <rFont val="Calibri"/>
        <family val="2"/>
        <scheme val="minor"/>
      </rPr>
      <t>Secretaría de Cultura:</t>
    </r>
    <r>
      <rPr>
        <sz val="10"/>
        <color theme="1"/>
        <rFont val="Calibri"/>
        <family val="2"/>
        <scheme val="minor"/>
      </rPr>
      <t xml:space="preserve"> la Secretaría de Cultura realizó proceso de formación artística en las áreas de música, danzas, teatro y artes plásticas con la población juvenil  con el apoyo de las casas de la cultura,  en los cuales hemos contado con la asistencia de 240   jóvenes en este cuarto trimestre, para un total atendido en la vigencia de 4370 jóvenes.</t>
    </r>
  </si>
  <si>
    <r>
      <rPr>
        <b/>
        <sz val="10"/>
        <color theme="1"/>
        <rFont val="Calibri"/>
        <family val="2"/>
        <scheme val="minor"/>
      </rPr>
      <t>Secretaría de Familia</t>
    </r>
    <r>
      <rPr>
        <sz val="10"/>
        <color theme="1"/>
        <rFont val="Calibri"/>
        <family val="2"/>
        <scheme val="minor"/>
      </rPr>
      <t xml:space="preserve">: Se actualizó un micro sitio en la página web de la Gobernación orientado a difundir y socializar las actividades realizadas en el marco de la implementación de la Política Pública de Juventud.
</t>
    </r>
  </si>
  <si>
    <r>
      <t xml:space="preserve">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r>
      <rPr>
        <b/>
        <sz val="10"/>
        <color theme="1"/>
        <rFont val="Calibri"/>
        <family val="2"/>
        <scheme val="minor"/>
      </rPr>
      <t>Universidad del Quindío:</t>
    </r>
    <r>
      <rPr>
        <sz val="10"/>
        <color theme="1"/>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color theme="1"/>
        <rFont val="Calibri"/>
        <family val="2"/>
        <scheme val="minor"/>
      </rPr>
      <t>Universidad EAM:</t>
    </r>
    <r>
      <rPr>
        <sz val="10"/>
        <color theme="1"/>
        <rFont val="Calibri"/>
        <family val="2"/>
        <scheme val="minor"/>
      </rPr>
      <t xml:space="preserve"> Semilleros de investigación Ponencias .
</t>
    </r>
    <r>
      <rPr>
        <b/>
        <sz val="10"/>
        <color theme="1"/>
        <rFont val="Calibri"/>
        <family val="2"/>
        <scheme val="minor"/>
      </rPr>
      <t>Secretaría de Familia:</t>
    </r>
    <r>
      <rPr>
        <sz val="10"/>
        <color theme="1"/>
        <rFont val="Calibri"/>
        <family val="2"/>
        <scheme val="minor"/>
      </rPr>
      <t xml:space="preserve">  desde la jefatura de juventud no se realizan investigaciones sobre dinámicas juveniles 
</t>
    </r>
    <r>
      <rPr>
        <b/>
        <sz val="10"/>
        <color theme="1"/>
        <rFont val="Calibri"/>
        <family val="2"/>
        <scheme val="minor"/>
      </rPr>
      <t xml:space="preserve">Universidad la Gran Colombia: </t>
    </r>
    <r>
      <rPr>
        <sz val="10"/>
        <color theme="1"/>
        <rFont val="Calibri"/>
        <family val="2"/>
        <scheme val="minor"/>
      </rPr>
      <t xml:space="preserve">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color theme="1"/>
        <rFont val="Calibri"/>
        <family val="2"/>
        <scheme val="minor"/>
      </rPr>
      <t>Secretaría del Interior:</t>
    </r>
    <r>
      <rPr>
        <sz val="10"/>
        <color theme="1"/>
        <rFont val="Calibri"/>
        <family val="2"/>
        <scheme val="minor"/>
      </rPr>
      <t xml:space="preserve"> Apoyo a investigaciones, establecimiento de alianzas con entidades de educación superior para el desarrollo de procesos  investigativos, diseño y puesta en marcha de un observatorio de Juventud.
</t>
    </r>
  </si>
  <si>
    <r>
      <t xml:space="preserve">
</t>
    </r>
    <r>
      <rPr>
        <b/>
        <sz val="10"/>
        <color theme="1"/>
        <rFont val="Calibri"/>
        <family val="2"/>
        <scheme val="minor"/>
      </rPr>
      <t xml:space="preserve">Universidad del Quindío: </t>
    </r>
    <r>
      <rPr>
        <sz val="10"/>
        <color theme="1"/>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color theme="1"/>
        <rFont val="Calibri"/>
        <family val="2"/>
        <scheme val="minor"/>
      </rPr>
      <t>Universidad San  Buenaventura</t>
    </r>
    <r>
      <rPr>
        <sz val="10"/>
        <color theme="1"/>
        <rFont val="Calibri"/>
        <family val="2"/>
        <scheme val="minor"/>
      </rPr>
      <t xml:space="preserve">: Estudiantes del colegio José Rufino centro, se beneficiaron del curso gratuito brindado por el Centro de Idiomas de la universidad de San Buenaventura  con el objetivo de mejorar e impulsar el conocimiento de una segunda lengua (inglés) y  fortalecer a lo estudiantes para las pruebas saber pro. 
</t>
    </r>
    <r>
      <rPr>
        <b/>
        <sz val="10"/>
        <color theme="1"/>
        <rFont val="Calibri"/>
        <family val="2"/>
        <scheme val="minor"/>
      </rPr>
      <t>Universidad EAM:</t>
    </r>
    <r>
      <rPr>
        <sz val="10"/>
        <color theme="1"/>
        <rFont val="Calibri"/>
        <family val="2"/>
        <scheme val="minor"/>
      </rPr>
      <t xml:space="preserve"> 2 diplomados: Diplomado en Pedagogía y Docencia con 14 estudiantes y el Diplomado en Comunicación Digital y Marketing de Contenidos: 14 estudiantes
</t>
    </r>
    <r>
      <rPr>
        <b/>
        <sz val="10"/>
        <color theme="1"/>
        <rFont val="Calibri"/>
        <family val="2"/>
        <scheme val="minor"/>
      </rPr>
      <t>Secretaría de Familia:</t>
    </r>
    <r>
      <rPr>
        <sz val="10"/>
        <color theme="1"/>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color theme="1"/>
        <rFont val="Calibri"/>
        <family val="2"/>
        <scheme val="minor"/>
      </rPr>
      <t>Universidad la Gran Colombia:</t>
    </r>
    <r>
      <rPr>
        <sz val="10"/>
        <color theme="1"/>
        <rFont val="Calibri"/>
        <family val="2"/>
        <scheme val="minor"/>
      </rPr>
      <t xml:space="preserve"> 1. Diplomado en Planificación Participativa y Estratégica, el cual ha contado con la participación de 6 jóvenes - Consejeros Territoriales de Planeación.
</t>
    </r>
    <r>
      <rPr>
        <b/>
        <sz val="10"/>
        <color theme="1"/>
        <rFont val="Calibri"/>
        <family val="2"/>
        <scheme val="minor"/>
      </rPr>
      <t>Secretaría del Interior:</t>
    </r>
    <r>
      <rPr>
        <sz val="10"/>
        <color theme="1"/>
        <rFont val="Calibri"/>
        <family val="2"/>
        <scheme val="minor"/>
      </rPr>
      <t xml:space="preserve"> Realización de cursos, seminarios y diplomados, establecimiento de alianzas con instituciones de educación superior para la oferta de programas relacionados con juventud.
</t>
    </r>
    <r>
      <rPr>
        <b/>
        <sz val="10"/>
        <color theme="1"/>
        <rFont val="Calibri"/>
        <family val="2"/>
        <scheme val="minor"/>
      </rPr>
      <t xml:space="preserve"> Secretaría de Educación:</t>
    </r>
    <r>
      <rPr>
        <sz val="10"/>
        <color theme="1"/>
        <rFont val="Calibri"/>
        <family val="2"/>
        <scheme val="minor"/>
      </rPr>
      <t>Se continúa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r>
  </si>
  <si>
    <r>
      <t xml:space="preserve">
</t>
    </r>
    <r>
      <rPr>
        <b/>
        <sz val="10"/>
        <color theme="1"/>
        <rFont val="Calibri"/>
        <family val="2"/>
        <scheme val="minor"/>
      </rPr>
      <t>Secretaría de Familia:</t>
    </r>
    <r>
      <rPr>
        <sz val="10"/>
        <color theme="1"/>
        <rFont val="Calibri"/>
        <family val="2"/>
        <scheme val="minor"/>
      </rPr>
      <t xml:space="preserve"> La Secretaría de Familia reporta la existencia de 11 espacios de participación los cuales tienen dentro de sus funciones hacer control social a lo público.
</t>
    </r>
  </si>
  <si>
    <r>
      <rPr>
        <b/>
        <sz val="10"/>
        <color theme="1"/>
        <rFont val="Calibri"/>
        <family val="2"/>
        <scheme val="minor"/>
      </rPr>
      <t xml:space="preserve">Secretaría de Planeación: </t>
    </r>
    <r>
      <rPr>
        <sz val="10"/>
        <color theme="1"/>
        <rFont val="Calibri"/>
        <family val="2"/>
        <scheme val="minor"/>
      </rPr>
      <t xml:space="preserve">La Secretaría de Planeación coordinó  durante el primer y segundo trimestre, acciones a través de Comité de Aprestamiento la Rendición Pública de Cuentas de la Administración Departamental vigencia 2021 que se llevó a cabo el día 29 de junio de 2022,  en cumplimiento de las  metas del  Plan de Desarrollo 2020-2023 , por medio de las diferentes líneas estratégicas ( Inclusión Social y Equidad, Productividad y Competitividad, Territorio, Ambiente y Desarrollo Sostenible y Liderazgo Gobernabilidad y Transparencia, en la cual se encuentran descritos logros  de la política Pública  de juventud.
</t>
    </r>
    <r>
      <rPr>
        <b/>
        <sz val="10"/>
        <color theme="1"/>
        <rFont val="Calibri"/>
        <family val="2"/>
        <scheme val="minor"/>
      </rPr>
      <t>Secretaría de Familia:</t>
    </r>
    <r>
      <rPr>
        <sz val="10"/>
        <color theme="1"/>
        <rFont val="Calibri"/>
        <family val="2"/>
        <scheme val="minor"/>
      </rPr>
      <t xml:space="preserve"> Se realizó el seguimiento cuarto trimestre 2022, correspondiente a la implementación de la Política Pública de Juventud.
</t>
    </r>
  </si>
  <si>
    <r>
      <rPr>
        <b/>
        <sz val="10"/>
        <color theme="1"/>
        <rFont val="Calibri"/>
        <family val="2"/>
        <scheme val="minor"/>
      </rPr>
      <t>Alcaldía de Salento</t>
    </r>
    <r>
      <rPr>
        <sz val="10"/>
        <color theme="1"/>
        <rFont val="Calibri"/>
        <family val="2"/>
        <scheme val="minor"/>
      </rPr>
      <t xml:space="preserve">: Aprobación de recursos por valor de $5.000.000, a través del programa Planta para el mejoramiento de la Casa de la Juventud
</t>
    </r>
    <r>
      <rPr>
        <b/>
        <sz val="10"/>
        <color theme="1"/>
        <rFont val="Calibri"/>
        <family val="2"/>
        <scheme val="minor"/>
      </rPr>
      <t xml:space="preserve">Alcaldía de Buenavista: </t>
    </r>
    <r>
      <rPr>
        <sz val="10"/>
        <color theme="1"/>
        <rFont val="Calibri"/>
        <family val="2"/>
        <scheme val="minor"/>
      </rPr>
      <t xml:space="preserve">No se cuenta con casa de la juventud en el municipio.
</t>
    </r>
    <r>
      <rPr>
        <b/>
        <sz val="10"/>
        <color theme="1"/>
        <rFont val="Calibri"/>
        <family val="2"/>
        <scheme val="minor"/>
      </rPr>
      <t xml:space="preserve">Alcaldía de Génova: </t>
    </r>
    <r>
      <rPr>
        <sz val="10"/>
        <color theme="1"/>
        <rFont val="Calibri"/>
        <family val="2"/>
        <scheme val="minor"/>
      </rPr>
      <t xml:space="preserve">No se cuenta con casa de la juventud en el municipio.
</t>
    </r>
    <r>
      <rPr>
        <b/>
        <sz val="10"/>
        <color theme="1"/>
        <rFont val="Calibri"/>
        <family val="2"/>
        <scheme val="minor"/>
      </rPr>
      <t>Alcaldía Quimbaya:</t>
    </r>
    <r>
      <rPr>
        <sz val="10"/>
        <color theme="1"/>
        <rFont val="Calibri"/>
        <family val="2"/>
        <scheme val="minor"/>
      </rPr>
      <t xml:space="preserve"> En el municipio de Quimbaya no existe casa de la juventud.
</t>
    </r>
    <r>
      <rPr>
        <b/>
        <sz val="10"/>
        <color theme="1"/>
        <rFont val="Calibri"/>
        <family val="2"/>
        <scheme val="minor"/>
      </rPr>
      <t xml:space="preserve">Alcaldía de Tebaida: </t>
    </r>
    <r>
      <rPr>
        <sz val="10"/>
        <color theme="1"/>
        <rFont val="Calibri"/>
        <family val="2"/>
        <scheme val="minor"/>
      </rPr>
      <t xml:space="preserve">en este trimestre la administración Municipal, conto con la elaboración de 2 nuevos murales en la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1 casa de la juventud funcionando en el barrio 7 de agosto con la estrategia "parche pa todos" 
</t>
    </r>
    <r>
      <rPr>
        <b/>
        <sz val="10"/>
        <color theme="1"/>
        <rFont val="Calibri"/>
        <family val="2"/>
        <scheme val="minor"/>
      </rPr>
      <t xml:space="preserve">Alcaldía Montenegro: </t>
    </r>
    <r>
      <rPr>
        <sz val="10"/>
        <color theme="1"/>
        <rFont val="Calibri"/>
        <family val="2"/>
        <scheme val="minor"/>
      </rPr>
      <t xml:space="preserve">No existe casa de la juventud en el municipio actualmente no obstante, se gestionan espacios a los jóvenes para el desarrollo de sus encuentros y actividades en la casa de la cultura del municipio y el teatro esmeralda .
</t>
    </r>
    <r>
      <rPr>
        <b/>
        <sz val="10"/>
        <color theme="1"/>
        <rFont val="Calibri"/>
        <family val="2"/>
        <scheme val="minor"/>
      </rPr>
      <t>Alcaldía de Filandia:</t>
    </r>
    <r>
      <rPr>
        <sz val="10"/>
        <color theme="1"/>
        <rFont val="Calibri"/>
        <family val="2"/>
        <scheme val="minor"/>
      </rPr>
      <t xml:space="preserve"> El municipio de Filandia cuenta con la casa de la cultura , la cual maneja diversos grupos infantiles y juveniles. </t>
    </r>
    <r>
      <rPr>
        <b/>
        <sz val="10"/>
        <color theme="1"/>
        <rFont val="Calibri"/>
        <family val="2"/>
        <scheme val="minor"/>
      </rPr>
      <t xml:space="preserve">
Alcaldía Pijao:</t>
    </r>
    <r>
      <rPr>
        <sz val="10"/>
        <color theme="1"/>
        <rFont val="Calibri"/>
        <family val="2"/>
        <scheme val="minor"/>
      </rPr>
      <t xml:space="preserve"> se cuenta con casa de la juventud, en la que los jóvenes realizan sus distintas actividades, se le han hecho mejoras gracias a la ayuda de la Secretaría de familia y otros entes.
</t>
    </r>
    <r>
      <rPr>
        <b/>
        <sz val="10"/>
        <color theme="1"/>
        <rFont val="Calibri"/>
        <family val="2"/>
        <scheme val="minor"/>
      </rPr>
      <t>Alcaldía de Calarcá:</t>
    </r>
    <r>
      <rPr>
        <sz val="10"/>
        <color theme="1"/>
        <rFont val="Calibri"/>
        <family val="2"/>
        <scheme val="minor"/>
      </rPr>
      <t xml:space="preserve"> 1 casa de la juventud ubicada en la antigua escuela Matilde Buriticá, los jóvenes cuentan con 100 butacas, tres mesas, una cabina de sonido y un video beam, para apoyo en sus actividades.
</t>
    </r>
    <r>
      <rPr>
        <b/>
        <sz val="10"/>
        <color theme="1"/>
        <rFont val="Calibri"/>
        <family val="2"/>
        <scheme val="minor"/>
      </rPr>
      <t>Secretaría de Familia:</t>
    </r>
    <r>
      <rPr>
        <sz val="10"/>
        <color theme="1"/>
        <rFont val="Calibri"/>
        <family val="2"/>
        <scheme val="minor"/>
      </rPr>
      <t xml:space="preserve"> Reporta que en los municipios de Buenavista, Génova, Quimbaya, Circasia, Montenegro, Filandia y Córdoba no ceuntan con Casa de la Juventud. 
</t>
    </r>
    <r>
      <rPr>
        <b/>
        <sz val="10"/>
        <color theme="1"/>
        <rFont val="Calibri"/>
        <family val="2"/>
        <scheme val="minor"/>
      </rPr>
      <t xml:space="preserve">Alcaldía de Córdoba: </t>
    </r>
    <r>
      <rPr>
        <sz val="10"/>
        <color theme="1"/>
        <rFont val="Calibri"/>
        <family val="2"/>
        <scheme val="minor"/>
      </rPr>
      <t xml:space="preserve"> En el municipio no se cuenta con la casa de la Juventud, sin embargo se habilitaron las instalaciones de la casa de la cultura y el Honorable Concejo municipal para la realización de las reuniones juveniles y siempre que sea solicitado un espacio para sus actividades se busca el mas idóneo  para el desarrollo de las mismas.  
</t>
    </r>
  </si>
  <si>
    <r>
      <rPr>
        <b/>
        <sz val="10"/>
        <color theme="1"/>
        <rFont val="Calibri"/>
        <family val="2"/>
        <scheme val="minor"/>
      </rPr>
      <t>Secretaría de Familia:</t>
    </r>
    <r>
      <rPr>
        <sz val="10"/>
        <color theme="1"/>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color theme="1"/>
        <rFont val="Calibri"/>
        <family val="2"/>
        <scheme val="minor"/>
      </rPr>
      <t>Alcaldía de Calarcá:</t>
    </r>
    <r>
      <rPr>
        <sz val="10"/>
        <color theme="1"/>
        <rFont val="Calibri"/>
        <family val="2"/>
        <scheme val="minor"/>
      </rPr>
      <t xml:space="preserve"> Por medio de la Resolución N° 943 DEL 18 de octubre del 2022 "Por medio de la cual se adopta el procedimiento para la posesión y operación del Consejo Municipal de Juventudes del municipio de Calarcá-Quindío"; para un total de 17 integrantes. Así mismo en el mes de Diciembre se realiza entrega de 17 entradas al parque del café para el fortalecimiento de las instancias del consejo y plataforma de juventudes.</t>
    </r>
  </si>
  <si>
    <r>
      <rPr>
        <b/>
        <sz val="10"/>
        <color theme="1"/>
        <rFont val="Calibri"/>
        <family val="2"/>
        <scheme val="minor"/>
      </rPr>
      <t xml:space="preserve">
Alcaldía Córdoba:</t>
    </r>
    <r>
      <rPr>
        <sz val="10"/>
        <color theme="1"/>
        <rFont val="Calibri"/>
        <family val="2"/>
        <scheme val="minor"/>
      </rPr>
      <t xml:space="preserve"> 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color theme="1"/>
        <rFont val="Calibri"/>
        <family val="2"/>
        <scheme val="minor"/>
      </rPr>
      <t>Secretaría de Familia:</t>
    </r>
    <r>
      <rPr>
        <sz val="10"/>
        <color theme="1"/>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</si>
  <si>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rPr>
        <b/>
        <sz val="10"/>
        <color theme="1"/>
        <rFont val="Calibri"/>
        <family val="2"/>
        <scheme val="minor"/>
      </rPr>
      <t>Secretaría de Turismo Industria y Comercio:</t>
    </r>
    <r>
      <rPr>
        <sz val="10"/>
        <color theme="1"/>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color theme="1"/>
        <rFont val="Calibri"/>
        <family val="2"/>
        <scheme val="minor"/>
      </rPr>
      <t xml:space="preserve">SENA: </t>
    </r>
    <r>
      <rPr>
        <sz val="10"/>
        <color theme="1"/>
        <rFont val="Calibri"/>
        <family val="2"/>
        <scheme val="minor"/>
      </rPr>
      <t xml:space="preserve">Hasta la fecha se han formado 20.286 aprendices.
</t>
    </r>
    <r>
      <rPr>
        <b/>
        <sz val="10"/>
        <color theme="1"/>
        <rFont val="Calibri"/>
        <family val="2"/>
        <scheme val="minor"/>
      </rPr>
      <t>Nota:</t>
    </r>
    <r>
      <rPr>
        <sz val="10"/>
        <color theme="1"/>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</si>
  <si>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color theme="1"/>
        <rFont val="Calibri"/>
        <family val="2"/>
        <scheme val="minor"/>
      </rPr>
      <t xml:space="preserve">
Cámara de Comercio de Armenia y del Quindío:  </t>
    </r>
    <r>
      <rPr>
        <sz val="10"/>
        <color theme="1"/>
        <rFont val="Calibri"/>
        <family val="2"/>
        <scheme val="minor"/>
      </rPr>
      <t xml:space="preserve">La tasa de desempleo juvenil en la ciudad de Armenia es de 20,5 según el DANE en su último informe publicado
</t>
    </r>
    <r>
      <rPr>
        <b/>
        <sz val="10"/>
        <color theme="1"/>
        <rFont val="Calibri"/>
        <family val="2"/>
        <scheme val="minor"/>
      </rPr>
      <t xml:space="preserve">Secretaría Turismo, Industria y Comercio: </t>
    </r>
    <r>
      <rPr>
        <sz val="10"/>
        <color theme="1"/>
        <rFont val="Calibri"/>
        <family val="2"/>
        <scheme val="minor"/>
      </rPr>
      <t>Ciento tres (103) iniciativas vinculadas a proyectos innovadores y de emprendimiento.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t>
    </r>
    <r>
      <rPr>
        <b/>
        <sz val="10"/>
        <color theme="1"/>
        <rFont val="Calibri"/>
        <family val="2"/>
        <scheme val="minor"/>
      </rPr>
      <t xml:space="preserve">
Secretaría de Agricultura:</t>
    </r>
    <r>
      <rPr>
        <sz val="10"/>
        <color theme="1"/>
        <rFont val="Calibri"/>
        <family val="2"/>
        <scheme val="minor"/>
      </rPr>
      <t xml:space="preserve">  En el marco de la ejecución del proyecto de regalías, para la implementación de un modelo innovador de café diferenciado se dio alcance a un proyecto de investigación y CTEL, para la comuidad cafetera del Departamento del Quindío, impactando 705 jóvenes de 325 mujeres y 370 hombres
</t>
    </r>
    <r>
      <rPr>
        <b/>
        <sz val="10"/>
        <color theme="1"/>
        <rFont val="Calibri"/>
        <family val="2"/>
        <scheme val="minor"/>
      </rPr>
      <t xml:space="preserve">Alcaldía de Filandia: </t>
    </r>
    <r>
      <rPr>
        <sz val="10"/>
        <color theme="1"/>
        <rFont val="Calibri"/>
        <family val="2"/>
        <scheme val="minor"/>
      </rPr>
      <t xml:space="preserve">55% de jóvenes vinculados laboralmente.
</t>
    </r>
    <r>
      <rPr>
        <b/>
        <sz val="10"/>
        <color theme="1"/>
        <rFont val="Calibri"/>
        <family val="2"/>
        <scheme val="minor"/>
      </rPr>
      <t xml:space="preserve">Alcaldía de Córdoba: </t>
    </r>
    <r>
      <rPr>
        <sz val="10"/>
        <color theme="1"/>
        <rFont val="Calibri"/>
        <family val="2"/>
        <scheme val="minor"/>
      </rPr>
      <t>Esta información no puede ser reportada en porcentaje (%), sin embargo por parte del municipio a través de la alcaldía municipal ha realizado 2 ferias de empleo con el apoyo y acompañamiento de la Cámara de Comercio del Quindío y el Sena Regional Quindío  a través de su oficina de empleo.</t>
    </r>
  </si>
  <si>
    <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Universidad del Quindío: </t>
    </r>
    <r>
      <rPr>
        <sz val="10"/>
        <color theme="1"/>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Universidad La Gran Colombia:</t>
    </r>
    <r>
      <rPr>
        <sz val="10"/>
        <color theme="1"/>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color theme="1"/>
        <rFont val="Calibri"/>
        <family val="2"/>
        <scheme val="minor"/>
      </rPr>
      <t xml:space="preserve">Universidad EAM: </t>
    </r>
    <r>
      <rPr>
        <sz val="10"/>
        <color theme="1"/>
        <rFont val="Calibri"/>
        <family val="2"/>
        <scheme val="minor"/>
      </rPr>
      <t xml:space="preserve">Articulación con las políticas de inclusión
</t>
    </r>
    <r>
      <rPr>
        <b/>
        <sz val="10"/>
        <color theme="1"/>
        <rFont val="Calibri"/>
        <family val="2"/>
        <scheme val="minor"/>
      </rPr>
      <t xml:space="preserve">Secretaría de Turismo Industria y Comercio: </t>
    </r>
    <r>
      <rPr>
        <sz val="10"/>
        <color theme="1"/>
        <rFont val="Calibri"/>
        <family val="2"/>
        <scheme val="minor"/>
      </rPr>
      <t xml:space="preserve">Se agotó el presupuesto en el periodo anterior.
</t>
    </r>
    <r>
      <rPr>
        <b/>
        <sz val="10"/>
        <color theme="1"/>
        <rFont val="Calibri"/>
        <family val="2"/>
        <scheme val="minor"/>
      </rPr>
      <t>Secretaría de Agricultura:</t>
    </r>
    <r>
      <rPr>
        <sz val="10"/>
        <color theme="1"/>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color theme="1"/>
        <rFont val="Calibri"/>
        <family val="2"/>
        <scheme val="minor"/>
      </rPr>
      <t>Secretaría de Educación:</t>
    </r>
    <r>
      <rPr>
        <sz val="10"/>
        <color theme="1"/>
        <rFont val="Calibri"/>
        <family val="2"/>
        <scheme val="minor"/>
      </rPr>
      <t xml:space="preserve"> El 13,36%  representa el porcentaje de jóvenes matriculados en la educación media  que participan en proyectos de innovación y emprendimiento en el sector rural. Esta acción se enmarca en la estrategia de doble titulación mediante el convenio interinstitucional 004 de 2016 con el SENA, con la formulación de proyectos productivos innovadores, cumpliendo así con la etapa de certificación para el técnico laboral en cada una de las especialidades de las Instituciones Educativas. Se estima pago anual para 666 estudiantes rurales  que realizan proyectos productivos o emprendimientos innovadores en su etapa práctica, puesto que para su formación técnica es requisito indispensable. Se realiza pago anual de $32.606.000 en promedio para cubir la afiliación a riegos laborales de los estudiantes que realizan sus proyectos productivos y de emprendimiento en el sector rural.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</si>
  <si>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y a través del contrato interadministrativo CO1.PCCNTR.2564825 de 2021, y una vez se dio la aprobación de la Comisión Técnica del Fondo Emprender se viabilizaron 18 planeas de negocio, dentro de los cuales estuvo el de  ALEJANDRO JIMÉNEZ TORO de 23 años de edad, propietario del emprendimiento APIS NATURVIDA, del sector Pecuario el cual genera 4 empleos directos, del Municipio de Génova  por valor de $79.914.452 al joven.
</t>
    </r>
    <r>
      <rPr>
        <b/>
        <sz val="10"/>
        <color theme="1"/>
        <rFont val="Calibri"/>
        <family val="2"/>
        <scheme val="minor"/>
      </rPr>
      <t xml:space="preserve">Universidad del Quindío: </t>
    </r>
    <r>
      <rPr>
        <sz val="10"/>
        <color theme="1"/>
        <rFont val="Calibri"/>
        <family val="2"/>
        <scheme val="minor"/>
      </rPr>
      <t xml:space="preserve">No se tienen proyectos que reciban estímulo financiero ya que desde la Universidad los que se apoyan se hacen con recursos en especie.
</t>
    </r>
    <r>
      <rPr>
        <b/>
        <sz val="10"/>
        <color theme="1"/>
        <rFont val="Calibri"/>
        <family val="2"/>
        <scheme val="minor"/>
      </rPr>
      <t>Universidad EAM:</t>
    </r>
    <r>
      <rPr>
        <sz val="10"/>
        <color theme="1"/>
        <rFont val="Calibri"/>
        <family val="2"/>
        <scheme val="minor"/>
      </rPr>
      <t xml:space="preserve"> Área de proyectos especiales.
</t>
    </r>
    <r>
      <rPr>
        <b/>
        <sz val="10"/>
        <color theme="1"/>
        <rFont val="Calibri"/>
        <family val="2"/>
        <scheme val="minor"/>
      </rPr>
      <t>Universidad La Gran Colombia:</t>
    </r>
    <r>
      <rPr>
        <sz val="10"/>
        <color theme="1"/>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</si>
  <si>
    <r>
      <t xml:space="preserve">
</t>
    </r>
    <r>
      <rPr>
        <b/>
        <sz val="10"/>
        <color theme="1"/>
        <rFont val="Calibri"/>
        <family val="2"/>
        <scheme val="minor"/>
      </rPr>
      <t>Alcaldía Buenavista:</t>
    </r>
    <r>
      <rPr>
        <sz val="10"/>
        <color theme="1"/>
        <rFont val="Calibri"/>
        <family val="2"/>
        <scheme val="minor"/>
      </rPr>
      <t xml:space="preserve"> No se registran datos en el tercer trimestre de 2022.
</t>
    </r>
    <r>
      <rPr>
        <b/>
        <sz val="10"/>
        <color theme="1"/>
        <rFont val="Calibri"/>
        <family val="2"/>
        <scheme val="minor"/>
      </rPr>
      <t xml:space="preserve">Alcaldía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Teniendo en cuenta las estadísticas de seguridad de la Estación de Policía, Córdoba cuenta con un 0% de homicidios en el municipio. 
</t>
    </r>
    <r>
      <rPr>
        <b/>
        <sz val="10"/>
        <color theme="1"/>
        <rFont val="Calibri"/>
        <family val="2"/>
        <scheme val="minor"/>
      </rPr>
      <t xml:space="preserve">Secretaría de Familia: </t>
    </r>
    <r>
      <rPr>
        <sz val="10"/>
        <color theme="1"/>
        <rFont val="Calibri"/>
        <family val="2"/>
        <scheme val="minor"/>
      </rPr>
      <t xml:space="preserve">Desde la Jefatura de Juventud, e brindan talleres formativos donde de proporcionan herramientas para el diario vivir de los jóvenes.
</t>
    </r>
    <r>
      <rPr>
        <b/>
        <sz val="10"/>
        <color theme="1"/>
        <rFont val="Calibri"/>
        <family val="2"/>
        <scheme val="minor"/>
      </rPr>
      <t xml:space="preserve">Alcaldía Filandia: </t>
    </r>
    <r>
      <rPr>
        <sz val="10"/>
        <color theme="1"/>
        <rFont val="Calibri"/>
        <family val="2"/>
        <scheme val="minor"/>
      </rPr>
      <t xml:space="preserve"> El municipio de Filandia no cuenta con homicidios desde hace mas de 5 años.
</t>
    </r>
    <r>
      <rPr>
        <b/>
        <sz val="10"/>
        <color theme="1"/>
        <rFont val="Calibri"/>
        <family val="2"/>
        <scheme val="minor"/>
      </rPr>
      <t>Secretaría del Interior:</t>
    </r>
    <r>
      <rPr>
        <sz val="10"/>
        <color theme="1"/>
        <rFont val="Calibri"/>
        <family val="2"/>
        <scheme val="minor"/>
      </rPr>
      <t xml:space="preserve"> La tasa actual es de  56,78 por cada 100 mil jóvenes según informe de página JUACO, 2021.
</t>
    </r>
    <r>
      <rPr>
        <b/>
        <sz val="10"/>
        <color theme="1"/>
        <rFont val="Calibri"/>
        <family val="2"/>
        <scheme val="minor"/>
      </rPr>
      <t/>
    </r>
  </si>
  <si>
    <r>
      <t xml:space="preserve">
</t>
    </r>
    <r>
      <rPr>
        <b/>
        <sz val="10"/>
        <color theme="1"/>
        <rFont val="Calibri"/>
        <family val="2"/>
        <scheme val="minor"/>
      </rPr>
      <t xml:space="preserve">Secretaría de Salud: </t>
    </r>
    <r>
      <rPr>
        <sz val="10"/>
        <color theme="1"/>
        <rFont val="Calibri"/>
        <family val="2"/>
        <scheme val="minor"/>
      </rPr>
      <t xml:space="preserve">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color theme="1"/>
        <rFont val="Calibri"/>
        <family val="2"/>
        <scheme val="minor"/>
      </rPr>
      <t xml:space="preserve">Secretaría de Familia: </t>
    </r>
    <r>
      <rPr>
        <sz val="10"/>
        <color theme="1"/>
        <rFont val="Calibri"/>
        <family val="2"/>
        <scheme val="minor"/>
      </rPr>
      <t xml:space="preserve">el número de embarazos en menores de 20 años es de 4358 según fuente de verificación. 
</t>
    </r>
    <r>
      <rPr>
        <b/>
        <sz val="10"/>
        <color theme="1"/>
        <rFont val="Calibri"/>
        <family val="2"/>
        <scheme val="minor"/>
      </rPr>
      <t>Alcaldía Buenavista:</t>
    </r>
    <r>
      <rPr>
        <sz val="10"/>
        <color theme="1"/>
        <rFont val="Calibri"/>
        <family val="2"/>
        <scheme val="minor"/>
      </rPr>
      <t xml:space="preserve"> 5 mujeres menores de 20 años en estado de embarazo.
</t>
    </r>
    <r>
      <rPr>
        <b/>
        <sz val="10"/>
        <color theme="1"/>
        <rFont val="Calibri"/>
        <family val="2"/>
        <scheme val="minor"/>
      </rPr>
      <t>Alcaldía Filandia:</t>
    </r>
    <r>
      <rPr>
        <sz val="10"/>
        <color theme="1"/>
        <rFont val="Calibri"/>
        <family val="2"/>
        <scheme val="minor"/>
      </rPr>
      <t xml:space="preserve"> No se cuenta con  el dato.
</t>
    </r>
    <r>
      <rPr>
        <b/>
        <sz val="10"/>
        <color theme="1"/>
        <rFont val="Calibri"/>
        <family val="2"/>
        <scheme val="minor"/>
      </rPr>
      <t xml:space="preserve">Alcaldía Armenia: </t>
    </r>
    <r>
      <rPr>
        <sz val="10"/>
        <color theme="1"/>
        <rFont val="Calibri"/>
        <family val="2"/>
        <scheme val="minor"/>
      </rPr>
      <t xml:space="preserve">Se implementan </t>
    </r>
    <r>
      <rPr>
        <b/>
        <sz val="10"/>
        <color theme="1"/>
        <rFont val="Calibri"/>
        <family val="2"/>
        <scheme val="minor"/>
      </rPr>
      <t>e</t>
    </r>
    <r>
      <rPr>
        <sz val="10"/>
        <color theme="1"/>
        <rFont val="Calibri"/>
        <family val="2"/>
        <scheme val="minor"/>
      </rPr>
      <t xml:space="preserve">strategias de garantía de derechos de los jóvenes a través de actividades en prevención de riesgos, para un total de 1102 jóvenes impactados .
</t>
    </r>
    <r>
      <rPr>
        <b/>
        <sz val="10"/>
        <color theme="1"/>
        <rFont val="Calibri"/>
        <family val="2"/>
        <scheme val="minor"/>
      </rPr>
      <t xml:space="preserve">Alcaldía de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Montenegro:</t>
    </r>
    <r>
      <rPr>
        <sz val="10"/>
        <color theme="1"/>
        <rFont val="Calibri"/>
        <family val="2"/>
        <scheme val="minor"/>
      </rPr>
      <t xml:space="preserve"> Se realiza campaña en donde se promocionó con la comunidad los derechos sexuales y reproductivos en el cual se hace énfasis en los derechos que tienen las parejas de decidir como planificar  tener una familia.
</t>
    </r>
    <r>
      <rPr>
        <b/>
        <sz val="10"/>
        <color theme="1"/>
        <rFont val="Calibri"/>
        <family val="2"/>
        <scheme val="minor"/>
      </rPr>
      <t>Alcaldía de Calarcá</t>
    </r>
    <r>
      <rPr>
        <sz val="10"/>
        <color theme="1"/>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color theme="1"/>
        <rFont val="Calibri"/>
        <family val="2"/>
        <scheme val="minor"/>
      </rPr>
      <t xml:space="preserve">ICBF: </t>
    </r>
    <r>
      <rPr>
        <sz val="10"/>
        <color theme="1"/>
        <rFont val="Calibri"/>
        <family val="2"/>
        <scheme val="minor"/>
      </rPr>
      <t xml:space="preserve">Formación de Agentes en Derechos Sexuales y Reproductivos*Fortalecimiento del PESCC*Acompañamiento Escuela de Padres.
</t>
    </r>
    <r>
      <rPr>
        <b/>
        <sz val="10"/>
        <color theme="1"/>
        <rFont val="Calibri"/>
        <family val="2"/>
        <scheme val="minor"/>
      </rPr>
      <t>Alcaldía Quimbaya:</t>
    </r>
    <r>
      <rPr>
        <sz val="10"/>
        <color theme="1"/>
        <rFont val="Calibri"/>
        <family val="2"/>
        <scheme val="minor"/>
      </rPr>
      <t xml:space="preserve"> En el municipio de Quimbaya se conmemoró la semana andina para la prevención del embarazo en la adolescencia.</t>
    </r>
  </si>
  <si>
    <r>
      <rPr>
        <b/>
        <sz val="10"/>
        <color theme="1"/>
        <rFont val="Calibri"/>
        <family val="2"/>
        <scheme val="minor"/>
      </rPr>
      <t>Secretaría Familia:</t>
    </r>
    <r>
      <rPr>
        <sz val="10"/>
        <color theme="1"/>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</si>
  <si>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t xml:space="preserve">Secretaría de Familia: Reporta que los doce municipios del Quindío, han realizado las asambleas juveniles, conforme al estatuto de ciudadanía juvenil. Y COORDINÓ LA REALIZACIÓN DE LA ASAMBLEA DE JUVENTUD  DEPARTAMENTAL EN EL RECINTO DE LA ASAMBLEA DEPARTAMENTAL EN EL MES DE DICIEMBRE.  Alcaldía de Buenavista: </t>
    </r>
    <r>
      <rPr>
        <sz val="10"/>
        <color theme="1"/>
        <rFont val="Calibri"/>
        <family val="2"/>
        <scheme val="minor"/>
      </rPr>
      <t>Se realizó Asamblea de Juventud en el mes de Junio de 2022.</t>
    </r>
    <r>
      <rPr>
        <b/>
        <sz val="10"/>
        <color theme="1"/>
        <rFont val="Calibri"/>
        <family val="2"/>
        <scheme val="minor"/>
      </rPr>
      <t xml:space="preserve">
Alcaldía de Salento: </t>
    </r>
    <r>
      <rPr>
        <sz val="10"/>
        <color theme="1"/>
        <rFont val="Calibri"/>
        <family val="2"/>
        <scheme val="minor"/>
      </rPr>
      <t>Hasta la fecha se ha realizada la Asamblea Municipal de Juventud, realizada el pasado 11 de Febrero</t>
    </r>
    <r>
      <rPr>
        <b/>
        <sz val="10"/>
        <color theme="1"/>
        <rFont val="Calibri"/>
        <family val="2"/>
        <scheme val="minor"/>
      </rPr>
      <t xml:space="preserve">
Alcaldía de Montenegro: </t>
    </r>
    <r>
      <rPr>
        <sz val="10"/>
        <color theme="1"/>
        <rFont val="Calibri"/>
        <family val="2"/>
        <scheme val="minor"/>
      </rPr>
      <t>Se han realizado las 2 asambleas de juventud que establece el estatuto de ciudadanía juvenil (ley  Estatutaria 1622 del 2013 modificada por la ley 1885 del 2018) .</t>
    </r>
    <r>
      <rPr>
        <b/>
        <sz val="10"/>
        <color theme="1"/>
        <rFont val="Calibri"/>
        <family val="2"/>
        <scheme val="minor"/>
      </rPr>
      <t xml:space="preserve">
Alcaldía de Córdoba: </t>
    </r>
    <r>
      <rPr>
        <sz val="10"/>
        <color theme="1"/>
        <rFont val="Calibri"/>
        <family val="2"/>
        <scheme val="minor"/>
      </rPr>
      <t xml:space="preserve">Las asambleas juveniles se realizaron en el primer semestre del 2022. </t>
    </r>
    <r>
      <rPr>
        <b/>
        <sz val="10"/>
        <color theme="1"/>
        <rFont val="Calibri"/>
        <family val="2"/>
        <scheme val="minor"/>
      </rPr>
      <t xml:space="preserve">
Alcaldía de la Tebaida:  </t>
    </r>
    <r>
      <rPr>
        <sz val="10"/>
        <color theme="1"/>
        <rFont val="Calibri"/>
        <family val="2"/>
        <scheme val="minor"/>
      </rPr>
      <t xml:space="preserve">El 05 de diciembre, se realizaron en el teatro municipal las 2 asambleas del año en vigencia dándole cumplimiento a la ley 1622 del 2013. En donde asistieron los consejeros de juventud, plataforma de juventud y demás miembros de colectivos juveniles.  </t>
    </r>
    <r>
      <rPr>
        <b/>
        <sz val="10"/>
        <color theme="1"/>
        <rFont val="Calibri"/>
        <family val="2"/>
        <scheme val="minor"/>
      </rPr>
      <t xml:space="preserve">
Alcaldía Armenia: </t>
    </r>
    <r>
      <rPr>
        <sz val="10"/>
        <color theme="1"/>
        <rFont val="Calibri"/>
        <family val="2"/>
        <scheme val="minor"/>
      </rPr>
      <t xml:space="preserve">Se han realizado dos asambleas juveniles en el mes de marzo y julio de 2022, impactando a 136 jóvenes. </t>
    </r>
    <r>
      <rPr>
        <b/>
        <sz val="10"/>
        <color theme="1"/>
        <rFont val="Calibri"/>
        <family val="2"/>
        <scheme val="minor"/>
      </rPr>
      <t xml:space="preserve">
Alcaldía de Filandia: </t>
    </r>
    <r>
      <rPr>
        <sz val="10"/>
        <color theme="1"/>
        <rFont val="Calibri"/>
        <family val="2"/>
        <scheme val="minor"/>
      </rPr>
      <t>1 conformada, para el periodo de octubre a diciembre no se convocó.</t>
    </r>
    <r>
      <rPr>
        <b/>
        <sz val="10"/>
        <color theme="1"/>
        <rFont val="Calibri"/>
        <family val="2"/>
        <scheme val="minor"/>
      </rPr>
      <t xml:space="preserve">
Alcaldía Quimbaya: </t>
    </r>
    <r>
      <rPr>
        <sz val="10"/>
        <color theme="1"/>
        <rFont val="Calibri"/>
        <family val="2"/>
        <scheme val="minor"/>
      </rPr>
      <t>En el municipio de Quimbaya se realizó una asamblea juvenil durante la vigencia 2022</t>
    </r>
    <r>
      <rPr>
        <b/>
        <sz val="10"/>
        <color theme="1"/>
        <rFont val="Calibri"/>
        <family val="2"/>
        <scheme val="minor"/>
      </rPr>
      <t xml:space="preserve">
Alcaldía de Génova: </t>
    </r>
    <r>
      <rPr>
        <sz val="10"/>
        <color theme="1"/>
        <rFont val="Calibri"/>
        <family val="2"/>
        <scheme val="minor"/>
      </rPr>
      <t>1 asamblea realizada.</t>
    </r>
    <r>
      <rPr>
        <b/>
        <sz val="10"/>
        <color theme="1"/>
        <rFont val="Calibri"/>
        <family val="2"/>
        <scheme val="minor"/>
      </rPr>
      <t xml:space="preserve">
</t>
    </r>
  </si>
  <si>
    <r>
      <rPr>
        <b/>
        <sz val="10"/>
        <color theme="1"/>
        <rFont val="Calibri"/>
        <family val="2"/>
        <scheme val="minor"/>
      </rPr>
      <t xml:space="preserve">Se beneficiaron: 11693 Personas 79% Por encima de la linea de base de 6500 beneficiados.    Alcaldía de Filandia: </t>
    </r>
    <r>
      <rPr>
        <sz val="10"/>
        <color theme="1"/>
        <rFont val="Calibri"/>
        <family val="2"/>
        <scheme val="minor"/>
      </rPr>
      <t>230 menores.</t>
    </r>
    <r>
      <rPr>
        <b/>
        <sz val="10"/>
        <color theme="1"/>
        <rFont val="Calibri"/>
        <family val="2"/>
        <scheme val="minor"/>
      </rPr>
      <t xml:space="preserve">
Alcaldía de Circasia: </t>
    </r>
    <r>
      <rPr>
        <sz val="10"/>
        <color theme="1"/>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de la Tebaida: </t>
    </r>
    <r>
      <rPr>
        <sz val="10"/>
        <color theme="1"/>
        <rFont val="Calibri"/>
        <family val="2"/>
        <scheme val="minor"/>
      </rPr>
      <t xml:space="preserve">70 adultos.
</t>
    </r>
    <r>
      <rPr>
        <b/>
        <sz val="10"/>
        <color theme="1"/>
        <rFont val="Calibri"/>
        <family val="2"/>
        <scheme val="minor"/>
      </rPr>
      <t>Alcaldía de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 xml:space="preserve">Alcaldía de Calarcá: </t>
    </r>
    <r>
      <rPr>
        <sz val="10"/>
        <color theme="1"/>
        <rFont val="Calibri"/>
        <family val="2"/>
        <scheme val="minor"/>
      </rPr>
      <t xml:space="preserve">Programa recreativo para adolescencia y juventud y programa recreativo y fitness.
</t>
    </r>
    <r>
      <rPr>
        <b/>
        <sz val="10"/>
        <color theme="1"/>
        <rFont val="Calibri"/>
        <family val="2"/>
        <scheme val="minor"/>
      </rPr>
      <t xml:space="preserve">Alcaldía de Montenegro: </t>
    </r>
    <r>
      <rPr>
        <sz val="10"/>
        <color theme="1"/>
        <rFont val="Calibri"/>
        <family val="2"/>
        <scheme val="minor"/>
      </rPr>
      <t xml:space="preserve">328 personas mayores a través de hábitos y estilos de vida saludable y actividad musicalizada y recreativa para el adulto mayor.
</t>
    </r>
    <r>
      <rPr>
        <b/>
        <sz val="10"/>
        <color theme="1"/>
        <rFont val="Calibri"/>
        <family val="2"/>
        <scheme val="minor"/>
      </rPr>
      <t xml:space="preserve">Alcaldía de Armenia: </t>
    </r>
    <r>
      <rPr>
        <sz val="10"/>
        <color theme="1"/>
        <rFont val="Calibri"/>
        <family val="2"/>
        <scheme val="minor"/>
      </rPr>
      <t xml:space="preserve">Promoción, apoyo logístico, ejecución y dotación de programas de Hábitos y Estilos de Vida Saludable y Actividad Física (8945) 
</t>
    </r>
    <r>
      <rPr>
        <b/>
        <sz val="10"/>
        <color theme="1"/>
        <rFont val="Calibri"/>
        <family val="2"/>
        <scheme val="minor"/>
      </rPr>
      <t xml:space="preserve">Universidad EAM: </t>
    </r>
    <r>
      <rPr>
        <sz val="10"/>
        <color theme="1"/>
        <rFont val="Calibri"/>
        <family val="2"/>
        <scheme val="minor"/>
      </rPr>
      <t xml:space="preserve">16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Indeportes: </t>
    </r>
    <r>
      <rPr>
        <sz val="10"/>
        <color theme="1"/>
        <rFont val="Calibri"/>
        <family val="2"/>
        <scheme val="minor"/>
      </rPr>
      <t>1290</t>
    </r>
  </si>
  <si>
    <t xml:space="preserve">20%
</t>
  </si>
  <si>
    <r>
      <rPr>
        <b/>
        <sz val="10"/>
        <color theme="1"/>
        <rFont val="Calibri"/>
        <family val="2"/>
        <scheme val="minor"/>
      </rPr>
      <t>Se beneficiaron en total 7592 jóvenes</t>
    </r>
    <r>
      <rPr>
        <sz val="10"/>
        <color theme="1"/>
        <rFont val="Calibri"/>
        <family val="2"/>
        <scheme val="minor"/>
      </rPr>
      <t xml:space="preserve">
</t>
    </r>
    <r>
      <rPr>
        <b/>
        <sz val="10"/>
        <color theme="1"/>
        <rFont val="Calibri"/>
        <family val="2"/>
        <scheme val="minor"/>
      </rPr>
      <t>Alcaldía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Alcaldía de Buenavista</t>
    </r>
    <r>
      <rPr>
        <sz val="10"/>
        <color theme="1"/>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color theme="1"/>
        <rFont val="Calibri"/>
        <family val="2"/>
        <scheme val="minor"/>
      </rPr>
      <t>Alcaldía de la Tebaida:</t>
    </r>
    <r>
      <rPr>
        <sz val="10"/>
        <color theme="1"/>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color theme="1"/>
        <rFont val="Calibri"/>
        <family val="2"/>
        <scheme val="minor"/>
      </rPr>
      <t>Alcaldía Génova:</t>
    </r>
    <r>
      <rPr>
        <sz val="10"/>
        <color theme="1"/>
        <rFont val="Calibri"/>
        <family val="2"/>
        <scheme val="minor"/>
      </rPr>
      <t xml:space="preserve"> Menores integrados a las actividades de los programas de actividad física y recreación
</t>
    </r>
    <r>
      <rPr>
        <b/>
        <sz val="10"/>
        <color theme="1"/>
        <rFont val="Calibri"/>
        <family val="2"/>
        <scheme val="minor"/>
      </rPr>
      <t>Alcaldía Armenia</t>
    </r>
    <r>
      <rPr>
        <sz val="10"/>
        <color theme="1"/>
        <rFont val="Calibri"/>
        <family val="2"/>
        <scheme val="minor"/>
      </rPr>
      <t xml:space="preserve">: Se implementan escuelas de formación deportiva en diferentes disciplinas, 144 escuelas y  4225 jóvenes impactados 
</t>
    </r>
    <r>
      <rPr>
        <b/>
        <sz val="10"/>
        <color theme="1"/>
        <rFont val="Calibri"/>
        <family val="2"/>
        <scheme val="minor"/>
      </rPr>
      <t>Alcaldía de Montenegro:</t>
    </r>
    <r>
      <rPr>
        <sz val="10"/>
        <color theme="1"/>
        <rFont val="Calibri"/>
        <family val="2"/>
        <scheme val="minor"/>
      </rPr>
      <t xml:space="preserve"> Actualmente se benefician 3781 jóvenes de las diferentes escuelas de formación del municipio (23 escuelas de formación).
</t>
    </r>
    <r>
      <rPr>
        <b/>
        <sz val="10"/>
        <color theme="1"/>
        <rFont val="Calibri"/>
        <family val="2"/>
        <scheme val="minor"/>
      </rPr>
      <t>Alcaldía de Filandia</t>
    </r>
    <r>
      <rPr>
        <sz val="10"/>
        <color theme="1"/>
        <rFont val="Calibri"/>
        <family val="2"/>
        <scheme val="minor"/>
      </rPr>
      <t xml:space="preserve">: 230 menores 
</t>
    </r>
    <r>
      <rPr>
        <b/>
        <sz val="10"/>
        <color theme="1"/>
        <rFont val="Calibri"/>
        <family val="2"/>
        <scheme val="minor"/>
      </rPr>
      <t>Indeportes:</t>
    </r>
    <r>
      <rPr>
        <sz val="10"/>
        <color theme="1"/>
        <rFont val="Calibri"/>
        <family val="2"/>
        <scheme val="minor"/>
      </rPr>
      <t xml:space="preserve"> 900.
Universidad del Quindío: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color theme="1"/>
        <rFont val="Calibri"/>
        <family val="2"/>
        <scheme val="minor"/>
      </rPr>
      <t>Universidad San  Buenaventura:</t>
    </r>
    <r>
      <rPr>
        <sz val="10"/>
        <color theme="1"/>
        <rFont val="Calibri"/>
        <family val="2"/>
        <scheme val="minor"/>
      </rPr>
      <t xml:space="preserve"> El voluntariado Transformarte de la Universidad de San Buenaventura realizó actividad recreativa a adultos de la tercera edad en el Hogar geriátrico El Carmen de Calarcá.
</t>
    </r>
    <r>
      <rPr>
        <b/>
        <sz val="10"/>
        <color theme="1"/>
        <rFont val="Calibri"/>
        <family val="2"/>
        <scheme val="minor"/>
      </rPr>
      <t>Universidad EAM:</t>
    </r>
    <r>
      <rPr>
        <sz val="10"/>
        <color theme="1"/>
        <rFont val="Calibri"/>
        <family val="2"/>
        <scheme val="minor"/>
      </rPr>
      <t xml:space="preserve"> 92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Secretaría de Educación: </t>
    </r>
    <r>
      <rPr>
        <sz val="10"/>
        <color theme="1"/>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</si>
  <si>
    <r>
      <rPr>
        <b/>
        <sz val="10"/>
        <color theme="1"/>
        <rFont val="Calibri"/>
        <family val="2"/>
        <scheme val="minor"/>
      </rPr>
      <t xml:space="preserve">Se ejecutó el seguimiento a la ejecución de los planes de acción en un 100%.                                                  Secretaría del Interior: </t>
    </r>
    <r>
      <rPr>
        <sz val="10"/>
        <color theme="1"/>
        <rFont val="Calibri"/>
        <family val="2"/>
        <scheme val="minor"/>
      </rPr>
      <t xml:space="preserve">Se realizó la actualización del Plan Integral Departamental de Derechos Humanos donde se establece la ruta de protección y el plan de prevención de derechos humanos.Cada municipio tiene el plan integral de prevención de derechos humanos.  
</t>
    </r>
  </si>
  <si>
    <r>
      <t xml:space="preserve">la Red departamental de emprendimiento cuenta con un representante del Consejo Departamental de Juventudes.  Secretaría de Turismo Industria y Comercio: </t>
    </r>
    <r>
      <rPr>
        <sz val="10"/>
        <color theme="1"/>
        <rFont val="Calibri"/>
        <family val="2"/>
        <scheme val="minor"/>
      </rPr>
      <t>Durante el presente trimestre se lleva a cabo sesión o reunión de la Red Regional de Emprendimiento del Departamento del Quindío.</t>
    </r>
  </si>
  <si>
    <r>
      <rPr>
        <b/>
        <sz val="10"/>
        <color theme="1"/>
        <rFont val="Calibri"/>
        <family val="2"/>
        <scheme val="minor"/>
      </rPr>
      <t xml:space="preserve">Observación: SEGÚN REPORTE DE SEC. EDUCACIÓN SE IMPLEMENTAN 4 METODOLOGÍAS.                        </t>
    </r>
    <r>
      <rPr>
        <sz val="10"/>
        <color theme="1"/>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color theme="1"/>
        <rFont val="Calibri"/>
        <family val="2"/>
        <scheme val="minor"/>
      </rPr>
      <t xml:space="preserve">Secretaría de Educación: </t>
    </r>
    <r>
      <rPr>
        <sz val="10"/>
        <color theme="1"/>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</si>
  <si>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rPr>
        <b/>
        <sz val="10"/>
        <color theme="1"/>
        <rFont val="Calibri"/>
        <family val="2"/>
        <scheme val="minor"/>
      </rPr>
      <t>SEGÚN LOS REPORTES OBTENIDOS SE VINCULARON 193 JÓVENES A PROYECTOS INNOVADORES Y DE EMPRENDIMIENTO. 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Secretaría Turismo, Industria y Comercio: </t>
    </r>
    <r>
      <rPr>
        <sz val="10"/>
        <color theme="1"/>
        <rFont val="Calibri"/>
        <family val="2"/>
        <scheme val="minor"/>
      </rPr>
      <t xml:space="preserve">Ciento tres (103) iniciativas vinculadas a proyectos innovadores y de emprendimiento. Por medio del proyecto "Fortalecimiento del ecosistema de emprendimiento mediante el acompañamiento técnico y servicio de apoyo financiero para emprendedores en el Departamento del Quindío."CÓDIGO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t>
    </r>
    <r>
      <rPr>
        <b/>
        <sz val="10"/>
        <color theme="1"/>
        <rFont val="Calibri"/>
        <family val="2"/>
        <scheme val="minor"/>
      </rPr>
      <t xml:space="preserve">Cámara de Comercio de Armenia y del Quindío: </t>
    </r>
    <r>
      <rPr>
        <sz val="10"/>
        <color theme="1"/>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color theme="1"/>
        <rFont val="Calibri"/>
        <family val="2"/>
        <scheme val="minor"/>
      </rPr>
      <t>Secretaría de Agricultura:</t>
    </r>
    <r>
      <rPr>
        <sz val="10"/>
        <color theme="1"/>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color theme="1"/>
        <rFont val="Calibri"/>
        <family val="2"/>
        <scheme val="minor"/>
      </rPr>
      <t>Universidad del Quindío:</t>
    </r>
    <r>
      <rPr>
        <sz val="10"/>
        <color theme="1"/>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 xml:space="preserve">Universidad EAM: </t>
    </r>
    <r>
      <rPr>
        <sz val="10"/>
        <color theme="1"/>
        <rFont val="Calibri"/>
        <family val="2"/>
        <scheme val="minor"/>
      </rPr>
      <t xml:space="preserve">15 estudiantes asesorados en creación de empresas
</t>
    </r>
    <r>
      <rPr>
        <b/>
        <sz val="10"/>
        <color theme="1"/>
        <rFont val="Calibri"/>
        <family val="2"/>
        <scheme val="minor"/>
      </rPr>
      <t>Universidad la Gran Colombia</t>
    </r>
    <r>
      <rPr>
        <sz val="10"/>
        <color theme="1"/>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color theme="1"/>
        <rFont val="Calibri"/>
        <family val="2"/>
        <scheme val="minor"/>
      </rPr>
      <t>Alcaldía de Calarcá</t>
    </r>
    <r>
      <rPr>
        <sz val="10"/>
        <color theme="1"/>
        <rFont val="Calibri"/>
        <family val="2"/>
        <scheme val="minor"/>
      </rPr>
      <t xml:space="preserve">: Se apoyó la iniciativa comunitaria BOXEANDO POR LA PAZ. Implementada en la Institución Educativa Jesús María Morales. Se beneficiaron 30 jóvenes. Esta en proceso la entrega de los implementos requeridos.
</t>
    </r>
    <r>
      <rPr>
        <b/>
        <sz val="10"/>
        <color theme="1"/>
        <rFont val="Calibri"/>
        <family val="2"/>
        <scheme val="minor"/>
      </rPr>
      <t xml:space="preserve">Alcaldía Filandia: </t>
    </r>
    <r>
      <rPr>
        <sz val="10"/>
        <color theme="1"/>
        <rFont val="Calibri"/>
        <family val="2"/>
        <scheme val="minor"/>
      </rPr>
      <t xml:space="preserve">12 jóvenes vinculados a proyectos innovadores  y 6 iniciativas empresariales apoyadas.
</t>
    </r>
    <r>
      <rPr>
        <b/>
        <sz val="10"/>
        <color theme="1"/>
        <rFont val="Calibri"/>
        <family val="2"/>
        <scheme val="minor"/>
      </rPr>
      <t>Alcaldía Quimbaya:</t>
    </r>
    <r>
      <rPr>
        <sz val="10"/>
        <color theme="1"/>
        <rFont val="Calibri"/>
        <family val="2"/>
        <scheme val="minor"/>
      </rPr>
      <t xml:space="preserve"> En el municipio de Quimbaya hay 40 jóvenes vinculados a proyectos de emprendimientos</t>
    </r>
  </si>
  <si>
    <r>
      <t xml:space="preserve">Alcaldía de Salento: </t>
    </r>
    <r>
      <rPr>
        <sz val="10"/>
        <color theme="1"/>
        <rFont val="Calibri"/>
        <family val="2"/>
        <scheme val="minor"/>
      </rPr>
      <t>Actualmente el municipio de Salento cuenta con Enlace de Juventud, el cual está a cargo de la Subsecretaría de Cultura y Deporte.</t>
    </r>
    <r>
      <rPr>
        <b/>
        <sz val="10"/>
        <color theme="1"/>
        <rFont val="Calibri"/>
        <family val="2"/>
        <scheme val="minor"/>
      </rPr>
      <t xml:space="preserve">
Alcaldía Calarcá: </t>
    </r>
    <r>
      <rPr>
        <sz val="10"/>
        <color theme="1"/>
        <rFont val="Calibri"/>
        <family val="2"/>
        <scheme val="minor"/>
      </rPr>
      <t>La alcaldía municipal designo a la Secretaria de Servicios Sociales y Salud para la articulación y asistencia técnica con las instancias de participación de los jóvenes, así mismo esta secretaría cuenta con el programa de  atención a jóvenes del municipio de Calarcá.</t>
    </r>
    <r>
      <rPr>
        <b/>
        <sz val="10"/>
        <color theme="1"/>
        <rFont val="Calibri"/>
        <family val="2"/>
        <scheme val="minor"/>
      </rPr>
      <t xml:space="preserve">
Alcaldía Quimbaya: </t>
    </r>
    <r>
      <rPr>
        <sz val="10"/>
        <color theme="1"/>
        <rFont val="Calibri"/>
        <family val="2"/>
        <scheme val="minor"/>
      </rPr>
      <t>El municipio de Quimbaya cuenta con el P:U: de Atención a grupos Vulnerables; encargado de supervisar la ejecución del proyecto de juventud.</t>
    </r>
    <r>
      <rPr>
        <b/>
        <sz val="10"/>
        <color theme="1"/>
        <rFont val="Calibri"/>
        <family val="2"/>
        <scheme val="minor"/>
      </rPr>
      <t xml:space="preserve">
Alcaldía de Montenegro:</t>
    </r>
    <r>
      <rPr>
        <sz val="10"/>
        <color theme="1"/>
        <rFont val="Calibri"/>
        <family val="2"/>
        <scheme val="minor"/>
      </rPr>
      <t xml:space="preserve"> La Subsecretaría de Desarrollo Social y Educativo creada mediante acto administrativo cuenta con el programa de juventud donde se desarrollan actividades en pro de la juventudes del municipio tal  como lo establece el estatuto de ciudadanía juvenil (ley 1622 del 2013)</t>
    </r>
    <r>
      <rPr>
        <b/>
        <sz val="10"/>
        <color theme="1"/>
        <rFont val="Calibri"/>
        <family val="2"/>
        <scheme val="minor"/>
      </rPr>
      <t xml:space="preserve">
Alcaldía de Filandia: </t>
    </r>
    <r>
      <rPr>
        <sz val="10"/>
        <color theme="1"/>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color theme="1"/>
        <rFont val="Calibri"/>
        <family val="2"/>
        <scheme val="minor"/>
      </rPr>
      <t xml:space="preserve">
Alcaldía de Armenia: </t>
    </r>
    <r>
      <rPr>
        <sz val="10"/>
        <color theme="1"/>
        <rFont val="Calibri"/>
        <family val="2"/>
        <scheme val="minor"/>
      </rPr>
      <t>Cuenta con un</t>
    </r>
    <r>
      <rPr>
        <b/>
        <sz val="10"/>
        <color theme="1"/>
        <rFont val="Calibri"/>
        <family val="2"/>
        <scheme val="minor"/>
      </rPr>
      <t xml:space="preserve"> </t>
    </r>
    <r>
      <rPr>
        <sz val="10"/>
        <color theme="1"/>
        <rFont val="Calibri"/>
        <family val="2"/>
        <scheme val="minor"/>
      </rPr>
      <t xml:space="preserve">programa juventud pa todos desde la Secretaría de Desarrollo Social la cual cuenta con 4 contratistas                     </t>
    </r>
    <r>
      <rPr>
        <b/>
        <sz val="10"/>
        <color theme="1"/>
        <rFont val="Calibri"/>
        <family val="2"/>
        <scheme val="minor"/>
      </rPr>
      <t xml:space="preserve">
Alcaldía de Buenavista: </t>
    </r>
    <r>
      <rPr>
        <sz val="10"/>
        <color theme="1"/>
        <rFont val="Calibri"/>
        <family val="2"/>
        <scheme val="minor"/>
      </rPr>
      <t>Actualmente, se cuenta con un enlace de juventud para realizar el seguimiento a la Política Pública y dinamizar los espacios de participación</t>
    </r>
    <r>
      <rPr>
        <b/>
        <sz val="10"/>
        <color theme="1"/>
        <rFont val="Calibri"/>
        <family val="2"/>
        <scheme val="minor"/>
      </rPr>
      <t xml:space="preserve">
Alcaldía de Córdoba: </t>
    </r>
    <r>
      <rPr>
        <sz val="10"/>
        <color theme="1"/>
        <rFont val="Calibri"/>
        <family val="2"/>
        <scheme val="minor"/>
      </rPr>
      <t>En el municipio la Secretaría General y de Gobierno tiene a cargo el programa de Juventud y es quien se encarga del desarrollo de actividades con esta población.</t>
    </r>
    <r>
      <rPr>
        <b/>
        <sz val="10"/>
        <color theme="1"/>
        <rFont val="Calibri"/>
        <family val="2"/>
        <scheme val="minor"/>
      </rPr>
      <t xml:space="preserve">
Secretaría de Familia: </t>
    </r>
    <r>
      <rPr>
        <sz val="10"/>
        <color theme="1"/>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</si>
  <si>
    <r>
      <rPr>
        <b/>
        <sz val="10"/>
        <color theme="1"/>
        <rFont val="Calibri"/>
        <family val="2"/>
        <scheme val="minor"/>
      </rPr>
      <t xml:space="preserve">
Secretaría de Familia: </t>
    </r>
    <r>
      <rPr>
        <sz val="10"/>
        <color theme="1"/>
        <rFont val="Calibri"/>
        <family val="2"/>
        <scheme val="minor"/>
      </rPr>
      <t xml:space="preserve">La Tasa de deserción a largo plazo (semestre 10) es del 54,3% según reporte del Ministerio de Educación y la tasa de absorcion de bachilleres es del 47,3%
</t>
    </r>
    <r>
      <rPr>
        <b/>
        <sz val="10"/>
        <color theme="1"/>
        <rFont val="Calibri"/>
        <family val="2"/>
        <scheme val="minor"/>
      </rPr>
      <t xml:space="preserve">Alcaldía de Buenavista: </t>
    </r>
    <r>
      <rPr>
        <sz val="10"/>
        <color theme="1"/>
        <rFont val="Calibri"/>
        <family val="2"/>
        <scheme val="minor"/>
      </rPr>
      <t xml:space="preserve">Estímulos para el acceso y permanencia en la educación superior  1 convenio con el SENA - (TÉCNICO LABORAL EN PROCESOS AGROINDUSTRIALES.
</t>
    </r>
    <r>
      <rPr>
        <b/>
        <sz val="10"/>
        <color theme="1"/>
        <rFont val="Calibri"/>
        <family val="2"/>
        <scheme val="minor"/>
      </rPr>
      <t>Alcaldía de Filandia:</t>
    </r>
    <r>
      <rPr>
        <sz val="10"/>
        <color theme="1"/>
        <rFont val="Calibri"/>
        <family val="2"/>
        <scheme val="minor"/>
      </rPr>
      <t xml:space="preserve"> Tasa de absorción de bachilleres: 35% de 140 recién graduados en el municipio de Filandia, ingresan al menos 25 a la Universidad en el siguiente año.
</t>
    </r>
    <r>
      <rPr>
        <b/>
        <sz val="10"/>
        <color theme="1"/>
        <rFont val="Calibri"/>
        <family val="2"/>
        <scheme val="minor"/>
      </rPr>
      <t>Alcaldía Génova:</t>
    </r>
    <r>
      <rPr>
        <sz val="10"/>
        <color theme="1"/>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fortaleció las metodologías para la oferta educativa, en los siguientes: Escuela Nueva, enfoque Epc , Etnoeducación, flexibilización curricular programa de apoyo para estudiantes con discapacidad y trastornos del aprendizaje.
</t>
    </r>
    <r>
      <rPr>
        <b/>
        <sz val="10"/>
        <color theme="1"/>
        <rFont val="Calibri"/>
        <family val="2"/>
        <scheme val="minor"/>
      </rPr>
      <t>Alcaldía de Montenegro:</t>
    </r>
    <r>
      <rPr>
        <sz val="10"/>
        <color theme="1"/>
        <rFont val="Calibri"/>
        <family val="2"/>
        <scheme val="minor"/>
      </rPr>
      <t xml:space="preserve"> Las instituciones educativas de Marco Fidel Suarez e Instituto Montenegro, realizan educación inclusiva o flexible en donde estudian por módulos.
</t>
    </r>
    <r>
      <rPr>
        <b/>
        <sz val="10"/>
        <color theme="1"/>
        <rFont val="Calibri"/>
        <family val="2"/>
        <scheme val="minor"/>
      </rPr>
      <t xml:space="preserve">Alcaldía de Calarcá: </t>
    </r>
    <r>
      <rPr>
        <sz val="10"/>
        <color theme="1"/>
        <rFont val="Calibri"/>
        <family val="2"/>
        <scheme val="minor"/>
      </rPr>
      <t xml:space="preserve">Realizamos el pago a las 14 instituciones educativas urbanas y rurales (30 sedes) con servicios públicos como energía, alcantarillado, acueducto y aseo. Aproximadamente 3.174 jóvenes beneficiados y se apoyó al 100% de los estudiantes de las 14 Instituciones Educativas sector urbano y rural con recursos de gratuidad escolar.
</t>
    </r>
    <r>
      <rPr>
        <b/>
        <sz val="10"/>
        <color theme="1"/>
        <rFont val="Calibri"/>
        <family val="2"/>
        <scheme val="minor"/>
      </rPr>
      <t xml:space="preserve">Alcaldía Armenia: </t>
    </r>
    <r>
      <rPr>
        <sz val="10"/>
        <color theme="1"/>
        <rFont val="Calibri"/>
        <family val="2"/>
        <scheme val="minor"/>
      </rPr>
      <t xml:space="preserve">35.500 Niños, Niñas, Jóvenes según la información reportada de la SEM no clasifica por edad.
</t>
    </r>
    <r>
      <rPr>
        <b/>
        <sz val="10"/>
        <color rgb="FFFF0000"/>
        <rFont val="Calibri"/>
        <family val="2"/>
        <scheme val="minor"/>
      </rPr>
      <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</si>
  <si>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de Montenegro:</t>
    </r>
    <r>
      <rPr>
        <sz val="10"/>
        <color theme="1"/>
        <rFont val="Calibri"/>
        <family val="2"/>
        <scheme val="minor"/>
      </rPr>
      <t xml:space="preserve"> Se tiene un aseguramiento del 100% y se hace a través del Sistema de Afiliación Transaccional (SAT) o afiliación de oficio.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 xml:space="preserve">Alcaldía de Pijao: </t>
    </r>
    <r>
      <rPr>
        <sz val="10"/>
        <color theme="1"/>
        <rFont val="Calibri"/>
        <family val="2"/>
        <scheme val="minor"/>
      </rPr>
      <t xml:space="preserve">Los representantes de los jóvenes son miembros activos y participan en el Comité de Salud Municipal.
</t>
    </r>
    <r>
      <rPr>
        <b/>
        <sz val="10"/>
        <color theme="1"/>
        <rFont val="Calibri"/>
        <family val="2"/>
        <scheme val="minor"/>
      </rPr>
      <t xml:space="preserve">Alcaldía Calarcá: </t>
    </r>
    <r>
      <rPr>
        <sz val="10"/>
        <color theme="1"/>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Alcaldía de Córdoba:</t>
    </r>
    <r>
      <rPr>
        <sz val="10"/>
        <color theme="1"/>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la cobertura de aseguramiento en poblacion joven es del 85%.
</t>
    </r>
  </si>
  <si>
    <r>
      <rPr>
        <b/>
        <sz val="10"/>
        <color theme="1"/>
        <rFont val="Calibri"/>
        <family val="2"/>
        <scheme val="minor"/>
      </rPr>
      <t>Indeportes: 69% de deportistas participantes jovenes quindianos en juegos nacionales</t>
    </r>
    <r>
      <rPr>
        <sz val="10"/>
        <color theme="1"/>
        <rFont val="Calibri"/>
        <family val="2"/>
        <scheme val="minor"/>
      </rPr>
      <t>.</t>
    </r>
  </si>
  <si>
    <r>
      <rPr>
        <b/>
        <sz val="10"/>
        <color theme="1"/>
        <rFont val="Calibri"/>
        <family val="2"/>
        <scheme val="minor"/>
      </rPr>
      <t xml:space="preserve">Secretaría de Cultura: </t>
    </r>
    <r>
      <rPr>
        <sz val="10"/>
        <color theme="1"/>
        <rFont val="Calibri"/>
        <family val="2"/>
        <scheme val="minor"/>
      </rPr>
      <t>se realizaron talleres de promoción de lectura y escritura en los diferentes municipios  con el apoyo de los instituciones educativas, impactando a 250  jóvenes en este cuarto  trimestre, así como también desde las bibliotecas públicas hemos atendido a 1250  jóvenes. 118 estimulos otorgados a talentos jovenes.</t>
    </r>
  </si>
  <si>
    <r>
      <t xml:space="preserve">   
</t>
    </r>
    <r>
      <rPr>
        <b/>
        <sz val="10"/>
        <color theme="1"/>
        <rFont val="Calibri"/>
        <family val="2"/>
        <scheme val="minor"/>
      </rPr>
      <t xml:space="preserve">Secretaría de Cultura: </t>
    </r>
    <r>
      <rPr>
        <sz val="10"/>
        <color theme="1"/>
        <rFont val="Calibri"/>
        <family val="2"/>
        <scheme val="minor"/>
      </rPr>
      <t>En la ejecución del programa  de concertación los proyectos siguientes fueron los que mas beneficiaron población juvenil: asociación libre teatro con un total de : 2.200 jóvenes realizando el festival calle arriba calle abajo en los municipios de Calarcá, Armenia, Quimbaya el corregimiento de Barcelona. La fundación torre de palabras realizó talleres de literatura y cine en donde se beneficiaron 500 jóvenes en los municipios de Calarcá y Armenia. La corporación los muñecos del teatro escondido realizó un proceso de realización en artes con 1100 jóvenes en el municipio de Armenia. La fundación acción para la vida realizó talleres de música y danza folclórica con 610 jóvenes en el corregimiento de Barcelona.
la fundación talento cafetero realizó un festival de música andina colombiana con la participación de 900 jóvenes. La corporación kymera realizó el laboratorio de creación audiovisual elaborando vídeos de animación con 1447 en losm12 municipios del Departamento. La corporación red apoyó la realización de talleres de formación en música con 12 jóvenes del CAE la Primavera del municipio de Montenegro . 92 proyectos de concertacion con organizaciones juveniles, culturales apoyados</t>
    </r>
  </si>
  <si>
    <t>PROGRAMADO 
(Meta al 2023)</t>
  </si>
  <si>
    <t>11.5%</t>
  </si>
  <si>
    <t>3.41%</t>
  </si>
  <si>
    <t>54.3%</t>
  </si>
  <si>
    <r>
      <rPr>
        <b/>
        <sz val="10"/>
        <rFont val="Calibri"/>
        <family val="2"/>
        <scheme val="minor"/>
      </rPr>
      <t xml:space="preserve">Secretaría de Familia: </t>
    </r>
    <r>
      <rPr>
        <sz val="10"/>
        <rFont val="Calibri"/>
        <family val="2"/>
        <scheme val="minor"/>
      </rPr>
      <t xml:space="preserve">Reporta la existencia de un Sistema Departamental de Juventud conformado por la Plataforma Departamental de Juventud, realización de Asambleas Juveniles, Comisiones de Concertación y Decisión y fortalecimiento de los Consejos de Juventud.
</t>
    </r>
  </si>
  <si>
    <r>
      <rPr>
        <b/>
        <sz val="10"/>
        <rFont val="Calibri"/>
        <family val="2"/>
        <scheme val="minor"/>
      </rPr>
      <t>Secretaría de Turismo Industria y Comercio:</t>
    </r>
    <r>
      <rPr>
        <sz val="10"/>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rFont val="Calibri"/>
        <family val="2"/>
        <scheme val="minor"/>
      </rPr>
      <t xml:space="preserve">SENA: </t>
    </r>
    <r>
      <rPr>
        <sz val="10"/>
        <rFont val="Calibri"/>
        <family val="2"/>
        <scheme val="minor"/>
      </rPr>
      <t xml:space="preserve">Hasta la fecha se han formado 20.286 aprendices.
</t>
    </r>
    <r>
      <rPr>
        <b/>
        <sz val="10"/>
        <rFont val="Calibri"/>
        <family val="2"/>
        <scheme val="minor"/>
      </rPr>
      <t>Nota:</t>
    </r>
    <r>
      <rPr>
        <sz val="10"/>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</si>
  <si>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rFont val="Calibri"/>
        <family val="2"/>
        <scheme val="minor"/>
      </rPr>
      <t xml:space="preserve">Cámara de Comercio de Armenia y del Quindío: 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 xml:space="preserve">SENA: </t>
    </r>
    <r>
      <rPr>
        <sz val="10"/>
        <rFont val="Calibri"/>
        <family val="2"/>
        <scheme val="minor"/>
      </rPr>
      <t xml:space="preserve">Durante los meses de abril a junio, se realizó orientación ocupacional a 4440 jóvenes a través de la Agencia Pública de Empleo. De los cuales 959 jóvenes quedaron vinculados en las diferentes ofertas laborales en el I semestre del año 2023.
</t>
    </r>
  </si>
  <si>
    <r>
      <rPr>
        <b/>
        <sz val="10"/>
        <rFont val="Calibri"/>
        <family val="2"/>
        <scheme val="minor"/>
      </rPr>
      <t xml:space="preserve">Secretaría de familia: </t>
    </r>
    <r>
      <rPr>
        <sz val="10"/>
        <rFont val="Calibri"/>
        <family val="2"/>
        <scheme val="minor"/>
      </rPr>
      <t xml:space="preserve">La información reportada por los actores responsables no es la adecuada para medir el indicador en porcentaje.
</t>
    </r>
    <r>
      <rPr>
        <b/>
        <sz val="10"/>
        <rFont val="Calibri"/>
        <family val="2"/>
        <scheme val="minor"/>
      </rPr>
      <t xml:space="preserve">Universidad Alexander Von Humbolt: </t>
    </r>
    <r>
      <rPr>
        <sz val="10"/>
        <rFont val="Calibri"/>
        <family val="2"/>
        <scheme val="minor"/>
      </rPr>
      <t xml:space="preserve">Actualmente la Facultad de Ciencias Administrativas no desarrolla acción alguna sobre emprendimientos rurales, pero a través de un Convenio con el SENA se estará acompañando a la entidad proximamente. Por otra parte la facultad es asesora técnica del proyecto llamado "Estrategia digital integral e innovadora de turismo rural para emprendedores rurales de la cordillera del Quindío". Se intervendrán dieciséis emprendedores rurales.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Universidad del Quindío: </t>
    </r>
    <r>
      <rPr>
        <sz val="10"/>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rFont val="Calibri"/>
        <family val="2"/>
        <scheme val="minor"/>
      </rPr>
      <t>Universidad La Gran Colombia:</t>
    </r>
    <r>
      <rPr>
        <sz val="10"/>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rFont val="Calibri"/>
        <family val="2"/>
        <scheme val="minor"/>
      </rPr>
      <t xml:space="preserve">Secretaría de Turismo Industria y Comercio: </t>
    </r>
    <r>
      <rPr>
        <sz val="10"/>
        <rFont val="Calibri"/>
        <family val="2"/>
        <scheme val="minor"/>
      </rPr>
      <t xml:space="preserve">Durante la vigencia de abril-Junio del 2023, se realizaron dos acercamiento con la comunidad Embera Chamí del municipio de Córdoba Quindío identificando las siguientes variables según información suministrada por el gobernador y demás integrantes de la comunidad:
1. En la primera visita la cual se realizó el 13 de abril del 2023, se identificó nuevamente total de 25 Jovénes entre  los 18 a 28 años de un total que integran la comunidad.Variables identificadas:  Hombres: 16 Mujeres: 9 Bachilleres : 10 Técnicos: 2 Tecnologos: 0 Profesionales: 0 Discapacitados: 0
Empleados: 1 Desempleados: 24 Emprendimientos identificados: 1 Cuadra y media de (Plátano, banano y café)
En la segunda visita, que se efectuó el 27 de Mayo del 2023, se llevó al lugar asistencia medica y asesoróa jurídica y legal; se logró atender o prestar los servicios antes mencionados a 36 integrantes de la comunidad Embera Chamí.
</t>
    </r>
    <r>
      <rPr>
        <b/>
        <sz val="10"/>
        <rFont val="Calibri"/>
        <family val="2"/>
        <scheme val="minor"/>
      </rPr>
      <t>Secretaría de Agricultura:</t>
    </r>
    <r>
      <rPr>
        <sz val="10"/>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rFont val="Calibri"/>
        <family val="2"/>
        <scheme val="minor"/>
      </rPr>
      <t xml:space="preserve">Secretaría de Educación: </t>
    </r>
    <r>
      <rPr>
        <sz val="10"/>
        <rFont val="Calibri"/>
        <family val="2"/>
        <scheme val="minor"/>
      </rPr>
      <t xml:space="preserve">* Ejecución de estrategias para cumplimiento de etapa productiva dentro del programa de doble tituclación con el SENA. Ideas de negocio por cada estudiante aspirante a la titulación de Técnico laboral. De acuerdo a la acción 730 jóvenes de los cuales 7 pertenecen a población indigena ubicada en zona rural, 18 población indígena ubicada en la zona urbana y 705 referenciados en la población mayoritaria.
</t>
    </r>
  </si>
  <si>
    <r>
      <rPr>
        <b/>
        <sz val="10"/>
        <rFont val="Calibri"/>
        <family val="2"/>
        <scheme val="minor"/>
      </rPr>
      <t>Sena:</t>
    </r>
    <r>
      <rPr>
        <sz val="10"/>
        <rFont val="Calibri"/>
        <family val="2"/>
        <scheme val="minor"/>
      </rPr>
      <t xml:space="preserve"> Se realizó una convocatoria "fondo emprender" con apoyo de la Gobernación del Quindío, en ella fueron viables 24 planes de negocio. Adicionalmente a nivel nacional se lanzó la convocatoria 93 para jóvenes emprendedores. *5 planes de negocio formulados en la convocatoria 260 del Quindío, corresponde al 20.8% de jóvenes.
</t>
    </r>
    <r>
      <rPr>
        <b/>
        <sz val="10"/>
        <rFont val="Calibri"/>
        <family val="2"/>
        <scheme val="minor"/>
      </rPr>
      <t>Secretaría de Turismo Industria y Comercio:</t>
    </r>
    <r>
      <rPr>
        <sz val="10"/>
        <rFont val="Calibri"/>
        <family val="2"/>
        <scheme val="minor"/>
      </rPr>
      <t xml:space="preserve"> Porcentaje de Ideas de Negocio que reciben estimulo financiero. La secretaría de turismo, industria y comercio ejecuta el proyecto de inversión "Fortalecimiento del ecosistema de emprendimiento mediante el acompañamiento técnico y servicio de apoyo financiero para emprendedores en el departamento del Quindío." CÓDIGO BPPIN: 2021003630014, financiado con recursos del Sistema General de Regalías (SGR), a través del cual se darán dieciocho (18) apoyos financieros para la creación de empresas en el marco de la DHESIÓN No. 0005 AL CONTRATO INTERADMINISTRATIVO No. CO1.PCCNTR.3451677 de 2022, SUSCRITO ENTRE EL SERVICIO NACIONAL DE APRENDIZAJE (SENA), LA UNIVERSIDAD DISTRITAL FRANCISCO JOSÉ DE CALDAS (UDFJC) Y EL DEPARTAMENTO DEL QUINDÍO. Los aportes para cada plan de negocios, será hasta de ochenta millones de pesos ($ 80.000.000), y las convocatorias para el departamento del Quindío se abrirán a partir del 24 de marzo  de 2023, es importante tener en cuenta que las convocatorias se cerraran en el mes de julio de 2023. 
</t>
    </r>
    <r>
      <rPr>
        <b/>
        <sz val="10"/>
        <rFont val="Calibri"/>
        <family val="2"/>
        <scheme val="minor"/>
      </rPr>
      <t xml:space="preserve">Universidad del Quindío: </t>
    </r>
    <r>
      <rPr>
        <sz val="10"/>
        <rFont val="Calibri"/>
        <family val="2"/>
        <scheme val="minor"/>
      </rPr>
      <t xml:space="preserve">No se tienen proyectos que reciban estímulo financiero ya que desde la Universidad los que se apoyan se hacen con recursos en especie.
</t>
    </r>
    <r>
      <rPr>
        <b/>
        <sz val="10"/>
        <rFont val="Calibri"/>
        <family val="2"/>
        <scheme val="minor"/>
      </rPr>
      <t>Universidad San Buenaventura:</t>
    </r>
    <r>
      <rPr>
        <sz val="10"/>
        <rFont val="Calibri"/>
        <family val="2"/>
        <scheme val="minor"/>
      </rPr>
      <t xml:space="preserve"> Programa de Becas y/o descuentos: La Universidad de San Buenaventura cada semestre cuenta con el programa de Becas y/o descuentos donde se otorga descuentos a estudiantes de egresados de colegios bachillerato que cumplen con los requisitos exigidos por la Resolución de Rectoría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víctimas de conflicto armado y comunidades indígenas y también a egresados de instituciones que tienen convenio con la Universidad.  
</t>
    </r>
    <r>
      <rPr>
        <b/>
        <sz val="10"/>
        <rFont val="Calibri"/>
        <family val="2"/>
        <scheme val="minor"/>
      </rPr>
      <t>Universidad Vom Humbolt:</t>
    </r>
    <r>
      <rPr>
        <sz val="10"/>
        <rFont val="Calibri"/>
        <family val="2"/>
        <scheme val="minor"/>
      </rPr>
      <t xml:space="preserve">La Facultad de Ciencias Administrativas, no cuenta en su presupuesto con un rubro que aporte recursos económicos para impulsar emprendimientos, pero nuestra ruta de emprendimiento está conectada al CINNE que es la ruta de emprendimiento de la Cámara de Comercio de Armenia y también somos aliados del SENA con el programa Fondo Emprender.
</t>
    </r>
    <r>
      <rPr>
        <b/>
        <sz val="10"/>
        <rFont val="Calibri"/>
        <family val="2"/>
        <scheme val="minor"/>
      </rPr>
      <t>Universidad La Gran Colombia:</t>
    </r>
    <r>
      <rPr>
        <sz val="10"/>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rFont val="Calibri"/>
        <family val="2"/>
        <scheme val="minor"/>
      </rPr>
      <t>Secretaría de Educación:</t>
    </r>
    <r>
      <rPr>
        <sz val="10"/>
        <rFont val="Calibri"/>
        <family val="2"/>
        <scheme val="minor"/>
      </rPr>
      <t xml:space="preserve"> No hay actividades planeadas sobre el tema para mención para este periodo de tiempo.
</t>
    </r>
    <r>
      <rPr>
        <b/>
        <sz val="10"/>
        <rFont val="Calibri"/>
        <family val="2"/>
        <scheme val="minor"/>
      </rPr>
      <t xml:space="preserve">Secretaría de familia: </t>
    </r>
    <r>
      <rPr>
        <sz val="10"/>
        <rFont val="Calibri"/>
        <family val="2"/>
        <scheme val="minor"/>
      </rPr>
      <t xml:space="preserve">La información reportada por los actores responsables no es la adecuada para medir el indicador en porcentaje.
</t>
    </r>
  </si>
  <si>
    <r>
      <t xml:space="preserve">
Secretaría de Turismo Industria y Comercio: </t>
    </r>
    <r>
      <rPr>
        <sz val="10"/>
        <rFont val="Calibri"/>
        <family val="2"/>
        <scheme val="minor"/>
      </rPr>
      <t>La Red Regional de Emprendimiento del Departamento del Quindío se reúne trimestralmente, la cual cuenta con un representante del Consejo Departamental de Juventudes. Así mismo, se incluye a la mesa dos representantes de los emprendedores.
El día 4 de mayo de 2023, se realizó reunión con los participantes de la Red Departamental de emprendiemiento, en este encuentro se tocaron diferentes temas y actividades a desarrollar este año, empezando por el primer evento que fue  el programa de preincubación con la   entidad Cemprende donde principalmente se articularon  universidades y el Departamento del Quindio, este  programa  fue todo un éxito y tuvo el cierre el 5 de julio de 2023, en el cual participaron xxxx y llegaron a la fase final 12 empredimientos.
Dentro de la agenda se establecio continuar con la Celebración sobre la semana de emprendimiento, y llevar acabo el festival emprendelac festic.
Por ultimo se converso sobre el Programa de impulsa, que para llevarlo acabo se requerían de todas las entidades que conforman la Red Departamental de Emprendiemiento y fue liderado por la cámara de comercio en el territorio, en este programa se incribieron 90 personas y a la etapa final llegaron 13 emprendimientos</t>
    </r>
  </si>
  <si>
    <r>
      <rPr>
        <b/>
        <sz val="10"/>
        <rFont val="Calibri"/>
        <family val="2"/>
        <scheme val="minor"/>
      </rPr>
      <t xml:space="preserve">Secretaría de familia: </t>
    </r>
    <r>
      <rPr>
        <sz val="10"/>
        <rFont val="Calibri"/>
        <family val="2"/>
        <scheme val="minor"/>
      </rPr>
      <t xml:space="preserve">La tasa de cobertura básica secundaria reportadda por el ministerio de educación corresponde al 63,34 %
</t>
    </r>
    <r>
      <rPr>
        <b/>
        <sz val="10"/>
        <rFont val="Calibri"/>
        <family val="2"/>
        <scheme val="minor"/>
      </rPr>
      <t>Alcaldía de Calarcá:</t>
    </r>
    <r>
      <rPr>
        <sz val="10"/>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rFont val="Calibri"/>
        <family val="2"/>
        <scheme val="minor"/>
      </rPr>
      <t>Secretaría de Educación:</t>
    </r>
    <r>
      <rPr>
        <sz val="10"/>
        <rFont val="Calibri"/>
        <family val="2"/>
        <scheme val="minor"/>
      </rPr>
      <t xml:space="preserve"> Desde las I.E se realiza la oferta a los 11 municipios no certificados y es aprobada por la Secretaria Departamental y el MEN. 
</t>
    </r>
    <r>
      <rPr>
        <b/>
        <sz val="10"/>
        <rFont val="Calibri"/>
        <family val="2"/>
        <scheme val="minor"/>
      </rPr>
      <t>Alcaldía Córdoba:</t>
    </r>
    <r>
      <rPr>
        <sz val="10"/>
        <rFont val="Calibri"/>
        <family val="2"/>
        <scheme val="minor"/>
      </rPr>
      <t xml:space="preserve"> Garantizó la atención con estrategias de permanencia ( PAE - Programa de Alimentacion Escolar y transorte escolar) a los estudiantes que cumplen los criterios de focalizacion, igualmente se llevó a cabo la articulacion con el SENA  para ofrecer  dos modalidades  Tecnicas (Técnico en Agroindustria alimentaria  y Técnico en Sistemas Agropecuarios Ecológicos).
</t>
    </r>
    <r>
      <rPr>
        <b/>
        <sz val="10"/>
        <rFont val="Calibri"/>
        <family val="2"/>
        <scheme val="minor"/>
      </rPr>
      <t>Alcaldia Armenia:</t>
    </r>
    <r>
      <rPr>
        <sz val="10"/>
        <rFont val="Calibri"/>
        <family val="2"/>
        <scheme val="minor"/>
      </rPr>
      <t xml:space="preserve"> Tasa bruta de cobertura bruta en preescolar, básica primaria, secundaria y media107,28%</t>
    </r>
  </si>
  <si>
    <r>
      <rPr>
        <b/>
        <sz val="10"/>
        <rFont val="Calibri"/>
        <family val="2"/>
        <scheme val="minor"/>
      </rPr>
      <t xml:space="preserve">Secretaría de familia: </t>
    </r>
    <r>
      <rPr>
        <sz val="10"/>
        <rFont val="Calibri"/>
        <family val="2"/>
        <scheme val="minor"/>
      </rPr>
      <t>La tasa de cobertura neta media vocacional reportada por el ministerio de educación corresponde al 63,34 %</t>
    </r>
    <r>
      <rPr>
        <b/>
        <sz val="10"/>
        <rFont val="Calibri"/>
        <family val="2"/>
        <scheme val="minor"/>
      </rPr>
      <t xml:space="preserve">
Alcaldía de Buenavista</t>
    </r>
    <r>
      <rPr>
        <sz val="10"/>
        <rFont val="Calibri"/>
        <family val="2"/>
        <scheme val="minor"/>
      </rPr>
      <t xml:space="preserve">: Cuenta con la cobertura integral en básica secundaria, no tenemos reportes de jóvenes que esten desescolarizados.
</t>
    </r>
    <r>
      <rPr>
        <b/>
        <sz val="10"/>
        <rFont val="Calibri"/>
        <family val="2"/>
        <scheme val="minor"/>
      </rPr>
      <t xml:space="preserve">Secretaría de Educación: </t>
    </r>
    <r>
      <rPr>
        <sz val="10"/>
        <rFont val="Calibri"/>
        <family val="2"/>
        <scheme val="minor"/>
      </rPr>
      <t xml:space="preserve">La Secretaría de Educación Departamental , en la actualidad está adelantando la Jornada de Matrícula “Nos vemos en el cole” que se lleva a cabo en diferentes municipios no certificados del Departamento del Quindío.
</t>
    </r>
    <r>
      <rPr>
        <b/>
        <sz val="10"/>
        <rFont val="Calibri"/>
        <family val="2"/>
        <scheme val="minor"/>
      </rPr>
      <t>Alcaldía Armenia:</t>
    </r>
    <r>
      <rPr>
        <sz val="10"/>
        <rFont val="Calibri"/>
        <family val="2"/>
        <scheme val="minor"/>
      </rPr>
      <t xml:space="preserve"> 23 Instituciones Educativas y 1200 Jóvenes de media de las Instituciones Educativas.
</t>
    </r>
    <r>
      <rPr>
        <b/>
        <sz val="10"/>
        <rFont val="Calibri"/>
        <family val="2"/>
        <scheme val="minor"/>
      </rPr>
      <t xml:space="preserve">Alcaldía Génova: </t>
    </r>
    <r>
      <rPr>
        <sz val="10"/>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garantizó la atención con estrategias de permanencia ( PAE - Programa de Alimentacion Escolar y transorte escolar) a los estudiantes que cumplen los criterios de focalización, igualmente se llevó a cabo la articulación con el SENA  para ofrecer dos modalidades técnicas (Técnico en Agroindustria alimentaria  y Técnico en Sistemas Agropecuarios Ecológicos).
</t>
    </r>
    <r>
      <rPr>
        <b/>
        <sz val="10"/>
        <rFont val="Calibri"/>
        <family val="2"/>
        <scheme val="minor"/>
      </rPr>
      <t xml:space="preserve">Alcaldía de Armenia: </t>
    </r>
    <r>
      <rPr>
        <sz val="10"/>
        <rFont val="Calibri"/>
        <family val="2"/>
        <scheme val="minor"/>
      </rPr>
      <t xml:space="preserve">Instituciones Educativas con procesos de atención en jornada complememtaria, en total 20 Insitituciones educativas con 8000 niños, niñas, jóvenes y adultos.
</t>
    </r>
    <r>
      <rPr>
        <b/>
        <sz val="10"/>
        <rFont val="Calibri"/>
        <family val="2"/>
        <scheme val="minor"/>
      </rPr>
      <t>Alcaldía de Calarcá:</t>
    </r>
    <r>
      <rPr>
        <sz val="10"/>
        <rFont val="Calibri"/>
        <family val="2"/>
        <scheme val="minor"/>
      </rPr>
      <t xml:space="preserve"> Se brinda apoyo a las instituciones educativas con el pago de los servicios públicos, para el beneficio de los estudiantes de basica secundaria y media vocacional en el municipio de calarcá´.
</t>
    </r>
  </si>
  <si>
    <r>
      <rPr>
        <b/>
        <sz val="10"/>
        <rFont val="Calibri"/>
        <family val="2"/>
        <scheme val="minor"/>
      </rPr>
      <t>Observación: SEGÚN REPORTE DE SEC. EDUCACIÓN SE IMPLEMENTAN 4 METODOLOGÍAS.</t>
    </r>
    <r>
      <rPr>
        <sz val="10"/>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rFont val="Calibri"/>
        <family val="2"/>
        <scheme val="minor"/>
      </rPr>
      <t xml:space="preserve">Secretaría de Educación: </t>
    </r>
    <r>
      <rPr>
        <sz val="10"/>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r>
      <rPr>
        <b/>
        <sz val="10"/>
        <rFont val="Calibri"/>
        <family val="2"/>
        <scheme val="minor"/>
      </rPr>
      <t>Alcaldia Buenavista:</t>
    </r>
    <r>
      <rPr>
        <sz val="10"/>
        <rFont val="Calibri"/>
        <family val="2"/>
        <scheme val="minor"/>
      </rPr>
      <t xml:space="preserve"> desde la institución educativa se cuenta con un programa de estudio los días sabados que permite a los jovenes con extra edad, terminar su bachillerato.
</t>
    </r>
    <r>
      <rPr>
        <b/>
        <sz val="10"/>
        <rFont val="Calibri"/>
        <family val="2"/>
        <scheme val="minor"/>
      </rPr>
      <t>Alcaldía de Pijao:</t>
    </r>
    <r>
      <rPr>
        <sz val="10"/>
        <rFont val="Calibri"/>
        <family val="2"/>
        <scheme val="minor"/>
      </rPr>
      <t xml:space="preserve"> no cuenta con metodologias flexibles implementadas
</t>
    </r>
    <r>
      <rPr>
        <b/>
        <sz val="10"/>
        <rFont val="Calibri"/>
        <family val="2"/>
        <scheme val="minor"/>
      </rPr>
      <t xml:space="preserve">Alcaldía Armenia: </t>
    </r>
    <r>
      <rPr>
        <sz val="10"/>
        <rFont val="Calibri"/>
        <family val="2"/>
        <scheme val="minor"/>
      </rPr>
      <t>700 jóvenes y adultos atendidos a través de modelos flexibles</t>
    </r>
  </si>
  <si>
    <r>
      <rPr>
        <b/>
        <sz val="10"/>
        <rFont val="Calibri"/>
        <family val="2"/>
        <scheme val="minor"/>
      </rPr>
      <t xml:space="preserve">
Secretaría de Familia: </t>
    </r>
    <r>
      <rPr>
        <sz val="10"/>
        <rFont val="Calibri"/>
        <family val="2"/>
        <scheme val="minor"/>
      </rPr>
      <t xml:space="preserve">La Tasa de deserción a largo plazo (semestre 10) es del 54,3% según reporte del Ministerio de Educación y la tasa de absorcion de bachilleres es del 47,3%
</t>
    </r>
    <r>
      <rPr>
        <b/>
        <sz val="10"/>
        <rFont val="Calibri"/>
        <family val="2"/>
        <scheme val="minor"/>
      </rPr>
      <t xml:space="preserve">Alcaldía de Buenavista: </t>
    </r>
    <r>
      <rPr>
        <sz val="10"/>
        <rFont val="Calibri"/>
        <family val="2"/>
        <scheme val="minor"/>
      </rPr>
      <t xml:space="preserve">desde la Institución Educativa se cuenta con un programa de estudio los días sábados que permite a los jóvenes con extra edad, terminar su bachillerato.
</t>
    </r>
    <r>
      <rPr>
        <b/>
        <sz val="10"/>
        <rFont val="Calibri"/>
        <family val="2"/>
        <scheme val="minor"/>
      </rPr>
      <t>Alcaldía de Filandia:</t>
    </r>
    <r>
      <rPr>
        <sz val="10"/>
        <rFont val="Calibri"/>
        <family val="2"/>
        <scheme val="minor"/>
      </rPr>
      <t xml:space="preserve"> 35%  de 140 recién graduados en el municipio de Filandia, ingresan al menos 25 a la Universidad en el siguiente año.
</t>
    </r>
    <r>
      <rPr>
        <b/>
        <sz val="10"/>
        <rFont val="Calibri"/>
        <family val="2"/>
        <scheme val="minor"/>
      </rPr>
      <t>Alcaldía Génova:</t>
    </r>
    <r>
      <rPr>
        <sz val="10"/>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se encuentra conformado el Comité Municipal de Becas Universitarias para la educación superior pública, para quienes cumplan con los requisitos y envíen la solicitud. Actualmente no se encuentran beneficiarios ya que está en vigencia la Política Nacional de Matrícula Cero y los jóvenes del municipio que estudian en la universidad pública accedieron a esta. La información no puede ser socializada en porcentaje (%) por el municipio.          
</t>
    </r>
    <r>
      <rPr>
        <b/>
        <sz val="10"/>
        <rFont val="Calibri"/>
        <family val="2"/>
        <scheme val="minor"/>
      </rPr>
      <t>Alcaldía de Montenegro:</t>
    </r>
    <r>
      <rPr>
        <sz val="10"/>
        <rFont val="Calibri"/>
        <family val="2"/>
        <scheme val="minor"/>
      </rPr>
      <t xml:space="preserve"> al momento desde la subsecretaria de desarrollo social y ecucativo no se cuenta con esos datos para el primer trimestre del año.
</t>
    </r>
    <r>
      <rPr>
        <b/>
        <sz val="10"/>
        <rFont val="Calibri"/>
        <family val="2"/>
        <scheme val="minor"/>
      </rPr>
      <t>Alcaldía de Calarcá: S</t>
    </r>
    <r>
      <rPr>
        <sz val="10"/>
        <rFont val="Calibri"/>
        <family val="2"/>
        <scheme val="minor"/>
      </rPr>
      <t xml:space="preserve">e garantiza la alimentación escolar en las 14 instituciones educativas del Municipio. Además se cuenta con gratuidad de matrícula y cobertura del seguro escolar. 
</t>
    </r>
    <r>
      <rPr>
        <b/>
        <sz val="10"/>
        <rFont val="Calibri"/>
        <family val="2"/>
        <scheme val="minor"/>
      </rPr>
      <t xml:space="preserve">Secretaría de educación: </t>
    </r>
    <r>
      <rPr>
        <sz val="10"/>
        <rFont val="Calibri"/>
        <family val="2"/>
        <scheme val="minor"/>
      </rPr>
      <t xml:space="preserve">1. Qluster Didáctico Empresarial
2. Proyectos pedagógicos productivos.
3. Articulación con la Educación Superior.
4. Articulación con la Media Técnica.
5. Escuela Lider - Emprende Lider.
6. Territorio Stem + Qreativos.
7. Bilinguismo - Nativos
8. Plan de Oralidad. 
9. Laboratorios Pedagógicos Creativos.
</t>
    </r>
  </si>
  <si>
    <r>
      <t xml:space="preserve">
</t>
    </r>
    <r>
      <rPr>
        <b/>
        <sz val="10"/>
        <rFont val="Calibri"/>
        <family val="2"/>
        <scheme val="minor"/>
      </rPr>
      <t>Secretaría de Familia:</t>
    </r>
    <r>
      <rPr>
        <sz val="10"/>
        <rFont val="Calibri"/>
        <family val="2"/>
        <scheme val="minor"/>
      </rPr>
      <t xml:space="preserve"> La tasa de deserción universitaria es del 8,79%  según reporte del Ministerio de Educación.
</t>
    </r>
    <r>
      <rPr>
        <b/>
        <sz val="10"/>
        <rFont val="Calibri"/>
        <family val="2"/>
        <scheme val="minor"/>
      </rPr>
      <t>Alcaldía de Buenavista</t>
    </r>
    <r>
      <rPr>
        <sz val="10"/>
        <rFont val="Calibri"/>
        <family val="2"/>
        <scheme val="minor"/>
      </rPr>
      <t xml:space="preserve">: Fomenta la educación superior y por ello tiene realizado un convenio con el instituto técnico INTEP de Roldanillo Valle, el cual ha puesto su sede en el municipio, para que los jóvenes estudien una carrera universitaria; también entrega tiquetes estudiantiles para que los jóvenes que estudian en la ciudad de Armenia, con estos incentivos fomentamos la educación superior y procuramos que los jóvenes no deserten de sus carreras profesionales.
</t>
    </r>
    <r>
      <rPr>
        <b/>
        <sz val="10"/>
        <rFont val="Calibri"/>
        <family val="2"/>
        <scheme val="minor"/>
      </rPr>
      <t>Alcaldía de Filandia:</t>
    </r>
    <r>
      <rPr>
        <sz val="10"/>
        <rFont val="Calibri"/>
        <family val="2"/>
        <scheme val="minor"/>
      </rPr>
      <t xml:space="preserve"> 40% de los estudiantes desertan de la Universidad a lo largo de su carrera, ya sea para cambiar de carrera o abandonar el sistema Universitario (15% a largo plazo).
</t>
    </r>
    <r>
      <rPr>
        <b/>
        <sz val="10"/>
        <rFont val="Calibri"/>
        <family val="2"/>
        <scheme val="minor"/>
      </rPr>
      <t>Alcaldía de Pijao:</t>
    </r>
    <r>
      <rPr>
        <sz val="10"/>
        <rFont val="Calibri"/>
        <family val="2"/>
        <scheme val="minor"/>
      </rPr>
      <t xml:space="preserve"> Se cuenta con la posada estudiantil en Armenia.
</t>
    </r>
    <r>
      <rPr>
        <b/>
        <sz val="10"/>
        <rFont val="Calibri"/>
        <family val="2"/>
        <scheme val="minor"/>
      </rPr>
      <t>Alcaldía Armenia</t>
    </r>
    <r>
      <rPr>
        <sz val="10"/>
        <rFont val="Calibri"/>
        <family val="2"/>
        <scheme val="minor"/>
      </rPr>
      <t xml:space="preserve">: Población víctimas del conflicto, vulnerables, jóvenes y adultos con estrategias de apoyo educativo  y seguimiento al ausentismo escolar (635 personas atendidas) 
</t>
    </r>
    <r>
      <rPr>
        <b/>
        <sz val="10"/>
        <rFont val="Calibri"/>
        <family val="2"/>
        <scheme val="minor"/>
      </rPr>
      <t>Alcaldía Génova:</t>
    </r>
    <r>
      <rPr>
        <sz val="10"/>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 xml:space="preserve">Alcaldía Salento: </t>
    </r>
    <r>
      <rPr>
        <sz val="10"/>
        <rFont val="Calibri"/>
        <family val="2"/>
        <scheme val="minor"/>
      </rPr>
      <t xml:space="preserve">Avance en la propuesta de reestablecimiento de los subsidios de transporte para estudiantes universitarios residentes en el municipio.
</t>
    </r>
    <r>
      <rPr>
        <b/>
        <sz val="10"/>
        <rFont val="Calibri"/>
        <family val="2"/>
        <scheme val="minor"/>
      </rPr>
      <t>Alcaldía de Córdoba:</t>
    </r>
    <r>
      <rPr>
        <sz val="10"/>
        <rFont val="Calibri"/>
        <family val="2"/>
        <scheme val="minor"/>
      </rPr>
      <t xml:space="preserve"> La Institución Educativa ofrece todo el ciclo básico lo que contribuye a asegurar la continuidad y el flujo de los estudiantes a través de los niveles de  básica, secundaria y media. Además, se ofrece dos modalidades en convenio SENA: sistemas agropecuarios ecológicos y agroindustria alimentaria.                                                                                                                                                                                                                                   Se diseñan los Planes de Mejoramiento y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-Hay flexibilidad de los modelos educativos que se implementan, que son capaces de adaptarse a las necesidades de los niños y jóvenes.                                                        
Seguimiento a través de comité de ausentismo.                                             La información no puede ser socializada en tasa por la alcaldía municipal.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rFont val="Calibri"/>
        <family val="2"/>
        <scheme val="minor"/>
      </rPr>
      <t xml:space="preserve">Alcaldía de Calarcá: </t>
    </r>
    <r>
      <rPr>
        <sz val="10"/>
        <rFont val="Calibri"/>
        <family val="2"/>
        <scheme val="minor"/>
      </rPr>
      <t>Se realizan</t>
    </r>
    <r>
      <rPr>
        <b/>
        <sz val="10"/>
        <rFont val="Calibri"/>
        <family val="2"/>
        <scheme val="minor"/>
      </rPr>
      <t xml:space="preserve"> </t>
    </r>
    <r>
      <rPr>
        <sz val="10"/>
        <rFont val="Calibri"/>
        <family val="2"/>
        <scheme val="minor"/>
      </rPr>
      <t xml:space="preserve">sensibilizaciones de fortalecimiento familiar, con el fin de que los padres acompañen adecuadamente a sus hijos en el proceso educativo.
</t>
    </r>
  </si>
  <si>
    <r>
      <t xml:space="preserve">
</t>
    </r>
    <r>
      <rPr>
        <b/>
        <sz val="10"/>
        <rFont val="Calibri"/>
        <family val="2"/>
        <scheme val="minor"/>
      </rPr>
      <t>Secretaría de Familia:</t>
    </r>
    <r>
      <rPr>
        <sz val="10"/>
        <rFont val="Calibri"/>
        <family val="2"/>
        <scheme val="minor"/>
      </rPr>
      <t xml:space="preserve"> La tasa de cobertura de educación superior es del 62,3% según reporte del Ministerio de Educación.
</t>
    </r>
    <r>
      <rPr>
        <b/>
        <sz val="10"/>
        <color rgb="FFFF0000"/>
        <rFont val="Calibri"/>
        <family val="2"/>
        <scheme val="minor"/>
      </rPr>
      <t/>
    </r>
  </si>
  <si>
    <r>
      <t xml:space="preserve">
</t>
    </r>
    <r>
      <rPr>
        <b/>
        <sz val="10"/>
        <rFont val="Calibri"/>
        <family val="2"/>
        <scheme val="minor"/>
      </rPr>
      <t xml:space="preserve">Secretaría de Salud: </t>
    </r>
    <r>
      <rPr>
        <sz val="10"/>
        <rFont val="Calibri"/>
        <family val="2"/>
        <scheme val="minor"/>
      </rPr>
      <t xml:space="preserve">Asistencias técnicas y aplicación de lista de chequeo sobre Ruta de atención integral en salud sexual y reproductiva Res. 3280 curso de vida adolescente en las IPS de los municipios del Quindío.
Población: Funcionarios P y D
Cantidad de personas: 37
Institución: IPS de los municipios del departamento del Quindío
Actividad o acción: Aplicación lista de chequeo y verificación sobre ruta de atención integral en salud sexual y reproductiva Res, 3280 curso de vida adolescente
Temas tratados: Ruta de atención integral en salud sexual y reproductiva Res, 3280 curso de vida adolescente.
Población: Funcionarios P y D
Cantidad de personas: 26
Institución: IPS de los municipios del departamento del Quindío
Actividad o acción: Asistencia técnica sobre ruta de atención integral en salud sexual y reproductiva Res, 3280 curso de vida adolescente
Temas tratados: Ruta de atención integral en salud sexual y reproductiva Res, 3280 curso de vida adolescente-capacitación herramienta Tanner.
Población: Pacientes adolescentes
Cantidad de personas: 19
Institución: IPS de los municipios del departamento del Quindío
Actividad o acción: Aplicación lista de chequeo sobre ruta de atención integral en salud sexual y reproductiva Res, 3280 curso de vida adolescente
Temas tratados: Ruta de atención integral en salud sexual y reproductiva Res, 3280 curso de vida adolescente-capacitación herramienta Tanner.
Se realizó aplicación de lista de chequeo de calidad de los servicios de salud amigables para adolescentes y jóvenes en las IPS de los 11 municipios y con usuarios adolescentes y padres de familia.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</si>
  <si>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Buenavista:</t>
    </r>
    <r>
      <rPr>
        <sz val="10"/>
        <rFont val="Calibri"/>
        <family val="2"/>
        <scheme val="minor"/>
      </rPr>
      <t xml:space="preserve"> Se revisa la prestación del servicio a jóvenes por parte del plan local de Salud al Hospital San Camilo  
</t>
    </r>
    <r>
      <rPr>
        <b/>
        <sz val="10"/>
        <rFont val="Calibri"/>
        <family val="2"/>
        <scheme val="minor"/>
      </rPr>
      <t xml:space="preserve">Alcaldía de Pijao: </t>
    </r>
    <r>
      <rPr>
        <sz val="10"/>
        <rFont val="Calibri"/>
        <family val="2"/>
        <scheme val="minor"/>
      </rPr>
      <t xml:space="preserve">Los representantes de los jóvenes son miembros activos y participan en el Comité de Salud Municipal.
</t>
    </r>
    <r>
      <rPr>
        <b/>
        <sz val="10"/>
        <rFont val="Calibri"/>
        <family val="2"/>
        <scheme val="minor"/>
      </rPr>
      <t xml:space="preserve">Alcaldía Calarcá: </t>
    </r>
    <r>
      <rPr>
        <sz val="10"/>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rFont val="Calibri"/>
        <family val="2"/>
        <scheme val="minor"/>
      </rPr>
      <t xml:space="preserve">Secretaría de Salud: </t>
    </r>
    <r>
      <rPr>
        <sz val="10"/>
        <rFont val="Calibri"/>
        <family val="2"/>
        <scheme val="minor"/>
      </rPr>
      <t xml:space="preserve">Se han realizado talleres pedagógicos en 4 municipios del Quindío para la prevención de embarazo en la adolescencia y de infecciones de transmisión sexual. Se han visitado 11 IPS de 11 municipios realizando seguimiento de la calidad en la implementación de los servicios de salud amigables para adolescentes y jóvenes SSAAJ. Se realizaron visitas a 4 IPS de 4 municipios para el seguimiento de la implementación curso de vida adolescentes . Se han realizado 4 talleres pedagógicos con estudiantes de 4 municipios para prevención y promoción de la salud sexual y reproductiva.
</t>
    </r>
    <r>
      <rPr>
        <b/>
        <sz val="10"/>
        <rFont val="Calibri"/>
        <family val="2"/>
        <scheme val="minor"/>
      </rPr>
      <t>Alcaldía Tebaida:</t>
    </r>
    <r>
      <rPr>
        <sz val="10"/>
        <rFont val="Calibri"/>
        <family val="2"/>
        <scheme val="minor"/>
      </rPr>
      <t xml:space="preserve">  El total de la población activa que corresponde al Régimen Subsidiado es de 22.281 de este total,  5.394 es población joven que está en el rango de 14 a 28 año y El total de la población activa que corresponde al Régimen Contributivo es de 9.522 de este total 2.610 es población joven que está en el rango de 14 a 28 años.
</t>
    </r>
  </si>
  <si>
    <r>
      <t>Alcaldía Filandia:</t>
    </r>
    <r>
      <rPr>
        <sz val="10"/>
        <rFont val="Calibri"/>
        <family val="2"/>
        <scheme val="minor"/>
      </rPr>
      <t xml:space="preserve"> 340 jóvenes participan en actividades recreativas, deportivas y de actividad física.</t>
    </r>
    <r>
      <rPr>
        <b/>
        <sz val="10"/>
        <rFont val="Calibri"/>
        <family val="2"/>
        <scheme val="minor"/>
      </rPr>
      <t xml:space="preserve">
Alcaldía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
Alcaldía Génova:  </t>
    </r>
    <r>
      <rPr>
        <sz val="10"/>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juveniles y actividades recreativas.</t>
    </r>
    <r>
      <rPr>
        <b/>
        <sz val="10"/>
        <rFont val="Calibri"/>
        <family val="2"/>
        <scheme val="minor"/>
      </rPr>
      <t xml:space="preserve">
Alcaldía de Armenia: </t>
    </r>
    <r>
      <rPr>
        <sz val="10"/>
        <rFont val="Calibri"/>
        <family val="2"/>
        <scheme val="minor"/>
      </rPr>
      <t xml:space="preserve">Promoción, apoyo logístico, ejecución y dotación de grupos de recreación dirigida a 4295 jóvenes.   </t>
    </r>
    <r>
      <rPr>
        <b/>
        <sz val="10"/>
        <rFont val="Calibri"/>
        <family val="2"/>
        <scheme val="minor"/>
      </rPr>
      <t xml:space="preserve">         
Alcaldía de Montenegro: S</t>
    </r>
    <r>
      <rPr>
        <sz val="10"/>
        <rFont val="Calibri"/>
        <family val="2"/>
        <scheme val="minor"/>
      </rPr>
      <t xml:space="preserve">e ha fortalecido la oferta institucional frente a la actividad física al igual que los grupos de formación deportiva, se hace promoción y seguimiento de eventos y actividades
</t>
    </r>
    <r>
      <rPr>
        <b/>
        <sz val="10"/>
        <rFont val="Calibri"/>
        <family val="2"/>
        <scheme val="minor"/>
      </rPr>
      <t>Alcaldía de Pijao:</t>
    </r>
    <r>
      <rPr>
        <sz val="10"/>
        <rFont val="Calibri"/>
        <family val="2"/>
        <scheme val="minor"/>
      </rPr>
      <t xml:space="preserve"> Entrenamientos permanentes con las escuelas deportivas, actividades recreativas con el colegio la mariela (rural), apoyo actividades eninstituciones educativas urbanas en los interclases.</t>
    </r>
    <r>
      <rPr>
        <b/>
        <sz val="10"/>
        <rFont val="Calibri"/>
        <family val="2"/>
        <scheme val="minor"/>
      </rPr>
      <t xml:space="preserve">
Alcaldía de Calarcá: </t>
    </r>
    <r>
      <rPr>
        <sz val="10"/>
        <rFont val="Calibri"/>
        <family val="2"/>
        <scheme val="minor"/>
      </rPr>
      <t xml:space="preserve">Desde la Subsecretaría de Cultura se realizó el evento "Caciques más fuertes" y "Color fest".
</t>
    </r>
    <r>
      <rPr>
        <b/>
        <sz val="10"/>
        <rFont val="Calibri"/>
        <family val="2"/>
        <scheme val="minor"/>
      </rPr>
      <t xml:space="preserve">Alcaldía Córdoba: </t>
    </r>
    <r>
      <rPr>
        <sz val="10"/>
        <rFont val="Calibri"/>
        <family val="2"/>
        <scheme val="minor"/>
      </rPr>
      <t xml:space="preserve">se cuenta con las  escuelas de formación deportiva en natación, patinaje y el centro de alto rendimiento gimnasio: NATACIÓN: 38 deportistas entre los 4 a 15 años. PATINAJE: 25 deportistas entre los 4 a 15 años GIMNASIO: 83 deportistas entre los 13 a 65 años.  La información no puede ser socializada en porcentaje (%) por el municipio.          </t>
    </r>
    <r>
      <rPr>
        <b/>
        <sz val="10"/>
        <rFont val="Calibri"/>
        <family val="2"/>
        <scheme val="minor"/>
      </rPr>
      <t xml:space="preserve">
INDEPORTES:</t>
    </r>
    <r>
      <rPr>
        <sz val="10"/>
        <rFont val="Calibri"/>
        <family val="2"/>
        <scheme val="minor"/>
      </rPr>
      <t xml:space="preserve"> 254 jóvenes atendidos con el servicio de promoción de la actividad física, la recreación y el deporte, mediante hábitos y estilos de vida saludable, acompañamiento a grupos de campistas juveniles y recreación.
</t>
    </r>
    <r>
      <rPr>
        <b/>
        <sz val="10"/>
        <rFont val="Calibri"/>
        <family val="2"/>
        <scheme val="minor"/>
      </rPr>
      <t xml:space="preserve">Alcaldía salento: </t>
    </r>
    <r>
      <rPr>
        <sz val="10"/>
        <rFont val="Calibri"/>
        <family val="2"/>
        <scheme val="minor"/>
      </rPr>
      <t xml:space="preserve">177 jóvenes que pertenecen a escuelas deportivas.
</t>
    </r>
  </si>
  <si>
    <r>
      <rPr>
        <b/>
        <sz val="10"/>
        <rFont val="Calibri"/>
        <family val="2"/>
        <scheme val="minor"/>
      </rPr>
      <t xml:space="preserve">Secretaría de Salud: </t>
    </r>
    <r>
      <rPr>
        <sz val="10"/>
        <rFont val="Calibri"/>
        <family val="2"/>
        <scheme val="minor"/>
      </rPr>
      <t>Se realizan actividades como el seguimiento a la gestión del riesgo en los eventos violencia de género e intento de suicidio y otros trastornos mentales, en ese sentido se hace articulación con instituciones Prestadoras de Servicios de Salud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realiza generación de capacidad técnica con capacitaciones en temas de interés en salud mental como: primeros auxilios emocionales, comunicación de la noticia del suicidio enfocado a periodistas, asistencias técnicas a los planes locales en temas específicos del programa de salud mental.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t>
    </r>
  </si>
  <si>
    <r>
      <t xml:space="preserve">
</t>
    </r>
    <r>
      <rPr>
        <b/>
        <sz val="10"/>
        <rFont val="Calibri"/>
        <family val="2"/>
        <scheme val="minor"/>
      </rPr>
      <t>Secretaría del Interior:</t>
    </r>
    <r>
      <rPr>
        <sz val="10"/>
        <rFont val="Calibri"/>
        <family val="2"/>
        <scheme val="minor"/>
      </rPr>
      <t xml:space="preserve"> Acompañamiento y seguimiento en los municipios de Armenia, Circasia y Salento en la ejecución de los PISCC
</t>
    </r>
    <r>
      <rPr>
        <b/>
        <sz val="10"/>
        <rFont val="Calibri"/>
        <family val="2"/>
        <scheme val="minor"/>
      </rPr>
      <t>Policía Nacional</t>
    </r>
    <r>
      <rPr>
        <sz val="10"/>
        <rFont val="Calibri"/>
        <family val="2"/>
        <scheme val="minor"/>
      </rPr>
      <t xml:space="preserve">: Nos encontramos dando aplicabilidad al programa de prevención  “Abre Tus Ojos” de la Direccion de Protección a la Infancia y Adolescencia, en el Departamento del Quindío teniendo en cuenta planes de trabajo internos.
</t>
    </r>
    <r>
      <rPr>
        <b/>
        <sz val="10"/>
        <rFont val="Calibri"/>
        <family val="2"/>
        <scheme val="minor"/>
      </rPr>
      <t>ICBF:</t>
    </r>
    <r>
      <rPr>
        <sz val="10"/>
        <rFont val="Calibri"/>
        <family val="2"/>
        <scheme val="minor"/>
      </rPr>
      <t xml:space="preserve"> Asitencias tecnicas, acompañamiento en los comités municipales 
Divulgación ruta de convivencia escolar
*Acompañamiento a los comités de los municipios de Armenia, Filandia, Circasia, La Tebaida y Córdoba.
</t>
    </r>
  </si>
  <si>
    <r>
      <t xml:space="preserve">
</t>
    </r>
    <r>
      <rPr>
        <b/>
        <sz val="10"/>
        <rFont val="Calibri"/>
        <family val="2"/>
        <scheme val="minor"/>
      </rPr>
      <t>Secretaría de Familia:</t>
    </r>
    <r>
      <rPr>
        <sz val="10"/>
        <rFont val="Calibri"/>
        <family val="2"/>
        <scheme val="minor"/>
      </rPr>
      <t xml:space="preserve"> la tasa de accidentes fatales viales x 100 mil jóvenes es 131 según fuente de verificación, sin embargo la tasa nacional no fue encontrada en esta fuente.
</t>
    </r>
    <r>
      <rPr>
        <b/>
        <sz val="10"/>
        <rFont val="Calibri"/>
        <family val="2"/>
        <scheme val="minor"/>
      </rPr>
      <t>Alcaldía de Armenia:</t>
    </r>
    <r>
      <rPr>
        <sz val="10"/>
        <rFont val="Calibri"/>
        <family val="2"/>
        <scheme val="minor"/>
      </rPr>
      <t xml:space="preserve"> Realización de educación a personas en todos los cursos de vida en la prevención del accidente de tránsito 301.
</t>
    </r>
    <r>
      <rPr>
        <b/>
        <sz val="10"/>
        <rFont val="Calibri"/>
        <family val="2"/>
        <scheme val="minor"/>
      </rPr>
      <t>Alcaldía Salento:</t>
    </r>
    <r>
      <rPr>
        <sz val="10"/>
        <rFont val="Calibri"/>
        <family val="2"/>
        <scheme val="minor"/>
      </rPr>
      <t xml:space="preserve"> En ejecución la Política Pública de Seguridad Vial, proceso a cargo de la Secretaría de Gobierno
</t>
    </r>
    <r>
      <rPr>
        <b/>
        <sz val="10"/>
        <rFont val="Calibri"/>
        <family val="2"/>
        <scheme val="minor"/>
      </rPr>
      <t>Alcaldía de Calarcá</t>
    </r>
    <r>
      <rPr>
        <sz val="10"/>
        <rFont val="Calibri"/>
        <family val="2"/>
        <scheme val="minor"/>
      </rPr>
      <t xml:space="preserve">: Jornadas de capacitación en las 17 Instituciones Educativas del Municipio.
</t>
    </r>
    <r>
      <rPr>
        <b/>
        <sz val="10"/>
        <rFont val="Calibri"/>
        <family val="2"/>
        <scheme val="minor"/>
      </rPr>
      <t>Alcaldía de Pijao</t>
    </r>
    <r>
      <rPr>
        <sz val="10"/>
        <rFont val="Calibri"/>
        <family val="2"/>
        <scheme val="minor"/>
      </rPr>
      <t xml:space="preserve">: No cuenta con casos, no se adelanta ninguna acción.
</t>
    </r>
    <r>
      <rPr>
        <b/>
        <sz val="10"/>
        <rFont val="Calibri"/>
        <family val="2"/>
        <scheme val="minor"/>
      </rPr>
      <t xml:space="preserve">IDTQ: </t>
    </r>
    <r>
      <rPr>
        <sz val="10"/>
        <rFont val="Calibri"/>
        <family val="2"/>
        <scheme val="minor"/>
      </rPr>
      <t xml:space="preserve">Se implementó el Programa de formación cultural  de la seguridad en la vial , con el desarrollo de las siguientes actividades: 
1. Capacitación de motociclistas en vía, en normatividad y cultura vial  en los municipios de Montenegro, Salento, Circasia y Filandia.                                                                                                                                                                                                                                                                                               2. Capacitación y sensibilización en moto destrezas,  al personal  de los municipios donde el IDTQ tiene  las competencias,  donde se practicaron habilidades y destrezas para la conducción de motos.                                                                                                                                                                          3. Capacitación a Docentes y Directivas en desarrollo de normatividad, seguridad vial, PESV, en la Institución educativa Jesús Maria Córdoba del municipio de Córdoba .                                                                                                                                                                                                                                                                                           4. Reunión de socialización para la consecución de recursos de la estrategia de movilidad segura y sostenible con la secretaria de salud departamental.                                                                                                                                                                                                                                                       5. Reunión secretaria de salud Departamental relacionada con la implementación del programa y división 6. Soporte en  la señalización para los puntos de derrumbes en la vía.   
</t>
    </r>
    <r>
      <rPr>
        <b/>
        <sz val="10"/>
        <rFont val="Calibri"/>
        <family val="2"/>
        <scheme val="minor"/>
      </rPr>
      <t>Alcaldía de Montenegro:</t>
    </r>
    <r>
      <rPr>
        <sz val="10"/>
        <rFont val="Calibri"/>
        <family val="2"/>
        <scheme val="minor"/>
      </rPr>
      <t xml:space="preserve"> Planes adelantados frente a la movilidad, la educación en seguridad vial, fortalecimiento cultural y el compromiso por la seguridad vial por Montenegro. Una coordinación interinstitucional con policía nacional y agentes de tránsito en un recorrido por el municipio para generar conciencia e impacto en la comunidad
</t>
    </r>
  </si>
  <si>
    <r>
      <rPr>
        <b/>
        <sz val="10"/>
        <rFont val="Calibri"/>
        <family val="2"/>
        <scheme val="minor"/>
      </rPr>
      <t xml:space="preserve">Se ejecutó el seguimiento a la ejecución de los planes de acción en un 100%.                                                 
Secretaría del Interior: </t>
    </r>
    <r>
      <rPr>
        <sz val="10"/>
        <rFont val="Calibri"/>
        <family val="2"/>
        <scheme val="minor"/>
      </rPr>
      <t xml:space="preserve">Se realizó la actualización del plan integral departamental de derechos humanos donde se establece la ruta de protección y el plan de prevención de derechos humanos. Cada municipio tiene el plan integral de prevención de derechos humanos.    
</t>
    </r>
  </si>
  <si>
    <r>
      <t xml:space="preserve">Secretaría del Interior: </t>
    </r>
    <r>
      <rPr>
        <sz val="10"/>
        <rFont val="Calibri"/>
        <family val="2"/>
        <scheme val="minor"/>
      </rPr>
      <t xml:space="preserve">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rFont val="Calibri"/>
        <family val="2"/>
        <scheme val="minor"/>
      </rPr>
      <t>Policía Nacional:</t>
    </r>
    <r>
      <rPr>
        <sz val="10"/>
        <rFont val="Calibri"/>
        <family val="2"/>
        <scheme val="minor"/>
      </rPr>
      <t xml:space="preserve"> nos encontramos dando aplicabilidad al programa de prevención  “Abre Tus Ojos” de la Dirección de Protección a la Infancia y adolescencia, en el Departamento del Quindío teniendo en cuenta planes de trabajo internos.   </t>
    </r>
  </si>
  <si>
    <r>
      <t xml:space="preserve">
</t>
    </r>
    <r>
      <rPr>
        <b/>
        <sz val="10"/>
        <rFont val="Calibri"/>
        <family val="2"/>
        <scheme val="minor"/>
      </rPr>
      <t>Alcaldía Quimbaya:</t>
    </r>
    <r>
      <rPr>
        <sz val="10"/>
        <rFont val="Calibri"/>
        <family val="2"/>
        <scheme val="minor"/>
      </rPr>
      <t xml:space="preserve"> Actualmente las siete (7) instituciones educativas cuentan con las Zonas de Orientación Escolar, donde se trabaja el PESCC
</t>
    </r>
    <r>
      <rPr>
        <b/>
        <sz val="10"/>
        <rFont val="Calibri"/>
        <family val="2"/>
        <scheme val="minor"/>
      </rPr>
      <t>Alcaldía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para el primer trimestre no se han realizado acciones pare este indicador, pero se ha adelantado el proceso de convenio por medio del PIC con el ESE San Roque que se encarga de estos proyectos ya que cuenta con el personal idóneo en materia de educación sexual.
</t>
    </r>
    <r>
      <rPr>
        <b/>
        <sz val="10"/>
        <rFont val="Calibri"/>
        <family val="2"/>
        <scheme val="minor"/>
      </rPr>
      <t xml:space="preserve">Alcaldía de Montenegro: </t>
    </r>
    <r>
      <rPr>
        <sz val="10"/>
        <rFont val="Calibri"/>
        <family val="2"/>
        <scheme val="minor"/>
      </rPr>
      <t xml:space="preserve">se han realizado talleres enfocados en el autoestima al igual que talleres sobre la promoción del respeto y la garantía de los derechos sexuales y la igualdad entre hombres y mujeres.
</t>
    </r>
    <r>
      <rPr>
        <b/>
        <sz val="10"/>
        <rFont val="Calibri"/>
        <family val="2"/>
        <scheme val="minor"/>
      </rPr>
      <t xml:space="preserve">Alcaldía de Pijao: </t>
    </r>
    <r>
      <rPr>
        <sz val="10"/>
        <rFont val="Calibri"/>
        <family val="2"/>
        <scheme val="minor"/>
      </rPr>
      <t xml:space="preserve">Se llevó a cabo la proyección de la dimensión de salud sexual, derechos sexuales y reproductivos
</t>
    </r>
    <r>
      <rPr>
        <b/>
        <sz val="10"/>
        <rFont val="Calibri"/>
        <family val="2"/>
        <scheme val="minor"/>
      </rPr>
      <t xml:space="preserve">Alcaldía de Calarcá: </t>
    </r>
    <r>
      <rPr>
        <sz val="10"/>
        <rFont val="Calibri"/>
        <family val="2"/>
        <scheme val="minor"/>
      </rPr>
      <t xml:space="preserve">se realizaron 5 talleres a grupos focales de jóvenes de 14 a 28 años en riesgo en el marco de la implementacion de la política pública de juventud en 4 instituciones educativas del municipio de Calarcá. Por otra parte, se realizó un taller para socializar la ley estatutaria de juventudes con los líderes de consejos estudiantiles de las 14 instituciones del municipio.
</t>
    </r>
    <r>
      <rPr>
        <b/>
        <sz val="10"/>
        <rFont val="Calibri"/>
        <family val="2"/>
        <scheme val="minor"/>
      </rPr>
      <t>Alcaldía de Armenia:</t>
    </r>
    <r>
      <rPr>
        <sz val="10"/>
        <rFont val="Calibri"/>
        <family val="2"/>
        <scheme val="minor"/>
      </rPr>
      <t xml:space="preserve"> Personas sensibilizadas en el cuidado de la salud sexual y derechos sexuales y reproductivos (410 participantes).
A</t>
    </r>
    <r>
      <rPr>
        <b/>
        <sz val="10"/>
        <rFont val="Calibri"/>
        <family val="2"/>
        <scheme val="minor"/>
      </rPr>
      <t>lcaldia Buenavista: L</t>
    </r>
    <r>
      <rPr>
        <sz val="10"/>
        <rFont val="Calibri"/>
        <family val="2"/>
        <scheme val="minor"/>
      </rPr>
      <t xml:space="preserve">as instituciones educativas del municipio, tienen el Proyecto Educativo Institucional PEI, en el cual abordan estos temas por medio de campañas o talleres, también dede la comisaría de familia se realizan campañas a nivel municipal, que involucran a las instituciones educativas.
</t>
    </r>
    <r>
      <rPr>
        <b/>
        <sz val="10"/>
        <rFont val="Calibri"/>
        <family val="2"/>
        <scheme val="minor"/>
      </rPr>
      <t xml:space="preserve">Secretaría de Educación: </t>
    </r>
    <r>
      <rPr>
        <sz val="10"/>
        <rFont val="Calibri"/>
        <family val="2"/>
        <scheme val="minor"/>
      </rPr>
      <t xml:space="preserve">* Cada Institución Educativa tiene dentro de sus objetivos misionales la ejecución de proyectos transversales en torno a educación sexual y construcción de ciudadanía (Gobierno Escolar) los cuales están planeados dentro de su plan de acción institucional y tienen ejecución dentro del año académico. 
* Emprende Líder: Establece la participación de los jóvenes de grados 10 y 11 en la construcción de ciudadanías conscientes para el desarrollo de territorios.  </t>
    </r>
  </si>
  <si>
    <r>
      <rPr>
        <b/>
        <sz val="10"/>
        <rFont val="Calibri"/>
        <family val="2"/>
        <scheme val="minor"/>
      </rPr>
      <t xml:space="preserve">Observación: </t>
    </r>
    <r>
      <rPr>
        <sz val="10"/>
        <rFont val="Calibri"/>
        <family val="2"/>
        <scheme val="minor"/>
      </rPr>
      <t xml:space="preserve">Según el observatorio de Drogas los últimos datos corresponden al año 2013 y el Quindío se sitúa por encima de la media nacional.
</t>
    </r>
    <r>
      <rPr>
        <b/>
        <sz val="10"/>
        <rFont val="Calibri"/>
        <family val="2"/>
        <scheme val="minor"/>
      </rPr>
      <t>Secretaría de Salud:</t>
    </r>
    <r>
      <rPr>
        <sz val="10"/>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la propuesta de Decreto y se ajustó el Plan de Acción para la adopción de la Resolución 089.
</t>
    </r>
    <r>
      <rPr>
        <b/>
        <sz val="10"/>
        <rFont val="Calibri"/>
        <family val="2"/>
        <scheme val="minor"/>
      </rPr>
      <t>Secretaría de Familia</t>
    </r>
    <r>
      <rPr>
        <sz val="10"/>
        <rFont val="Calibri"/>
        <family val="2"/>
        <scheme val="minor"/>
      </rPr>
      <t xml:space="preserve">: La prevalencia de consumo de sustancias psicoactivas en escolares y último año en escolares es del  6,8% según fuente de verificación,  sin embargo la tasa nacional no fue encontrada en esta fuente.
</t>
    </r>
    <r>
      <rPr>
        <b/>
        <sz val="10"/>
        <rFont val="Calibri"/>
        <family val="2"/>
        <scheme val="minor"/>
      </rPr>
      <t>Secretaría de Educación</t>
    </r>
    <r>
      <rPr>
        <sz val="10"/>
        <rFont val="Calibri"/>
        <family val="2"/>
        <scheme val="minor"/>
      </rPr>
      <t xml:space="preserve">: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
</t>
    </r>
    <r>
      <rPr>
        <b/>
        <sz val="10"/>
        <rFont val="Calibri"/>
        <family val="2"/>
        <scheme val="minor"/>
      </rPr>
      <t>Secretaría del Interior:</t>
    </r>
    <r>
      <rPr>
        <sz val="10"/>
        <rFont val="Calibri"/>
        <family val="2"/>
        <scheme val="minor"/>
      </rPr>
      <t xml:space="preserve"> Se tienen 4 jóvenes dentro del programa de seguimiento judicial al tratamiento de drogas en el sistema penal para adolescentes que se encuentran privados de la libertad, para el estudio de sus casos
</t>
    </r>
    <r>
      <rPr>
        <b/>
        <sz val="10"/>
        <rFont val="Calibri"/>
        <family val="2"/>
        <scheme val="minor"/>
      </rPr>
      <t>Alcaldia Armenia:</t>
    </r>
    <r>
      <rPr>
        <sz val="10"/>
        <rFont val="Calibri"/>
        <family val="2"/>
        <scheme val="minor"/>
      </rPr>
      <t xml:space="preserve"> Población cubierta con acciones educativas para el fortalecimiento de habilidades psicosociales y difusión de riesgos relacionados a la salud mental 897.
A</t>
    </r>
    <r>
      <rPr>
        <b/>
        <sz val="10"/>
        <rFont val="Calibri"/>
        <family val="2"/>
        <scheme val="minor"/>
      </rPr>
      <t>lcaldia Montenegro:</t>
    </r>
    <r>
      <rPr>
        <sz val="10"/>
        <rFont val="Calibri"/>
        <family val="2"/>
        <scheme val="minor"/>
      </rPr>
      <t xml:space="preserve"> se han realizado talleres en los colegios sobre prevención al consumo de spa y salud mental al igual que intervenciones para activación de rutas en salud mental
</t>
    </r>
    <r>
      <rPr>
        <b/>
        <sz val="10"/>
        <rFont val="Calibri"/>
        <family val="2"/>
        <scheme val="minor"/>
      </rPr>
      <t>Alcaldia Calarca:</t>
    </r>
    <r>
      <rPr>
        <sz val="10"/>
        <rFont val="Calibri"/>
        <family val="2"/>
        <scheme val="minor"/>
      </rPr>
      <t xml:space="preserve"> se realizó una jornada ppedagogica en articulacion con la subsecretaria de cultura en la fundacion familiar FARO, sede san gabriel del municipio de calarcá 
</t>
    </r>
    <r>
      <rPr>
        <b/>
        <sz val="10"/>
        <rFont val="Calibri"/>
        <family val="2"/>
        <scheme val="minor"/>
      </rPr>
      <t>Alcaldia Buenavista:</t>
    </r>
    <r>
      <rPr>
        <sz val="10"/>
        <rFont val="Calibri"/>
        <family val="2"/>
        <scheme val="minor"/>
      </rPr>
      <t xml:space="preserve"> Las instituciones educativas del municipio, tiene el Proyecto Educativo Institucional PEI, en el cual abordan estos temas por medio de campañas o talleres, tambien dede la comisaria de familia se realizan campañas a nivel municipal, que involucran a las instituciones educativas
</t>
    </r>
    <r>
      <rPr>
        <b/>
        <sz val="10"/>
        <rFont val="Calibri"/>
        <family val="2"/>
        <scheme val="minor"/>
      </rPr>
      <t xml:space="preserve">Alcaldía de Pijao: </t>
    </r>
    <r>
      <rPr>
        <sz val="10"/>
        <rFont val="Calibri"/>
        <family val="2"/>
        <scheme val="minor"/>
      </rPr>
      <t xml:space="preserve">Se llevó a cabo la proyección de la dimensión de salud mental y convivencia social.
</t>
    </r>
    <r>
      <rPr>
        <b/>
        <sz val="10"/>
        <rFont val="Calibri"/>
        <family val="2"/>
        <scheme val="minor"/>
      </rPr>
      <t>Alcaldia Quimbaya:</t>
    </r>
    <r>
      <rPr>
        <sz val="10"/>
        <rFont val="Calibri"/>
        <family val="2"/>
        <scheme val="minor"/>
      </rPr>
      <t xml:space="preserve"> Este indicador no es claro en su medición. El municipio realiza campañas en entornos escolares para prevenir el consumo de sustencias psicoactivas.
</t>
    </r>
  </si>
  <si>
    <r>
      <t xml:space="preserve">
</t>
    </r>
    <r>
      <rPr>
        <b/>
        <sz val="10"/>
        <rFont val="Calibri"/>
        <family val="2"/>
        <scheme val="minor"/>
      </rPr>
      <t xml:space="preserve">Secretaría de Salud: </t>
    </r>
    <r>
      <rPr>
        <sz val="10"/>
        <rFont val="Calibri"/>
        <family val="2"/>
        <scheme val="minor"/>
      </rPr>
      <t xml:space="preserve">Se realizaron talleres pedagógicos con 289 padres de familia y 686 estudiantes para el tema salud sexual y reproductiva en las que se trataron derechos sexuales y reproductivos, prevención del embarazo en adolescentes, prevención del embarazo subsiguiente, ruta y proceso de acercamiento a las IPS para adolescentes.
</t>
    </r>
    <r>
      <rPr>
        <b/>
        <sz val="10"/>
        <rFont val="Calibri"/>
        <family val="2"/>
        <scheme val="minor"/>
      </rPr>
      <t xml:space="preserve">Secretaría de Familia: </t>
    </r>
    <r>
      <rPr>
        <sz val="10"/>
        <rFont val="Calibri"/>
        <family val="2"/>
        <scheme val="minor"/>
      </rPr>
      <t xml:space="preserve">el número de embarazos en menores de 20 años es de 4358 según fuente de verificación. 
</t>
    </r>
    <r>
      <rPr>
        <b/>
        <sz val="10"/>
        <rFont val="Calibri"/>
        <family val="2"/>
        <scheme val="minor"/>
      </rPr>
      <t>Alcaldía Buenavista:</t>
    </r>
    <r>
      <rPr>
        <sz val="10"/>
        <rFont val="Calibri"/>
        <family val="2"/>
        <scheme val="minor"/>
      </rPr>
      <t xml:space="preserve"> Las instituciones educativas del municipio, tiene el Proyecto Educativo Institucional PEI, en el cual abordan estos temas por medio de campañas o talleres, también debe la comisaria de familia se realizan campañas a nivel municipal, que involucran a las instituciones educativas.
</t>
    </r>
    <r>
      <rPr>
        <b/>
        <sz val="10"/>
        <rFont val="Calibri"/>
        <family val="2"/>
        <scheme val="minor"/>
      </rPr>
      <t xml:space="preserve">Alcaldía Armenia: </t>
    </r>
    <r>
      <rPr>
        <sz val="10"/>
        <rFont val="Calibri"/>
        <family val="2"/>
        <scheme val="minor"/>
      </rPr>
      <t xml:space="preserve">Se implementan </t>
    </r>
    <r>
      <rPr>
        <b/>
        <sz val="10"/>
        <rFont val="Calibri"/>
        <family val="2"/>
        <scheme val="minor"/>
      </rPr>
      <t>e</t>
    </r>
    <r>
      <rPr>
        <sz val="10"/>
        <rFont val="Calibri"/>
        <family val="2"/>
        <scheme val="minor"/>
      </rPr>
      <t xml:space="preserve">strategias de garantía de derechos de los jóvenes a través de actividades en prevención de riesgos, para un total de 1102 jóvenes impactados .
</t>
    </r>
    <r>
      <rPr>
        <b/>
        <sz val="10"/>
        <rFont val="Calibri"/>
        <family val="2"/>
        <scheme val="minor"/>
      </rPr>
      <t xml:space="preserve">Alcaldía de Salento: </t>
    </r>
    <r>
      <rPr>
        <sz val="10"/>
        <rFont val="Calibri"/>
        <family val="2"/>
        <scheme val="minor"/>
      </rPr>
      <t xml:space="preserve">Sostenimiento de los programas de atención psicológica establecidos en el municipio.
</t>
    </r>
    <r>
      <rPr>
        <b/>
        <sz val="10"/>
        <rFont val="Calibri"/>
        <family val="2"/>
        <scheme val="minor"/>
      </rPr>
      <t>Alcaldía de Montenegro:</t>
    </r>
    <r>
      <rPr>
        <sz val="10"/>
        <rFont val="Calibri"/>
        <family val="2"/>
        <scheme val="minor"/>
      </rPr>
      <t xml:space="preserve"> al momento se registran 51 embarazos en adolescentes menores de 20 años
</t>
    </r>
    <r>
      <rPr>
        <b/>
        <sz val="10"/>
        <rFont val="Calibri"/>
        <family val="2"/>
        <scheme val="minor"/>
      </rPr>
      <t>Alcaldía de Calarcá</t>
    </r>
    <r>
      <rPr>
        <sz val="10"/>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rFont val="Calibri"/>
        <family val="2"/>
        <scheme val="minor"/>
      </rPr>
      <t xml:space="preserve">ICBF: </t>
    </r>
    <r>
      <rPr>
        <sz val="10"/>
        <rFont val="Calibri"/>
        <family val="2"/>
        <scheme val="minor"/>
      </rPr>
      <t>Formación en Agentes en Derechos Sexuales y Reprouductivos 
Asistencia Téncia en temas de Prevención de Derechos Sexuales y Reproductivos 
Acompañamiento en los PESCC de las I.E del Departamento a demanda de las instotuiones 
*Para el presente trimestre se esta cumplimiento con 73 agentes para la meta total del cuatrenio
A</t>
    </r>
    <r>
      <rPr>
        <b/>
        <sz val="10"/>
        <rFont val="Calibri"/>
        <family val="2"/>
        <scheme val="minor"/>
      </rPr>
      <t xml:space="preserve">lcadia Buenavista:  </t>
    </r>
    <r>
      <rPr>
        <sz val="10"/>
        <rFont val="Calibri"/>
        <family val="2"/>
        <scheme val="minor"/>
      </rPr>
      <t xml:space="preserve">las instituciones educativas del municipio, tiene el Proyecto Educativo Institucional PEI, en el cual abordan estos temas por medio de campañas o talleres, tambien dede la comisaria de familia se realizan campañas a nivel municipal, que involucran a las instituciones educativas.
</t>
    </r>
    <r>
      <rPr>
        <b/>
        <sz val="10"/>
        <rFont val="Calibri"/>
        <family val="2"/>
        <scheme val="minor"/>
      </rPr>
      <t>Alcaldia Calarca:</t>
    </r>
    <r>
      <rPr>
        <sz val="10"/>
        <rFont val="Calibri"/>
        <family val="2"/>
        <scheme val="minor"/>
      </rPr>
      <t xml:space="preserve"> Seguimiento a casos de interés en salud pública, embarazos en adolescentes, celebración de la Semana Andina, conversatorio para la prevención del embarazo y salud sexual en adolescentes.
</t>
    </r>
    <r>
      <rPr>
        <b/>
        <sz val="10"/>
        <rFont val="Calibri"/>
        <family val="2"/>
        <scheme val="minor"/>
      </rPr>
      <t xml:space="preserve">Alcaldía de Pijao: </t>
    </r>
    <r>
      <rPr>
        <sz val="10"/>
        <rFont val="Calibri"/>
        <family val="2"/>
        <scheme val="minor"/>
      </rPr>
      <t xml:space="preserve">Se llevó a cabo la proyección de la dimensión de salud sexual, derechos sexuales y reproductivos.
</t>
    </r>
  </si>
  <si>
    <r>
      <rPr>
        <b/>
        <sz val="10"/>
        <rFont val="Calibri"/>
        <family val="2"/>
        <scheme val="minor"/>
      </rPr>
      <t xml:space="preserve">Indeportes: </t>
    </r>
    <r>
      <rPr>
        <sz val="10"/>
        <rFont val="Calibri"/>
        <family val="2"/>
        <scheme val="minor"/>
      </rPr>
      <t>115 deportistas jóvenes quindianos de alto rendimiento apoyados en la preparación para Juegos Nacionales y Paranacionales 2023.</t>
    </r>
  </si>
  <si>
    <r>
      <rPr>
        <b/>
        <sz val="10"/>
        <rFont val="Calibri"/>
        <family val="2"/>
        <scheme val="minor"/>
      </rPr>
      <t>Indeportes:</t>
    </r>
    <r>
      <rPr>
        <sz val="10"/>
        <rFont val="Calibri"/>
        <family val="2"/>
        <scheme val="minor"/>
      </rPr>
      <t xml:space="preserve"> 20 deportistas jóvenes de alto rendimiento apoyados económicamente de manera mensual</t>
    </r>
  </si>
  <si>
    <r>
      <rPr>
        <b/>
        <sz val="10"/>
        <rFont val="Calibri"/>
        <family val="2"/>
        <scheme val="minor"/>
      </rPr>
      <t>Se beneficiaron en total 7592 jóvenes</t>
    </r>
    <r>
      <rPr>
        <sz val="10"/>
        <rFont val="Calibri"/>
        <family val="2"/>
        <scheme val="minor"/>
      </rPr>
      <t xml:space="preserve">
</t>
    </r>
    <r>
      <rPr>
        <b/>
        <sz val="10"/>
        <rFont val="Calibri"/>
        <family val="2"/>
        <scheme val="minor"/>
      </rPr>
      <t>Alcaldía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 xml:space="preserve">Alcaldía de Buenavista: </t>
    </r>
    <r>
      <rPr>
        <sz val="10"/>
        <rFont val="Calibri"/>
        <family val="2"/>
        <scheme val="minor"/>
      </rPr>
      <t xml:space="preserve"> el Municipio cuenta con grupo de 30 adultos que trabajan de manera semanal aeróbicos y otro grupo de adultos que trabajan de 20 adultos que trabajan actividad física moderada y se cuenta con dos grupos de 60 adultos mayores que trabajan actividad fisica moderada de manera mensual.
</t>
    </r>
    <r>
      <rPr>
        <b/>
        <sz val="10"/>
        <rFont val="Calibri"/>
        <family val="2"/>
        <scheme val="minor"/>
      </rPr>
      <t>Alcaldía Córdoba:</t>
    </r>
    <r>
      <rPr>
        <sz val="10"/>
        <rFont val="Calibri"/>
        <family val="2"/>
        <scheme val="minor"/>
      </rPr>
      <t xml:space="preserve"> Por medio de las escuelas de formación deportiva participan en las actividades físicas un total de 146 personas.
</t>
    </r>
    <r>
      <rPr>
        <b/>
        <sz val="10"/>
        <rFont val="Calibri"/>
        <family val="2"/>
        <scheme val="minor"/>
      </rPr>
      <t>Alcaldia Calarca:</t>
    </r>
    <r>
      <rPr>
        <sz val="10"/>
        <rFont val="Calibri"/>
        <family val="2"/>
        <scheme val="minor"/>
      </rPr>
      <t xml:space="preserve"> Desde la Subsecretaría de educación, recreación y deporte se ofrecen los programas de atletismo, fútbol urbano, fútbol rural, patinaje, voleibol, baloncesto, fútbol de salón, fitnes kits.
</t>
    </r>
    <r>
      <rPr>
        <b/>
        <sz val="10"/>
        <rFont val="Calibri"/>
        <family val="2"/>
        <scheme val="minor"/>
      </rPr>
      <t>Alcaldía de la Tebaida:</t>
    </r>
    <r>
      <rPr>
        <sz val="10"/>
        <rFont val="Calibri"/>
        <family val="2"/>
        <scheme val="minor"/>
      </rPr>
      <t xml:space="preserve">  177 jóvenes reportados por las escuelas deportivas.
</t>
    </r>
    <r>
      <rPr>
        <b/>
        <sz val="10"/>
        <rFont val="Calibri"/>
        <family val="2"/>
        <scheme val="minor"/>
      </rPr>
      <t>Alcaldía Génova:</t>
    </r>
    <r>
      <rPr>
        <sz val="10"/>
        <rFont val="Calibri"/>
        <family val="2"/>
        <scheme val="minor"/>
      </rPr>
      <t xml:space="preserve"> Menores integrados a las actividades de los programas de actividad física y recreación
</t>
    </r>
    <r>
      <rPr>
        <b/>
        <sz val="10"/>
        <rFont val="Calibri"/>
        <family val="2"/>
        <scheme val="minor"/>
      </rPr>
      <t>Alcaldía Armenia:</t>
    </r>
    <r>
      <rPr>
        <sz val="10"/>
        <rFont val="Calibri"/>
        <family val="2"/>
        <scheme val="minor"/>
      </rPr>
      <t xml:space="preserve"> Se implementan escuelas de formación deportiva en diferentes disciplinas, 144 escuelas y  4225 jóvenes impactados 
</t>
    </r>
    <r>
      <rPr>
        <b/>
        <sz val="10"/>
        <rFont val="Calibri"/>
        <family val="2"/>
        <scheme val="minor"/>
      </rPr>
      <t>Alcaldía de Montenegro:</t>
    </r>
    <r>
      <rPr>
        <sz val="10"/>
        <rFont val="Calibri"/>
        <family val="2"/>
        <scheme val="minor"/>
      </rPr>
      <t xml:space="preserve"> vías activas y saludables, festivales, clases monitoreadas, campeonatos de la categoría 10%
</t>
    </r>
    <r>
      <rPr>
        <b/>
        <sz val="10"/>
        <rFont val="Calibri"/>
        <family val="2"/>
        <scheme val="minor"/>
      </rPr>
      <t>Alcaldía Quimbaya:</t>
    </r>
    <r>
      <rPr>
        <sz val="10"/>
        <rFont val="Calibri"/>
        <family val="2"/>
        <scheme val="minor"/>
      </rPr>
      <t xml:space="preserve"> A la fecha de corte del presente trimestre no se aportó la información que de cuenta de este indicador. 
</t>
    </r>
    <r>
      <rPr>
        <b/>
        <sz val="10"/>
        <rFont val="Calibri"/>
        <family val="2"/>
        <scheme val="minor"/>
      </rPr>
      <t xml:space="preserve">Alcaldía de Filandia: </t>
    </r>
    <r>
      <rPr>
        <sz val="10"/>
        <rFont val="Calibri"/>
        <family val="2"/>
        <scheme val="minor"/>
      </rPr>
      <t xml:space="preserve">230 menores.
</t>
    </r>
    <r>
      <rPr>
        <b/>
        <sz val="10"/>
        <rFont val="Calibri"/>
        <family val="2"/>
        <scheme val="minor"/>
      </rPr>
      <t xml:space="preserve">Alcaldía de Pijao: </t>
    </r>
    <r>
      <rPr>
        <sz val="10"/>
        <rFont val="Calibri"/>
        <family val="2"/>
        <scheme val="minor"/>
      </rPr>
      <t xml:space="preserve"> entrenamiento diarios de escuelas deportivas a nivel urbano y rural.
</t>
    </r>
    <r>
      <rPr>
        <b/>
        <sz val="10"/>
        <rFont val="Calibri"/>
        <family val="2"/>
        <scheme val="minor"/>
      </rPr>
      <t>Indeportes:</t>
    </r>
    <r>
      <rPr>
        <sz val="10"/>
        <rFont val="Calibri"/>
        <family val="2"/>
        <scheme val="minor"/>
      </rPr>
      <t xml:space="preserve"> 51 deportistas jóvenes que invierten como mínimo 60 minutos diarios en actividad física con intensidad moderada a vigorosa.
</t>
    </r>
    <r>
      <rPr>
        <b/>
        <sz val="10"/>
        <rFont val="Calibri"/>
        <family val="2"/>
        <scheme val="minor"/>
      </rPr>
      <t>Universidad del Quindío:</t>
    </r>
    <r>
      <rPr>
        <sz val="10"/>
        <rFont val="Calibri"/>
        <family val="2"/>
        <scheme val="minor"/>
      </rPr>
      <t xml:space="preserve"> Se dictaron 20 cursos deportivos de los cuales hacen parte del área temática de actividad física, deportes y recreación de la Universidad del Quindío, los cursos son:
Ajedrez, Atletismo, Bádminton, Balón Mano, Baloncesto, Ultimate, Fútbol, Fútbol Femenino, Porrismo, Tenis De Campo, Tenis De Mesa, Voleibol, Squash, Judo, Karate Do, Tae Kwon Do, Fútbol tenis, Yoga, Pilates, Inclusión Deportiva.
Con un total de 16.475 estudiantes de los cuales el 3% hace parte de la práctica deportiva.
</t>
    </r>
    <r>
      <rPr>
        <b/>
        <sz val="10"/>
        <rFont val="Calibri"/>
        <family val="2"/>
        <scheme val="minor"/>
      </rPr>
      <t xml:space="preserve">Universidad San  Buenaventura: </t>
    </r>
    <r>
      <rPr>
        <sz val="10"/>
        <rFont val="Calibri"/>
        <family val="2"/>
        <scheme val="minor"/>
      </rPr>
      <t xml:space="preserve">En la universidad de San Buenaventura,103 de 122 estudiantes, entre las edades de 19 a 27 años, practican actividad física de 60 minutos 
</t>
    </r>
    <r>
      <rPr>
        <b/>
        <sz val="10"/>
        <rFont val="Calibri"/>
        <family val="2"/>
        <scheme val="minor"/>
      </rPr>
      <t xml:space="preserve">Universidad EAM: </t>
    </r>
    <r>
      <rPr>
        <sz val="10"/>
        <rFont val="Calibri"/>
        <family val="2"/>
        <scheme val="minor"/>
      </rPr>
      <t xml:space="preserve">41 estudiantes en cátedra de deporte formativo (programas de pregrado)
</t>
    </r>
    <r>
      <rPr>
        <b/>
        <sz val="10"/>
        <rFont val="Calibri"/>
        <family val="2"/>
        <scheme val="minor"/>
      </rPr>
      <t>Universidad la Gran Colombia:</t>
    </r>
    <r>
      <rPr>
        <sz val="10"/>
        <rFont val="Calibri"/>
        <family val="2"/>
        <scheme val="minor"/>
      </rPr>
      <t xml:space="preserve"> La UGCA no realizó actividades de promoción de la actividad física con entornos comunitarios.
</t>
    </r>
    <r>
      <rPr>
        <b/>
        <sz val="10"/>
        <rFont val="Calibri"/>
        <family val="2"/>
        <scheme val="minor"/>
      </rPr>
      <t xml:space="preserve">Secretaría de Educación: </t>
    </r>
    <r>
      <rPr>
        <sz val="10"/>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r>
      <rPr>
        <b/>
        <sz val="10"/>
        <rFont val="Calibri"/>
        <family val="2"/>
        <scheme val="minor"/>
      </rPr>
      <t xml:space="preserve">Indeportes: </t>
    </r>
    <r>
      <rPr>
        <sz val="10"/>
        <rFont val="Calibri"/>
        <family val="2"/>
        <scheme val="minor"/>
      </rPr>
      <t xml:space="preserve">115 menores de edad que invierten como mínimo 60 minutos diarios en actividad fisica con intensidad moderada a vigorosa.
</t>
    </r>
    <r>
      <rPr>
        <b/>
        <sz val="10"/>
        <rFont val="Calibri"/>
        <family val="2"/>
        <scheme val="minor"/>
      </rPr>
      <t xml:space="preserve">Universidad Von Humbolt: </t>
    </r>
    <r>
      <rPr>
        <sz val="10"/>
        <rFont val="Calibri"/>
        <family val="2"/>
        <scheme val="minor"/>
      </rPr>
      <t xml:space="preserve">Como Facultad no se desarrolla esta acción, pero a través de la Dirección de Proyección Social, todas las facultades a través de Brigadas en barrios y en veredas se desarrollan alguinas acciones.
</t>
    </r>
  </si>
  <si>
    <r>
      <rPr>
        <b/>
        <sz val="10"/>
        <rFont val="Calibri"/>
        <family val="2"/>
        <scheme val="minor"/>
      </rPr>
      <t xml:space="preserve">
Se beneficiaron: 11693 Personas 79% Por encima de la línea de base de 6500 beneficiados.   
 Alcaldía de Circasia: </t>
    </r>
    <r>
      <rPr>
        <sz val="10"/>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rFont val="Calibri"/>
        <family val="2"/>
        <scheme val="minor"/>
      </rPr>
      <t>Alcaldía de la Tebaida:</t>
    </r>
    <r>
      <rPr>
        <sz val="10"/>
        <rFont val="Calibri"/>
        <family val="2"/>
        <scheme val="minor"/>
      </rPr>
      <t xml:space="preserve">  de acuerdo a lo reportado 8 adultos entre 18 a 28 años se benefician de actividad física
</t>
    </r>
    <r>
      <rPr>
        <b/>
        <sz val="10"/>
        <rFont val="Calibri"/>
        <family val="2"/>
        <scheme val="minor"/>
      </rPr>
      <t>Universidad del Quindío:</t>
    </r>
    <r>
      <rPr>
        <sz val="10"/>
        <rFont val="Calibri"/>
        <family val="2"/>
        <scheme val="minor"/>
      </rPr>
      <t xml:space="preserve"> Se dictaron 20 cursos deportivos de los cuales hacen parte del área temática de actividad física, deportes y recreación de la Universidad del Quindío, los cursos son:
Ajedrez, Atletismo, Bádminton, Balón Mano, Baloncesto, Ultimate, Fútbol, Fútbol Femenino, Porrismo, Tenis De Campo, Tenis De Mesa, Voleibol, Squash, Judo, Karate Do, Tae Kwon Do, Fútbol tenis, Yoga, Pilates, Inclusión Deportiva.
19 selecciones deportivas Representativas: Ajedrez, Atletismo, Bádminton, Balón Mano Ambas Ramas, Baloncesto Ambas Ramas, Disco Volador, Fútbol Ambas Ramas, Fútbol Sala Ambas Ramas, Levantamiento De Pesas, Natación, Porrismo, Tenis De Campo, Tenis De Mesa, Voleibol Ambas Ramas, Triatlón, Squash, Judo, Karate Do, Tae Kwon Do. Con un total 18.091 funcionarios y estudiantes mayores de edad, de los cuales el 3% hace parte de la práctica deportiva.</t>
    </r>
    <r>
      <rPr>
        <b/>
        <sz val="10"/>
        <rFont val="Calibri"/>
        <family val="2"/>
        <scheme val="minor"/>
      </rPr>
      <t xml:space="preserve">
Alcaldía de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Alcaldía de Calarcá: </t>
    </r>
    <r>
      <rPr>
        <sz val="10"/>
        <rFont val="Calibri"/>
        <family val="2"/>
        <scheme val="minor"/>
      </rPr>
      <t>Programa recreativo para adolescencia y juventud y programa recreativo y fitness.</t>
    </r>
    <r>
      <rPr>
        <b/>
        <sz val="10"/>
        <rFont val="Calibri"/>
        <family val="2"/>
        <scheme val="minor"/>
      </rPr>
      <t xml:space="preserve">
Alcaldia Montenegro: </t>
    </r>
    <r>
      <rPr>
        <sz val="10"/>
        <rFont val="Calibri"/>
        <family val="2"/>
        <scheme val="minor"/>
      </rPr>
      <t>Se realiza</t>
    </r>
    <r>
      <rPr>
        <b/>
        <sz val="10"/>
        <rFont val="Calibri"/>
        <family val="2"/>
        <scheme val="minor"/>
      </rPr>
      <t xml:space="preserve"> </t>
    </r>
    <r>
      <rPr>
        <sz val="10"/>
        <rFont val="Calibri"/>
        <family val="2"/>
        <scheme val="minor"/>
      </rPr>
      <t>actividad fisica adulto mayor ,torneos y campeonatos de futlbol para un total de 650 deportistas participando.</t>
    </r>
    <r>
      <rPr>
        <b/>
        <sz val="10"/>
        <rFont val="Calibri"/>
        <family val="2"/>
        <scheme val="minor"/>
      </rPr>
      <t xml:space="preserve">
Alcaldía Filandia: </t>
    </r>
    <r>
      <rPr>
        <sz val="10"/>
        <rFont val="Calibri"/>
        <family val="2"/>
        <scheme val="minor"/>
      </rPr>
      <t xml:space="preserve">270 adultos
</t>
    </r>
    <r>
      <rPr>
        <b/>
        <sz val="10"/>
        <rFont val="Calibri"/>
        <family val="2"/>
        <scheme val="minor"/>
      </rPr>
      <t xml:space="preserve">Alcaldia de pijao:  </t>
    </r>
    <r>
      <rPr>
        <sz val="10"/>
        <rFont val="Calibri"/>
        <family val="2"/>
        <scheme val="minor"/>
      </rPr>
      <t>120 adultos en los diferentes equipos participantes</t>
    </r>
    <r>
      <rPr>
        <b/>
        <sz val="10"/>
        <rFont val="Calibri"/>
        <family val="2"/>
        <scheme val="minor"/>
      </rPr>
      <t xml:space="preserve">
Alcaldía de Buenavista: </t>
    </r>
    <r>
      <rPr>
        <sz val="10"/>
        <rFont val="Calibri"/>
        <family val="2"/>
        <scheme val="minor"/>
      </rPr>
      <t xml:space="preserve"> El municIpio cuenta con un grupo de 30 adultos que trabajan de manera semanal aeróbicos y otro grupo de 20 adultos que trabajan actividad física moderada y también se cuenta con dos grupos de 60 adultos mayores que trabajan actividad fisica moderada de manera mensual.</t>
    </r>
    <r>
      <rPr>
        <b/>
        <sz val="10"/>
        <rFont val="Calibri"/>
        <family val="2"/>
        <scheme val="minor"/>
      </rPr>
      <t xml:space="preserve">
Alcaldía Córdoba: </t>
    </r>
    <r>
      <rPr>
        <sz val="10"/>
        <rFont val="Calibri"/>
        <family val="2"/>
        <scheme val="minor"/>
      </rPr>
      <t xml:space="preserve">Se realizan actividades recreativas, rumba terapias y actividad física con los adultos internos y externos pertenecientes al CBA Hogar Adulto Mayor Humberto López Vázquez, también con los dos grupos de adulto mayor del municipio Amor y vida y Vida Activa. 
La información no puede ser socializada en porcentaje (%) por el municipio. 
</t>
    </r>
    <r>
      <rPr>
        <b/>
        <sz val="10"/>
        <rFont val="Calibri"/>
        <family val="2"/>
        <scheme val="minor"/>
      </rPr>
      <t>Alcaldía de Armenia: Se i</t>
    </r>
    <r>
      <rPr>
        <sz val="10"/>
        <rFont val="Calibri"/>
        <family val="2"/>
        <scheme val="minor"/>
      </rPr>
      <t>mplementan, ejecutan y dotan programas de Hábitos y Estilos de Vida Saludable y Actividad Física</t>
    </r>
    <r>
      <rPr>
        <b/>
        <sz val="10"/>
        <rFont val="Calibri"/>
        <family val="2"/>
        <scheme val="minor"/>
      </rPr>
      <t xml:space="preserve">
Universidad EAM: </t>
    </r>
    <r>
      <rPr>
        <sz val="10"/>
        <rFont val="Calibri"/>
        <family val="2"/>
        <scheme val="minor"/>
      </rPr>
      <t>135 estudiantes en procesos de formación complementaria (deporte formativo)
50 estudiantes en promedio por mes en actividad física en el centro de acondicionamiento físico
5 estudiantes en cátedra de deporte formativo (programas de pregrado)</t>
    </r>
    <r>
      <rPr>
        <b/>
        <sz val="10"/>
        <rFont val="Calibri"/>
        <family val="2"/>
        <scheme val="minor"/>
      </rPr>
      <t xml:space="preserve">
Universidad la Gran Colombia: </t>
    </r>
    <r>
      <rPr>
        <sz val="10"/>
        <rFont val="Calibri"/>
        <family val="2"/>
        <scheme val="minor"/>
      </rPr>
      <t xml:space="preserve">La UGCA no realizó actividades de promoción de la actividad física con entornos comunitarios.
</t>
    </r>
    <r>
      <rPr>
        <b/>
        <sz val="10"/>
        <rFont val="Calibri"/>
        <family val="2"/>
        <scheme val="minor"/>
      </rPr>
      <t xml:space="preserve">Universidad San Buenaventura: </t>
    </r>
    <r>
      <rPr>
        <sz val="10"/>
        <rFont val="Calibri"/>
        <family val="2"/>
        <scheme val="minor"/>
      </rPr>
      <t xml:space="preserve">En la Universidad De San Buenaventura, 19 de 122 estudiantes, entre de las edades de 28 a 46 años,  practican entre 150 y 75 minutos de actividad física
</t>
    </r>
    <r>
      <rPr>
        <b/>
        <sz val="10"/>
        <rFont val="Calibri"/>
        <family val="2"/>
        <scheme val="minor"/>
      </rPr>
      <t>Universidad Von Humbolt:</t>
    </r>
    <r>
      <rPr>
        <sz val="10"/>
        <rFont val="Calibri"/>
        <family val="2"/>
        <scheme val="minor"/>
      </rPr>
      <t xml:space="preserve"> La Facultad no desarrolla este tipo de actividades. Apoya si las activdades de Bienestar Universitario para nuestra comunidad académica.
</t>
    </r>
    <r>
      <rPr>
        <b/>
        <sz val="10"/>
        <rFont val="Calibri"/>
        <family val="2"/>
        <scheme val="minor"/>
      </rPr>
      <t>Indeportes:</t>
    </r>
    <r>
      <rPr>
        <sz val="10"/>
        <rFont val="Calibri"/>
        <family val="2"/>
        <scheme val="minor"/>
      </rPr>
      <t xml:space="preserve"> 358 adultos que  dedican como mínimo 150 minutos semanales a la práctica de actividad física aeróbica, de intensidad moderada, o bien 75 minutos de actividad física aeróbica vigorosa cada semana, o bien una combinación equivalente de actividades moderadas y vigorosas.
</t>
    </r>
  </si>
  <si>
    <r>
      <t xml:space="preserve">Indeportes: </t>
    </r>
    <r>
      <rPr>
        <sz val="10"/>
        <rFont val="Calibri"/>
        <family val="2"/>
        <scheme val="minor"/>
      </rPr>
      <t>11 modalidades de deporte no convencional apoyadas, a través de la asistencia técnica y metodológica y apoyo para realización de exámenes médicos especializados.</t>
    </r>
    <r>
      <rPr>
        <b/>
        <sz val="10"/>
        <rFont val="Calibri"/>
        <family val="2"/>
        <scheme val="minor"/>
      </rPr>
      <t xml:space="preserve">
Alcaldía de La Tebaida: </t>
    </r>
    <r>
      <rPr>
        <sz val="10"/>
        <rFont val="Calibri"/>
        <family val="2"/>
        <scheme val="minor"/>
      </rPr>
      <t>Microfútbol (grupo 01) 21 jóvenes;  Natación 13 jóvenes;  Fútbol 15 jóvenes;  Microfútbol (grupo 02) 24 jóvenes;  Baloncesto 24 jóvenes; Fútbol de mujer 8 jóvenes; Fútbol 12 jóvenes; jóvenes; Nueva modalidad ajedrez 9 jóvenes; Nueva modalidad patinaje 14 jóvenes; Nueva modalidad levantamiento de pesas 07 jóvenes.</t>
    </r>
    <r>
      <rPr>
        <b/>
        <sz val="10"/>
        <rFont val="Calibri"/>
        <family val="2"/>
        <scheme val="minor"/>
      </rPr>
      <t xml:space="preserve">
Alcaldía Buenavista: E</t>
    </r>
    <r>
      <rPr>
        <sz val="10"/>
        <rFont val="Calibri"/>
        <family val="2"/>
        <scheme val="minor"/>
      </rPr>
      <t>l municipio cuenta con un grupo de 10 jóvenes que asisten a campamentos juveniles, el cual es liderado por un contratista de la Gobernación del Quindío.</t>
    </r>
    <r>
      <rPr>
        <b/>
        <sz val="10"/>
        <rFont val="Calibri"/>
        <family val="2"/>
        <scheme val="minor"/>
      </rPr>
      <t xml:space="preserve">
Alcaldía Quimbaya: </t>
    </r>
    <r>
      <rPr>
        <sz val="10"/>
        <rFont val="Calibri"/>
        <family val="2"/>
        <scheme val="minor"/>
      </rPr>
      <t xml:space="preserve">Actualmente se cuenta con escuela formativa de boxeo, tejo y BMX. 
</t>
    </r>
    <r>
      <rPr>
        <b/>
        <sz val="10"/>
        <rFont val="Calibri"/>
        <family val="2"/>
        <scheme val="minor"/>
      </rPr>
      <t xml:space="preserve">Alcaldía Montenegro: </t>
    </r>
    <r>
      <rPr>
        <sz val="10"/>
        <rFont val="Calibri"/>
        <family val="2"/>
        <scheme val="minor"/>
      </rPr>
      <t>4: skatepark, porrismo, gimnasia y hapkido</t>
    </r>
    <r>
      <rPr>
        <b/>
        <sz val="10"/>
        <rFont val="Calibri"/>
        <family val="2"/>
        <scheme val="minor"/>
      </rPr>
      <t xml:space="preserve">
Alcaldia de pijao: </t>
    </r>
    <r>
      <rPr>
        <sz val="10"/>
        <rFont val="Calibri"/>
        <family val="2"/>
        <scheme val="minor"/>
      </rPr>
      <t xml:space="preserve">natacion y patinaje.
</t>
    </r>
    <r>
      <rPr>
        <b/>
        <sz val="10"/>
        <rFont val="Calibri"/>
        <family val="2"/>
        <scheme val="minor"/>
      </rPr>
      <t xml:space="preserve">Alcaldia Armenia: </t>
    </r>
    <r>
      <rPr>
        <sz val="10"/>
        <rFont val="Calibri"/>
        <family val="2"/>
        <scheme val="minor"/>
      </rPr>
      <t>Se implementan mecanismos de asesoría y seguimiento a clubes y organizaciones deportivas fomentando su funcionamiento desde la formalidad y legalidad.</t>
    </r>
  </si>
  <si>
    <r>
      <t>Secretaria de Turismo, Industria y Comercio:</t>
    </r>
    <r>
      <rPr>
        <sz val="10"/>
        <rFont val="Calibri"/>
        <family val="2"/>
        <scheme val="minor"/>
      </rPr>
      <t xml:space="preserve"> Dos alianzas para la promoción del turismo establecidas para jóvenes 
En la Vitrina Turística de ANATO que se llevó a cabo del 22 al 24 de febrero de 2023, participó la empresa turística "Escuela de aves de Salento". 
Así mismo se realizó visita al municipio de Filandia, finca Lusitania, con el fin de conocer las potencialidades del producto de naturaleza de observación de aves.  Para el segundo trimestre no hubo avance del indicador 
</t>
    </r>
    <r>
      <rPr>
        <b/>
        <sz val="10"/>
        <rFont val="Calibri"/>
        <family val="2"/>
        <scheme val="minor"/>
      </rPr>
      <t xml:space="preserve">Secretaría de Familia: </t>
    </r>
    <r>
      <rPr>
        <sz val="10"/>
        <rFont val="Calibri"/>
        <family val="2"/>
        <scheme val="minor"/>
      </rPr>
      <t xml:space="preserve">Informa la promoción del turismo de naturaleza de aventura a través de la participación de la feria ANATO.
</t>
    </r>
    <r>
      <rPr>
        <b/>
        <sz val="10"/>
        <rFont val="Calibri"/>
        <family val="2"/>
        <scheme val="minor"/>
      </rPr>
      <t>Alcaldía Salento:</t>
    </r>
    <r>
      <rPr>
        <sz val="10"/>
        <rFont val="Calibri"/>
        <family val="2"/>
        <scheme val="minor"/>
      </rPr>
      <t xml:space="preserve"> Actividades desarrolladas por parte del programa Cátedra de la Salentinidad hacia las instituciones educativas y población joven del municipio (Capacitación docentes y dotación material pedagógico).
</t>
    </r>
    <r>
      <rPr>
        <b/>
        <sz val="10"/>
        <rFont val="Calibri"/>
        <family val="2"/>
        <scheme val="minor"/>
      </rPr>
      <t>Alcaldía de Córdoba:</t>
    </r>
    <r>
      <rPr>
        <sz val="10"/>
        <rFont val="Calibri"/>
        <family val="2"/>
        <scheme val="minor"/>
      </rPr>
      <t xml:space="preserve">  a la fecha no existen alianzas para la promoción de turismo establecida para jóvenes, sin embargo empresas privadas como Soñarte y Café restaurante 1920, Los cainos, Cáfe mujer  ubicadas en el municipio, fomentan  la promoción de turismo en jóvenes, buscando emplearlos en las diferentes áreas de dichas empresas. 
</t>
    </r>
    <r>
      <rPr>
        <b/>
        <sz val="10"/>
        <rFont val="Calibri"/>
        <family val="2"/>
        <scheme val="minor"/>
      </rPr>
      <t>Alcaldía de Calarcá:</t>
    </r>
    <r>
      <rPr>
        <sz val="10"/>
        <rFont val="Calibri"/>
        <family val="2"/>
        <scheme val="minor"/>
      </rPr>
      <t xml:space="preserve"> Desde la Secretaría de Desarrollo Económico, Ambiental y Comunitario se realizó con la IE Segundo Henao, jornada de socialización sobre el sector turístico del municipio en la Hacienda la Pradera. 
</t>
    </r>
    <r>
      <rPr>
        <b/>
        <sz val="10"/>
        <rFont val="Calibri"/>
        <family val="2"/>
        <scheme val="minor"/>
      </rPr>
      <t>Alcaldía Buenavista:</t>
    </r>
    <r>
      <rPr>
        <sz val="10"/>
        <rFont val="Calibri"/>
        <family val="2"/>
        <scheme val="minor"/>
      </rPr>
      <t xml:space="preserve"> no tiene reportes a la fecha.
</t>
    </r>
    <r>
      <rPr>
        <b/>
        <sz val="10"/>
        <rFont val="Calibri"/>
        <family val="2"/>
        <scheme val="minor"/>
      </rPr>
      <t>Alcaldía Quimbaya:</t>
    </r>
    <r>
      <rPr>
        <sz val="10"/>
        <rFont val="Calibri"/>
        <family val="2"/>
        <scheme val="minor"/>
      </rPr>
      <t xml:space="preserve"> Esta meta no se encuentra programada para ser ejecutada durante el presente trimestre
</t>
    </r>
    <r>
      <rPr>
        <b/>
        <sz val="10"/>
        <rFont val="Calibri"/>
        <family val="2"/>
        <scheme val="minor"/>
      </rPr>
      <t xml:space="preserve">Alcaldia Armenia: </t>
    </r>
    <r>
      <rPr>
        <sz val="10"/>
        <rFont val="Calibri"/>
        <family val="2"/>
        <scheme val="minor"/>
      </rPr>
      <t xml:space="preserve">DESARROLLO ECONOMICO NO REPORTA INFORMACION.
</t>
    </r>
    <r>
      <rPr>
        <b/>
        <sz val="10"/>
        <rFont val="Calibri"/>
        <family val="2"/>
        <scheme val="minor"/>
      </rPr>
      <t xml:space="preserve">Alcaldia Montengro: </t>
    </r>
    <r>
      <rPr>
        <sz val="10"/>
        <rFont val="Calibri"/>
        <family val="2"/>
        <scheme val="minor"/>
      </rPr>
      <t xml:space="preserve">alianza con el instituto - apoyo sobre informacion tutistica.
</t>
    </r>
    <r>
      <rPr>
        <b/>
        <sz val="10"/>
        <rFont val="Calibri"/>
        <family val="2"/>
        <scheme val="minor"/>
      </rPr>
      <t xml:space="preserve">Secretaria de Cultura: </t>
    </r>
    <r>
      <rPr>
        <sz val="10"/>
        <rFont val="Calibri"/>
        <family val="2"/>
        <scheme val="minor"/>
      </rPr>
      <t>Se realizaron un taller orientado a recoger y evaluar las actividades  de lectura crítica y cultural (histórico) con los estudiantes que pertenecen l proyecto del paisaje cultural cafetero de la institución educativa Rafael Uribe Uribe del municipio de Calarcá.
Se realizaron charlas en la semana ambiental titulada amenezas sobre la diversidad acuícola local en la institución educativa mercadotecnia del municipio de Quimbaya,  se abordaron temas como conservación e impactos ambientales.</t>
    </r>
    <r>
      <rPr>
        <b/>
        <sz val="10"/>
        <rFont val="Calibri"/>
        <family val="2"/>
        <scheme val="minor"/>
      </rPr>
      <t xml:space="preserve">
</t>
    </r>
  </si>
  <si>
    <r>
      <rPr>
        <b/>
        <sz val="10"/>
        <rFont val="Calibri"/>
        <family val="2"/>
        <scheme val="minor"/>
      </rPr>
      <t>Secretaría de Cultura:</t>
    </r>
    <r>
      <rPr>
        <sz val="10"/>
        <rFont val="Calibri"/>
        <family val="2"/>
        <scheme val="minor"/>
      </rPr>
      <t xml:space="preserve"> Realización de talleres de tejidos en macramé, trapillo, acabado de manillas con jóvenes del Amparo de niños Juan XXXIII, con asistencia de 34 jóvenes.</t>
    </r>
  </si>
  <si>
    <r>
      <rPr>
        <b/>
        <sz val="10"/>
        <rFont val="Calibri"/>
        <family val="2"/>
        <scheme val="minor"/>
      </rPr>
      <t>Secretaría de Familia</t>
    </r>
    <r>
      <rPr>
        <sz val="10"/>
        <rFont val="Calibri"/>
        <family val="2"/>
        <scheme val="minor"/>
      </rPr>
      <t xml:space="preserve">: Se actualizó un micro sitio en la página web de la Gobernación orientado a difundir y socializar las actividades realizadas en el marco de la implementación de la Política Pública de Juventud.
</t>
    </r>
  </si>
  <si>
    <r>
      <rPr>
        <b/>
        <sz val="10"/>
        <rFont val="Calibri"/>
        <family val="2"/>
        <scheme val="minor"/>
      </rPr>
      <t>Secretaría de Educación:</t>
    </r>
    <r>
      <rPr>
        <sz val="10"/>
        <rFont val="Calibri"/>
        <family val="2"/>
        <scheme val="minor"/>
      </rPr>
      <t xml:space="preserve"> * Participación en proyecto ONDAS Quindío. 43 de 60 proyectos de investigación escolar continúan activos en los propósitos del programa ONDAS el cual es promovido por el Ministerio de Ciencias.
* Desarrollo de alianza institucional para promover la Cultura de la Ciencia, la tecnología y la innovación en las instituciones educativas del departamento.
</t>
    </r>
    <r>
      <rPr>
        <b/>
        <sz val="10"/>
        <rFont val="Calibri"/>
        <family val="2"/>
        <scheme val="minor"/>
      </rPr>
      <t>Universidad del Quindío:</t>
    </r>
    <r>
      <rPr>
        <sz val="10"/>
        <rFont val="Calibri"/>
        <family val="2"/>
        <scheme val="minor"/>
      </rPr>
      <t xml:space="preserve"> Durante el trimestre referenciado, estuvieron en ejecución los siguientes proyectos de investigación, relacionados con dinámicas juveniles: 
Desarrollo, enfoques y retos entre el uso y la apropiación de la interacción tecnología - comunicación - educación en el aula virtual para el aprehender mediático en los programas de CSP de Uniquindío y CSOD de Uniminuto. Análisis del rendimiento académico de los estudiantes de la Universidad del Quindío aplicando técnicas de minería de datos.  Incidencia del camino lector infantil en la formación del adulto - mediador de lectura: un estudio de caso desarrollado con estudiantes de la Licenciatura en Literatura y Lengua Castellana de la Universidad del Quindío Ocio y tiempo libre en la comunidad educativa UNIQUINDIANA.
</t>
    </r>
    <r>
      <rPr>
        <b/>
        <sz val="10"/>
        <rFont val="Calibri"/>
        <family val="2"/>
        <scheme val="minor"/>
      </rPr>
      <t>Secretaría de Familia:</t>
    </r>
    <r>
      <rPr>
        <sz val="10"/>
        <rFont val="Calibri"/>
        <family val="2"/>
        <scheme val="minor"/>
      </rPr>
      <t xml:space="preserve">  Desde la jefatura de juventud no se realizan investigaciones sobre dinámicas juveniles. 
</t>
    </r>
    <r>
      <rPr>
        <b/>
        <sz val="10"/>
        <rFont val="Calibri"/>
        <family val="2"/>
        <scheme val="minor"/>
      </rPr>
      <t>Universidad la Gran Colombia:</t>
    </r>
    <r>
      <rPr>
        <sz val="10"/>
        <rFont val="Calibri"/>
        <family val="2"/>
        <scheme val="minor"/>
      </rPr>
      <t xml:space="preserve"> 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rFont val="Calibri"/>
        <family val="2"/>
        <scheme val="minor"/>
      </rPr>
      <t xml:space="preserve">Universidad San Buenaventura: </t>
    </r>
    <r>
      <rPr>
        <sz val="10"/>
        <rFont val="Calibri"/>
        <family val="2"/>
        <scheme val="minor"/>
      </rPr>
      <t xml:space="preserve">La Universidad De San Buenaventura tiene un proyecto que relaciona las tres facultades y su nombre es: Convivir, Incluir y Cohabitar: imaginarios sobre diversidad en las prácticas cotidianas de dos comunidades de educación superior en Armenia (Q.)
</t>
    </r>
    <r>
      <rPr>
        <b/>
        <sz val="10"/>
        <rFont val="Calibri"/>
        <family val="2"/>
        <scheme val="minor"/>
      </rPr>
      <t>Universidad Vom Humbolt:</t>
    </r>
    <r>
      <rPr>
        <sz val="10"/>
        <rFont val="Calibri"/>
        <family val="2"/>
        <scheme val="minor"/>
      </rPr>
      <t xml:space="preserve"> La Facultad de Ciencias Administrativas en este momento no cuenta con investigaciones relacionadas con dinámicas juveniles.
</t>
    </r>
  </si>
  <si>
    <r>
      <rPr>
        <b/>
        <sz val="10"/>
        <rFont val="Calibri"/>
        <family val="2"/>
        <scheme val="minor"/>
      </rPr>
      <t>Universidad San  Buenaventura</t>
    </r>
    <r>
      <rPr>
        <sz val="10"/>
        <rFont val="Calibri"/>
        <family val="2"/>
        <scheme val="minor"/>
      </rPr>
      <t xml:space="preserve">: La Univerisdad De San Buenaventura tiene las facultades de psicologia, arquitectura y licenciatura en eduacación infantil estan el proceso de desarollo en cursos, seminarios y diplomados para ofertar en el Departamento del Quindio 
</t>
    </r>
    <r>
      <rPr>
        <b/>
        <sz val="10"/>
        <rFont val="Calibri"/>
        <family val="2"/>
        <scheme val="minor"/>
      </rPr>
      <t>Universidad EAM:</t>
    </r>
    <r>
      <rPr>
        <sz val="10"/>
        <rFont val="Calibri"/>
        <family val="2"/>
        <scheme val="minor"/>
      </rPr>
      <t xml:space="preserve">Tres (3) cursos de cátedra de emprendimiento con la participación de 92 estudiantes con una intensidad de 64 horas.
</t>
    </r>
    <r>
      <rPr>
        <b/>
        <sz val="10"/>
        <rFont val="Calibri"/>
        <family val="2"/>
        <scheme val="minor"/>
      </rPr>
      <t>Secretaría de Familia:</t>
    </r>
    <r>
      <rPr>
        <sz val="10"/>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rFont val="Calibri"/>
        <family val="2"/>
        <scheme val="minor"/>
      </rPr>
      <t>Universidad Vom Humbolt:</t>
    </r>
    <r>
      <rPr>
        <sz val="10"/>
        <rFont val="Calibri"/>
        <family val="2"/>
        <scheme val="minor"/>
      </rPr>
      <t xml:space="preserve"> 441 personas impactadas en 5 programas en educación continua.
</t>
    </r>
    <r>
      <rPr>
        <b/>
        <sz val="10"/>
        <rFont val="Calibri"/>
        <family val="2"/>
        <scheme val="minor"/>
      </rPr>
      <t>Universidad la Gran Colombia:</t>
    </r>
    <r>
      <rPr>
        <sz val="10"/>
        <rFont val="Calibri"/>
        <family val="2"/>
        <scheme val="minor"/>
      </rPr>
      <t xml:space="preserve"> 1. Diplomado en Planificación Participativa y Estratégica, el cual ha contado con la participación de 6 jóvenes - Consejeros Territoriales de Planeación.
</t>
    </r>
    <r>
      <rPr>
        <b/>
        <sz val="10"/>
        <rFont val="Calibri"/>
        <family val="2"/>
        <scheme val="minor"/>
      </rPr>
      <t xml:space="preserve"> Secretaría de Educación: </t>
    </r>
    <r>
      <rPr>
        <sz val="10"/>
        <rFont val="Calibri"/>
        <family val="2"/>
        <scheme val="minor"/>
      </rPr>
      <t>* Articulación de la Educación Media con el Servicio Nacional de Aprendizaje SENA en torno a la doble titulación de los estudiantes de grado 10 y 11, fortaleciendo el perfil productivo del territorio y creando una nueva generación de emprendedores jóvenes en el departamento del Quindío.
* Instituciones atendidas con programa de emrpendimiento de la Universidad del Quindío.</t>
    </r>
  </si>
  <si>
    <r>
      <t xml:space="preserve">
</t>
    </r>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</si>
  <si>
    <r>
      <rPr>
        <b/>
        <sz val="10"/>
        <rFont val="Calibri"/>
        <family val="2"/>
        <scheme val="minor"/>
      </rPr>
      <t>Secretaría Familia:</t>
    </r>
    <r>
      <rPr>
        <sz val="10"/>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</si>
  <si>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t>Secretaría de Planeación</t>
    </r>
    <r>
      <rPr>
        <sz val="10"/>
        <rFont val="Calibri"/>
        <family val="2"/>
        <scheme val="minor"/>
      </rPr>
      <t>: La Secretaria de Planeación coordinó  durante el primer y segundo trimestre  acciones a través de Comité de Aprestamiento, la Rendición Pública de Cuentas de la Administración Departamental vigencia 2022, que se llevó a cabo el día 21 de junio de 2023  ,   en cumplimiento de las  metas del  Plan de Desarrollo 2020-2023 , por medio de las diferentes líneas estratégicas ( Inclusión Social y Equidad, Productividad y Competitividad, Territorio, Ambiente y Desarrollo Sostenible y Liderazgo Gobernabilidad y Transparencia) , en la cual se encuentran descritos logros de la política Pública  de juventud</t>
    </r>
  </si>
  <si>
    <r>
      <rPr>
        <b/>
        <sz val="10"/>
        <rFont val="Calibri"/>
        <family val="2"/>
        <scheme val="minor"/>
      </rPr>
      <t>Secretaría de Familia:</t>
    </r>
    <r>
      <rPr>
        <sz val="10"/>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rFont val="Calibri"/>
        <family val="2"/>
        <scheme val="minor"/>
      </rPr>
      <t>Alcaldia Calarca:</t>
    </r>
    <r>
      <rPr>
        <sz val="10"/>
        <rFont val="Calibri"/>
        <family val="2"/>
        <scheme val="minor"/>
      </rPr>
      <t xml:space="preserve"> el consejo  municipal de juventudes actualmente se encuentra funcionando con 6 consejeros activos los cuales sesionan cada 1 vez al mes.
</t>
    </r>
    <r>
      <rPr>
        <b/>
        <sz val="10"/>
        <rFont val="Calibri"/>
        <family val="2"/>
        <scheme val="minor"/>
      </rPr>
      <t>Alcaldía Tebaida:</t>
    </r>
    <r>
      <rPr>
        <sz val="10"/>
        <rFont val="Calibri"/>
        <family val="2"/>
        <scheme val="minor"/>
      </rPr>
      <t xml:space="preserve"> Consejo de Juventud en funcionamiento,1. El 17 de mayo se realizó entrega de implementación de papelería al consejo de juventud en virtud de que puedan desarrollar sus actividades. 2. El día 06 de junio se llevó a cabo mesa de trabajo con el consejo de juventud y el delegado regional para el eje cafetero. Se discutieron temas de las sesiones del consejo, el reglamento interno y las vacantes del consejo. </t>
    </r>
    <r>
      <rPr>
        <b/>
        <sz val="10"/>
        <rFont val="Calibri"/>
        <family val="2"/>
        <scheme val="minor"/>
      </rPr>
      <t xml:space="preserve">
Alcaldía Buenavista: </t>
    </r>
    <r>
      <rPr>
        <sz val="10"/>
        <rFont val="Calibri"/>
        <family val="2"/>
        <scheme val="minor"/>
      </rPr>
      <t>Se cuenta con un consejo de juventud funcionando y se posesionó por medio del decreto 007 del 11 enero del 2022.</t>
    </r>
    <r>
      <rPr>
        <b/>
        <sz val="10"/>
        <rFont val="Calibri"/>
        <family val="2"/>
        <scheme val="minor"/>
      </rPr>
      <t xml:space="preserve"> 
Alcaldía Córdoba. </t>
    </r>
    <r>
      <rPr>
        <sz val="10"/>
        <rFont val="Calibri"/>
        <family val="2"/>
        <scheme val="minor"/>
      </rPr>
      <t xml:space="preserve">Se cuenta con el consejo municipal de Juventud mediante Resolución Nº06 de enero 11 de 2022. El día 28 de febrero del 2023, realizó sesión ordinaria para la postulación y elección del delegado y/o representante al CDJ. El día 21 de marzo del 2023, realizó sesión ordinaria para la aprobación de la agenda municipal de juventud. 
</t>
    </r>
    <r>
      <rPr>
        <b/>
        <sz val="10"/>
        <rFont val="Calibri"/>
        <family val="2"/>
        <scheme val="minor"/>
      </rPr>
      <t>Alcaldía Montenegro: E</t>
    </r>
    <r>
      <rPr>
        <sz val="10"/>
        <rFont val="Calibri"/>
        <family val="2"/>
        <scheme val="minor"/>
      </rPr>
      <t xml:space="preserve">n el momento tenemos un consejo de juventud, con 04 consejeros en donde al momento no se encuentran operando de una manera activa
</t>
    </r>
    <r>
      <rPr>
        <b/>
        <sz val="10"/>
        <rFont val="Calibri"/>
        <family val="2"/>
        <scheme val="minor"/>
      </rPr>
      <t>Alcaldía Quimbaya:</t>
    </r>
    <r>
      <rPr>
        <sz val="10"/>
        <rFont val="Calibri"/>
        <family val="2"/>
        <scheme val="minor"/>
      </rPr>
      <t xml:space="preserve"> El CMJ se encuentra operando de manera autónoma.
</t>
    </r>
    <r>
      <rPr>
        <b/>
        <sz val="10"/>
        <rFont val="Calibri"/>
        <family val="2"/>
        <scheme val="minor"/>
      </rPr>
      <t>Alcaldía de Pijao:</t>
    </r>
    <r>
      <rPr>
        <sz val="10"/>
        <rFont val="Calibri"/>
        <family val="2"/>
        <scheme val="minor"/>
      </rPr>
      <t xml:space="preserve"> 1 Consejo de Juvetud funcionando. 
</t>
    </r>
    <r>
      <rPr>
        <b/>
        <sz val="10"/>
        <rFont val="Calibri"/>
        <family val="2"/>
        <scheme val="minor"/>
      </rPr>
      <t xml:space="preserve">Alcaldia Armenia: </t>
    </r>
    <r>
      <rPr>
        <sz val="10"/>
        <rFont val="Calibri"/>
        <family val="2"/>
        <scheme val="minor"/>
      </rPr>
      <t xml:space="preserve">1 Consejo Municipal de Juventud el cual se posesionó el día 17 de enero de 2022 resolución 11 de posesión de 2022 19 consejeros.
</t>
    </r>
    <r>
      <rPr>
        <b/>
        <sz val="10"/>
        <rFont val="Calibri"/>
        <family val="2"/>
        <scheme val="minor"/>
      </rPr>
      <t>Alcaldía de Filandia:</t>
    </r>
    <r>
      <rPr>
        <sz val="10"/>
        <rFont val="Calibri"/>
        <family val="2"/>
        <scheme val="minor"/>
      </rPr>
      <t xml:space="preserve"> 1 Consejo de Juventud operando.</t>
    </r>
  </si>
  <si>
    <r>
      <t xml:space="preserve">Secretaría de Familia: </t>
    </r>
    <r>
      <rPr>
        <sz val="10"/>
        <rFont val="Calibri"/>
        <family val="2"/>
        <scheme val="minor"/>
      </rPr>
      <t xml:space="preserve">Reporta que los doce municipios del Quindío, han realizado las asambleas juveniles, conforme al estatuto de ciudadanía juvenil. Además se realizó la asamblea de juventud  departamental de juventud en el recinto de la asamblea departamental en el mes de marzo de 2023.
</t>
    </r>
    <r>
      <rPr>
        <b/>
        <sz val="10"/>
        <rFont val="Calibri"/>
        <family val="2"/>
        <scheme val="minor"/>
      </rPr>
      <t>Alcaldía Tebaida:</t>
    </r>
    <r>
      <rPr>
        <sz val="10"/>
        <rFont val="Calibri"/>
        <family val="2"/>
        <scheme val="minor"/>
      </rPr>
      <t xml:space="preserve"> en este trimestre no se llevó a cabo asamblea de juventud.</t>
    </r>
    <r>
      <rPr>
        <b/>
        <sz val="10"/>
        <rFont val="Calibri"/>
        <family val="2"/>
        <scheme val="minor"/>
      </rPr>
      <t xml:space="preserve">
Alcaldía de Buenavista: S</t>
    </r>
    <r>
      <rPr>
        <sz val="10"/>
        <rFont val="Calibri"/>
        <family val="2"/>
        <scheme val="minor"/>
      </rPr>
      <t>e realizó asamblea de juventud en el mes de junio.</t>
    </r>
    <r>
      <rPr>
        <b/>
        <sz val="10"/>
        <rFont val="Calibri"/>
        <family val="2"/>
        <scheme val="minor"/>
      </rPr>
      <t xml:space="preserve">
Alcaldía de Salento: </t>
    </r>
    <r>
      <rPr>
        <sz val="10"/>
        <rFont val="Calibri"/>
        <family val="2"/>
        <scheme val="minor"/>
      </rPr>
      <t xml:space="preserve">Hasta la fecha se ha realizado una Asamblea Municipal de Juventud, el día 8 de Febrero.
</t>
    </r>
    <r>
      <rPr>
        <b/>
        <sz val="10"/>
        <rFont val="Calibri"/>
        <family val="2"/>
        <scheme val="minor"/>
      </rPr>
      <t>Alcaldia Calarca:</t>
    </r>
    <r>
      <rPr>
        <sz val="10"/>
        <rFont val="Calibri"/>
        <family val="2"/>
        <scheme val="minor"/>
      </rPr>
      <t xml:space="preserve"> se realizó 1 Asamblea de juventudes el 8 de junio del año 2023</t>
    </r>
    <r>
      <rPr>
        <b/>
        <sz val="10"/>
        <rFont val="Calibri"/>
        <family val="2"/>
        <scheme val="minor"/>
      </rPr>
      <t xml:space="preserve">
Alcaldía Quimbaya: </t>
    </r>
    <r>
      <rPr>
        <sz val="10"/>
        <rFont val="Calibri"/>
        <family val="2"/>
        <scheme val="minor"/>
      </rPr>
      <t xml:space="preserve">Se realizó la asamblea municipal de juventud con participación de diferentes sectores juveniles.  </t>
    </r>
    <r>
      <rPr>
        <b/>
        <sz val="10"/>
        <rFont val="Calibri"/>
        <family val="2"/>
        <scheme val="minor"/>
      </rPr>
      <t xml:space="preserve">
Alcaldía Montenegro: </t>
    </r>
    <r>
      <rPr>
        <sz val="10"/>
        <rFont val="Calibri"/>
        <family val="2"/>
        <scheme val="minor"/>
      </rPr>
      <t>Se ha realizado una asamblea de juventud con el fin de socializar el seguimiento a la política pública y las actividades de la semana de la juventud.</t>
    </r>
    <r>
      <rPr>
        <b/>
        <sz val="10"/>
        <rFont val="Calibri"/>
        <family val="2"/>
        <scheme val="minor"/>
      </rPr>
      <t xml:space="preserve">
Alcaldía de Pijao: </t>
    </r>
    <r>
      <rPr>
        <sz val="10"/>
        <rFont val="Calibri"/>
        <family val="2"/>
        <scheme val="minor"/>
      </rPr>
      <t xml:space="preserve">No se han realizado Asambleas de Juventud en este periodo.
</t>
    </r>
    <r>
      <rPr>
        <b/>
        <sz val="10"/>
        <rFont val="Calibri"/>
        <family val="2"/>
        <scheme val="minor"/>
      </rPr>
      <t xml:space="preserve">Alcaldia Armenia: </t>
    </r>
    <r>
      <rPr>
        <sz val="10"/>
        <rFont val="Calibri"/>
        <family val="2"/>
        <scheme val="minor"/>
      </rPr>
      <t xml:space="preserve">1 asamblea juvenil realizada el 18 de febrero de 2023. </t>
    </r>
  </si>
  <si>
    <r>
      <t xml:space="preserve">
Secretaría de Familia: </t>
    </r>
    <r>
      <rPr>
        <sz val="10"/>
        <rFont val="Calibri"/>
        <family val="2"/>
        <scheme val="minor"/>
      </rPr>
      <t>Reporta que los doce municipios del Departamento, han sido asistidos técnicamente desde la Jefatura de Juventud, para la conformación y operación de los sistemas municipales de juventud.</t>
    </r>
    <r>
      <rPr>
        <b/>
        <sz val="10"/>
        <rFont val="Calibri"/>
        <family val="2"/>
        <scheme val="minor"/>
      </rPr>
      <t xml:space="preserve">
Alcaldía de Armenia: </t>
    </r>
    <r>
      <rPr>
        <sz val="10"/>
        <rFont val="Calibri"/>
        <family val="2"/>
        <scheme val="minor"/>
      </rPr>
      <t>A través del Decreto 349 del 09 de noviembre de 2020  se crea el sistema municipal de juventud.</t>
    </r>
    <r>
      <rPr>
        <b/>
        <sz val="10"/>
        <rFont val="Calibri"/>
        <family val="2"/>
        <scheme val="minor"/>
      </rPr>
      <t xml:space="preserve">
Alcaldía de Circasia: </t>
    </r>
    <r>
      <rPr>
        <sz val="10"/>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rFont val="Calibri"/>
        <family val="2"/>
        <scheme val="minor"/>
      </rPr>
      <t xml:space="preserve">
Alcaldía Quimbaya: </t>
    </r>
    <r>
      <rPr>
        <sz val="10"/>
        <rFont val="Calibri"/>
        <family val="2"/>
        <scheme val="minor"/>
      </rPr>
      <t>El municipio de Quimbaya durante el trimestre aportó la información de los delegados departamentales a la plataforma y al consejo de juventud.</t>
    </r>
    <r>
      <rPr>
        <b/>
        <sz val="10"/>
        <rFont val="Calibri"/>
        <family val="2"/>
        <scheme val="minor"/>
      </rPr>
      <t xml:space="preserve">
Alcaldía de Salento: </t>
    </r>
    <r>
      <rPr>
        <sz val="10"/>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rFont val="Calibri"/>
        <family val="2"/>
        <scheme val="minor"/>
      </rPr>
      <t xml:space="preserve">
Alcaldía de Filandia: </t>
    </r>
    <r>
      <rPr>
        <sz val="10"/>
        <rFont val="Calibri"/>
        <family val="2"/>
        <scheme val="minor"/>
      </rPr>
      <t xml:space="preserve">el municipio de Filandia cuenta con Consejo Municipal de Juventud  y Plataforma de Juventud operando. </t>
    </r>
    <r>
      <rPr>
        <b/>
        <sz val="10"/>
        <rFont val="Calibri"/>
        <family val="2"/>
        <scheme val="minor"/>
      </rPr>
      <t xml:space="preserve">
Alcaldía de Calarcá: </t>
    </r>
    <r>
      <rPr>
        <sz val="10"/>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rFont val="Calibri"/>
        <family val="2"/>
        <scheme val="minor"/>
      </rPr>
      <t xml:space="preserve">
Alcaldía de Génova: </t>
    </r>
    <r>
      <rPr>
        <sz val="10"/>
        <rFont val="Calibri"/>
        <family val="2"/>
        <scheme val="minor"/>
      </rPr>
      <t>Plataforma Deptal y Consejo Deptal activo y con delegados de Génova.</t>
    </r>
    <r>
      <rPr>
        <b/>
        <sz val="10"/>
        <rFont val="Calibri"/>
        <family val="2"/>
        <scheme val="minor"/>
      </rPr>
      <t xml:space="preserve">
Alcaldía Pijao: </t>
    </r>
    <r>
      <rPr>
        <sz val="10"/>
        <rFont val="Calibri"/>
        <family val="2"/>
        <scheme val="minor"/>
      </rPr>
      <t xml:space="preserve">Se cuenta con la plataforma Municipal de juventud actualizada, consejo de juventud, cada uno con sus reglamentos internos y en total funcionamiento.
</t>
    </r>
    <r>
      <rPr>
        <b/>
        <sz val="10"/>
        <rFont val="Calibri"/>
        <family val="2"/>
        <scheme val="minor"/>
      </rPr>
      <t>Alcaldiía Córdoba:</t>
    </r>
    <r>
      <rPr>
        <sz val="10"/>
        <rFont val="Calibri"/>
        <family val="2"/>
        <scheme val="minor"/>
      </rPr>
      <t xml:space="preserve"> El Municipio de Córdoba cuenta con el Consejo municipal de juventudes  posesionado mediante Resolución Nº06 de enero 11 de 2022 y la Plataforma de Juventudes mediante Resolución Nº023 de 13 de septiembre de 2022 expedida por la Personería Municipal.
</t>
    </r>
    <r>
      <rPr>
        <b/>
        <sz val="10"/>
        <rFont val="Calibri"/>
        <family val="2"/>
        <scheme val="minor"/>
      </rPr>
      <t xml:space="preserve">Alcaldia Buenavista: </t>
    </r>
    <r>
      <rPr>
        <sz val="10"/>
        <rFont val="Calibri"/>
        <family val="2"/>
        <scheme val="minor"/>
      </rPr>
      <t xml:space="preserve"> Cuenta con los delegados a la diferentes instancias que conforman el Sistema de Juventud.
</t>
    </r>
    <r>
      <rPr>
        <b/>
        <sz val="10"/>
        <rFont val="Calibri"/>
        <family val="2"/>
        <scheme val="minor"/>
      </rPr>
      <t xml:space="preserve">Alcaldia Montenegro: </t>
    </r>
    <r>
      <rPr>
        <sz val="10"/>
        <rFont val="Calibri"/>
        <family val="2"/>
        <scheme val="minor"/>
      </rPr>
      <t>Al</t>
    </r>
    <r>
      <rPr>
        <b/>
        <sz val="10"/>
        <rFont val="Calibri"/>
        <family val="2"/>
        <scheme val="minor"/>
      </rPr>
      <t xml:space="preserve"> </t>
    </r>
    <r>
      <rPr>
        <sz val="10"/>
        <rFont val="Calibri"/>
        <family val="2"/>
        <scheme val="minor"/>
      </rPr>
      <t xml:space="preserve">momento contamos con una plataforma, un consejo de juventud. Sin embargo, la plataforma está funcionando de manera activa pero el consejo se encuentra desarticualdo, solo 1 consejero acompañando los espacios de participación. Por otra parte, se ha cumplido de manera puntual con la asamblea de juventud y con las comisiones de concertación y decisión.
</t>
    </r>
    <r>
      <rPr>
        <b/>
        <sz val="10"/>
        <rFont val="Calibri"/>
        <family val="2"/>
        <scheme val="minor"/>
      </rPr>
      <t xml:space="preserve">Alcadia Calarca: </t>
    </r>
    <r>
      <rPr>
        <sz val="10"/>
        <rFont val="Calibri"/>
        <family val="2"/>
        <scheme val="minor"/>
      </rPr>
      <t>se cuenta con plataforma municipal de juventudes y consejo municipal de juventudes los cuales sesionan 1 vez al mes</t>
    </r>
    <r>
      <rPr>
        <b/>
        <sz val="10"/>
        <rFont val="Calibri"/>
        <family val="2"/>
        <scheme val="minor"/>
      </rPr>
      <t>.</t>
    </r>
    <r>
      <rPr>
        <sz val="10"/>
        <rFont val="Calibri"/>
        <family val="2"/>
        <scheme val="minor"/>
      </rPr>
      <t xml:space="preserve">
</t>
    </r>
  </si>
  <si>
    <r>
      <rPr>
        <b/>
        <sz val="10"/>
        <rFont val="Calibri"/>
        <family val="2"/>
        <scheme val="minor"/>
      </rPr>
      <t xml:space="preserve">
Cámara de Comercio de Armenia y del Quindío:  </t>
    </r>
    <r>
      <rPr>
        <sz val="10"/>
        <rFont val="Calibri"/>
        <family val="2"/>
        <scheme val="minor"/>
      </rPr>
      <t xml:space="preserve">La tasa de desempleo juvenil en la ciudad de Armenia es de 20,5 según el DANE en su último informe publicado
</t>
    </r>
    <r>
      <rPr>
        <b/>
        <sz val="10"/>
        <rFont val="Calibri"/>
        <family val="2"/>
        <scheme val="minor"/>
      </rPr>
      <t>Secretaría de Agricultura:</t>
    </r>
    <r>
      <rPr>
        <sz val="10"/>
        <rFont val="Calibri"/>
        <family val="2"/>
        <scheme val="minor"/>
      </rPr>
      <t xml:space="preserve">  Se aprobaron los proyectos de planta de bioinsumos y proyecto de la plataforma para la captura de informacion en tiempo real del sector agropecuario, con el fin de que la poblacion juvenil puedan hacer parte de este tipo de proyectos, mediante la investigacion y apropiacion del conocimiento.
</t>
    </r>
    <r>
      <rPr>
        <b/>
        <sz val="10"/>
        <rFont val="Calibri"/>
        <family val="2"/>
        <scheme val="minor"/>
      </rPr>
      <t xml:space="preserve">Alcaldía de Filandia: </t>
    </r>
    <r>
      <rPr>
        <sz val="10"/>
        <rFont val="Calibri"/>
        <family val="2"/>
        <scheme val="minor"/>
      </rPr>
      <t xml:space="preserve">55% de jóvenes vinculados laboralmente.
</t>
    </r>
    <r>
      <rPr>
        <b/>
        <sz val="10"/>
        <rFont val="Calibri"/>
        <family val="2"/>
        <scheme val="minor"/>
      </rPr>
      <t xml:space="preserve">Alcaldía Salento: </t>
    </r>
    <r>
      <rPr>
        <sz val="10"/>
        <rFont val="Calibri"/>
        <family val="2"/>
        <scheme val="minor"/>
      </rPr>
      <t xml:space="preserve">Actividades desarrolladas por parte del programa Cátedra de la Salentinidad hacia las instituciones educativas (Capacitacion docentes y dotación material pedagógico)
</t>
    </r>
    <r>
      <rPr>
        <b/>
        <sz val="10"/>
        <rFont val="Calibri"/>
        <family val="2"/>
        <scheme val="minor"/>
      </rPr>
      <t>Alcaldía Córdoba:</t>
    </r>
    <r>
      <rPr>
        <sz val="10"/>
        <rFont val="Calibri"/>
        <family val="2"/>
        <scheme val="minor"/>
      </rPr>
      <t xml:space="preserve"> Esta información no puede ser socializada en porcentaje (%), sin embargo por parte de la Alcaldía Municipal a través de su oficina de empleo se ha realizado 1 feria de empleo con el apoyo y acompañamiento de Comfenalco Quindío, se realizan piezas y publicaciones de ofertas de empleo en los canales digitales y redes sociales de la administración . 
</t>
    </r>
    <r>
      <rPr>
        <b/>
        <sz val="10"/>
        <rFont val="Calibri"/>
        <family val="2"/>
        <scheme val="minor"/>
      </rPr>
      <t>sena:</t>
    </r>
    <r>
      <rPr>
        <sz val="10"/>
        <rFont val="Calibri"/>
        <family val="2"/>
        <scheme val="minor"/>
      </rPr>
      <t xml:space="preserve"> Durante los meses de abril a junio, se realizo orientacion ocupacional a 4440 jovenes a traves de la Agencia Publica de Empleo SENA. De los cuales 959 jovenes quedaron vinculados en las diferentes ofertas laborales en el I semestre del año 2023.
Ademas dentro de la estrategia SENNOVA, se hicieron Actividades de promoción y divulgación de cultura investigadora por medio de proyectos de investigación, Fomento de innovación, Modernización por medio de los Semilleros de investigación y el grupo de investigación
</t>
    </r>
    <r>
      <rPr>
        <b/>
        <sz val="10"/>
        <rFont val="Calibri"/>
        <family val="2"/>
        <scheme val="minor"/>
      </rPr>
      <t xml:space="preserve">Alcaldia Armenia: </t>
    </r>
    <r>
      <rPr>
        <sz val="10"/>
        <rFont val="Calibri"/>
        <family val="2"/>
        <scheme val="minor"/>
      </rPr>
      <t xml:space="preserve">Realizar jornadas de inserción laboral para jóvenes
</t>
    </r>
    <r>
      <rPr>
        <b/>
        <sz val="10"/>
        <rFont val="Calibri"/>
        <family val="2"/>
        <scheme val="minor"/>
      </rPr>
      <t xml:space="preserve">Alcaldía Buenavista: </t>
    </r>
    <r>
      <rPr>
        <sz val="10"/>
        <rFont val="Calibri"/>
        <family val="2"/>
        <scheme val="minor"/>
      </rPr>
      <t xml:space="preserve">se realizó por medio de la agencia de empleo de confenalco Quindio, una jornada de asistencia en el municipio, dirigida a toda la comunidad.
</t>
    </r>
    <r>
      <rPr>
        <b/>
        <sz val="10"/>
        <rFont val="Calibri"/>
        <family val="2"/>
        <scheme val="minor"/>
      </rPr>
      <t xml:space="preserve">Alcaldia Calarca: </t>
    </r>
    <r>
      <rPr>
        <sz val="10"/>
        <rFont val="Calibri"/>
        <family val="2"/>
        <scheme val="minor"/>
      </rPr>
      <t xml:space="preserve">se realizan asesorias, las cuales consisten  en registrar o actualizar la hoja de vida de cada joven en la APE, con el fin de identificar su perfil ocupacional. Seguido a esto se busca una vacante que se ajuste a sus estudios y experiencia (a su perfil laboral); si se encuentra alguna vacante y cumple con todos los requisitos se postula. 
*Las socializaciones consisten sobre la vinculación de la vida laboral y sobre el  manejo de la plataforma Agencia Pública de Empleo para inscripción, actualización, búsqueda de vacantes y postulaciones. 
</t>
    </r>
    <r>
      <rPr>
        <b/>
        <sz val="10"/>
        <rFont val="Calibri"/>
        <family val="2"/>
        <scheme val="minor"/>
      </rPr>
      <t>Alcaldia Quimbaya:</t>
    </r>
    <r>
      <rPr>
        <sz val="10"/>
        <rFont val="Calibri"/>
        <family val="2"/>
        <scheme val="minor"/>
      </rPr>
      <t xml:space="preserve"> El municipio no cuenta con esta informacion estadistica</t>
    </r>
    <r>
      <rPr>
        <b/>
        <sz val="10"/>
        <rFont val="Calibri"/>
        <family val="2"/>
        <scheme val="minor"/>
      </rPr>
      <t xml:space="preserve">
Alcaldía Montenegro: </t>
    </r>
    <r>
      <rPr>
        <sz val="10"/>
        <rFont val="Calibri"/>
        <family val="2"/>
        <scheme val="minor"/>
      </rPr>
      <t xml:space="preserve">al momento no se cuenta con una tasa de desempleo juvenil en el municipio, sin embargo desde la Subsecretría de Desarrollo Social y Educativo se han abierto espacios para que los jóvenes conoscan de algunas ofertas laborales.
</t>
    </r>
    <r>
      <rPr>
        <b/>
        <sz val="10"/>
        <rFont val="Calibri"/>
        <family val="2"/>
        <scheme val="minor"/>
      </rPr>
      <t xml:space="preserve">Alcaldía Pijao: </t>
    </r>
    <r>
      <rPr>
        <sz val="10"/>
        <rFont val="Calibri"/>
        <family val="2"/>
        <scheme val="minor"/>
      </rPr>
      <t xml:space="preserve">convocatorias y apoyo a empresas, recepción de hojas de vida.
</t>
    </r>
  </si>
  <si>
    <r>
      <rPr>
        <b/>
        <sz val="10"/>
        <rFont val="Calibri"/>
        <family val="2"/>
        <scheme val="minor"/>
      </rPr>
      <t xml:space="preserve">Observación: </t>
    </r>
    <r>
      <rPr>
        <sz val="10"/>
        <rFont val="Calibri"/>
        <family val="2"/>
        <scheme val="minor"/>
      </rPr>
      <t>La suma del primero y segundo trimestre del 2023 en cuanto a No de Jóvenes vinculados a proyectos innovadores y de emprendimiento es de 201.</t>
    </r>
    <r>
      <rPr>
        <b/>
        <sz val="10"/>
        <rFont val="Calibri"/>
        <family val="2"/>
        <scheme val="minor"/>
      </rPr>
      <t xml:space="preserve">
Secretaría Turismo, Industria y Comercio: </t>
    </r>
    <r>
      <rPr>
        <sz val="10"/>
        <rFont val="Calibri"/>
        <family val="2"/>
        <scheme val="minor"/>
      </rPr>
      <t xml:space="preserve">Ocho (08) jóvenes vinculados a proyectos innovadores y de emprendimiento en los 12 municipios del departamento del Quindío, en los sectores de industria, agricultura, construcción, comercio, transporte, alojamiento, financiero, educación, entre otros,   a través de servicio de asesoría técnica que presta el CINNE (Centro de Innovación Empresarial), financiado por medio del proyecto de inversión de: "Fortalecimiento del ecosistema de emprendimiento mediante el acompañamiento técnico y servicio de apoyo financiero para emprendedores en el departamento del Quindío." CÓDIGO BPPIN: 2021003630014, financiado con recursos del Sistema General de Regalías (SGR). Donde se busca madurar la idea de negocio, convertirla en un plan de negocio y llegar a fortalecer el emprendimiento hasta con recursos económicos, si llega a cumplir con los requisitos exigidos del fondo emprender SENA.
</t>
    </r>
    <r>
      <rPr>
        <b/>
        <sz val="10"/>
        <rFont val="Calibri"/>
        <family val="2"/>
        <scheme val="minor"/>
      </rPr>
      <t xml:space="preserve">Cámara de Comercio de Armenia y del Quindío: </t>
    </r>
    <r>
      <rPr>
        <sz val="10"/>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Secretaría de Agricultura:</t>
    </r>
    <r>
      <rPr>
        <sz val="10"/>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rFont val="Calibri"/>
        <family val="2"/>
        <scheme val="minor"/>
      </rPr>
      <t>SENA:</t>
    </r>
    <r>
      <rPr>
        <sz val="10"/>
        <rFont val="Calibri"/>
        <family val="2"/>
        <scheme val="minor"/>
      </rPr>
      <t xml:space="preserve"> Vinculación de jóvenes en los programas de emprendimiento del Centro de desarrollo Empresarial del SENA Regional Quindío.*28 jóvenes vinculados: 6 en fortalecimiento empresarial, 4 en formulación de fondo emprender y 18 puesta en marcha otras fuentes de financiación.
</t>
    </r>
    <r>
      <rPr>
        <b/>
        <sz val="10"/>
        <rFont val="Calibri"/>
        <family val="2"/>
        <scheme val="minor"/>
      </rPr>
      <t>Universidad del Quindío:</t>
    </r>
    <r>
      <rPr>
        <sz val="10"/>
        <rFont val="Calibri"/>
        <family val="2"/>
        <scheme val="minor"/>
      </rPr>
      <t xml:space="preserve"> Para el presupuesto se cuantifcaron los recursos destinados en especie, que por lo general se relacionan con el rubro de contratación o de asignación de funcionarios al apoyo de dichos procesos.
</t>
    </r>
    <r>
      <rPr>
        <b/>
        <sz val="10"/>
        <rFont val="Calibri"/>
        <family val="2"/>
        <scheme val="minor"/>
      </rPr>
      <t xml:space="preserve">Universidad EAM: </t>
    </r>
    <r>
      <rPr>
        <sz val="10"/>
        <rFont val="Calibri"/>
        <family val="2"/>
        <scheme val="minor"/>
      </rPr>
      <t xml:space="preserve">28 estudiantes con 14 proyectos de creación de empresa y/o emoresa creada (opción de grado programas de pregrado).
</t>
    </r>
    <r>
      <rPr>
        <b/>
        <sz val="10"/>
        <rFont val="Calibri"/>
        <family val="2"/>
        <scheme val="minor"/>
      </rPr>
      <t xml:space="preserve">U Von Humbolt: </t>
    </r>
    <r>
      <rPr>
        <sz val="10"/>
        <rFont val="Calibri"/>
        <family val="2"/>
        <scheme val="minor"/>
      </rPr>
      <t xml:space="preserve">A través de la Ud de Empredimiento Emprendelab de han atendido a cuatro (4) estudiantes de la comunidad académica de la Humboldt, a quienes se les ha acompañado en una ruta de emprendimiento. Asi mismo, a traves de prácticas empresariales se han acompañado a setenta y dos (72) estudiantes del programa de Administración de Empresas, quienes han presentado propuestas de mejora en las empresas
2 graduados con planes de negocio en acompañamiento con 2 emprendimientos
</t>
    </r>
    <r>
      <rPr>
        <b/>
        <sz val="10"/>
        <rFont val="Calibri"/>
        <family val="2"/>
        <scheme val="minor"/>
      </rPr>
      <t>Universidad la Gran Colombia</t>
    </r>
    <r>
      <rPr>
        <sz val="10"/>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rFont val="Calibri"/>
        <family val="2"/>
        <scheme val="minor"/>
      </rPr>
      <t>Alcaldía Buenavista:</t>
    </r>
    <r>
      <rPr>
        <sz val="10"/>
        <rFont val="Calibri"/>
        <family val="2"/>
        <scheme val="minor"/>
      </rPr>
      <t xml:space="preserve"> en Buenavista se cuenta con 8 jóvenes vinculados a un proyecto de emprendimiento que busca formarlos para su vida laboral, y se llama ASOJEX.
</t>
    </r>
    <r>
      <rPr>
        <b/>
        <sz val="10"/>
        <rFont val="Calibri"/>
        <family val="2"/>
        <scheme val="minor"/>
      </rPr>
      <t>Alcaldia Armenia</t>
    </r>
    <r>
      <rPr>
        <sz val="10"/>
        <rFont val="Calibri"/>
        <family val="2"/>
        <scheme val="minor"/>
      </rPr>
      <t xml:space="preserve">: Fomento a espacios de participación y promoción de la Agenda Integrada de Competititividad, Ciencia, Tecnología e Innovación,Se participo activamente en las actividades lideradas por la Gobernación del Quindío para la implementación del Plan reggional de Competitividad las cuales son:
-Socializacion del Plan Regional de Competitividad e Innovacion del Departamento del Quindio
</t>
    </r>
    <r>
      <rPr>
        <b/>
        <sz val="10"/>
        <rFont val="Calibri"/>
        <family val="2"/>
        <scheme val="minor"/>
      </rPr>
      <t>Alcaldía Córdoba</t>
    </r>
    <r>
      <rPr>
        <sz val="10"/>
        <rFont val="Calibri"/>
        <family val="2"/>
        <scheme val="minor"/>
      </rPr>
      <t xml:space="preserve">: Se ha relizado 1 feria gastronómica y de emprendimiento por medio de la Oficina de Turimo Muncipal donde se vincularon 6 jóvenes que poseen emprendimientos e ideas de negocio. 
</t>
    </r>
    <r>
      <rPr>
        <b/>
        <sz val="10"/>
        <rFont val="Calibri"/>
        <family val="2"/>
        <scheme val="minor"/>
      </rPr>
      <t>Alcaldía de Calarcá</t>
    </r>
    <r>
      <rPr>
        <sz val="10"/>
        <rFont val="Calibri"/>
        <family val="2"/>
        <scheme val="minor"/>
      </rPr>
      <t xml:space="preserve">: se realizo convocatoria a jovenes de 14 a 28 años que cuenten con iniciativas juveniles en pro de los jovenes para participar por apoyo de las mismas, asi mismo se realizaron 4 talleres a los jovenes que se postularon con sus propuestas.
</t>
    </r>
    <r>
      <rPr>
        <b/>
        <sz val="10"/>
        <rFont val="Calibri"/>
        <family val="2"/>
        <scheme val="minor"/>
      </rPr>
      <t xml:space="preserve">Alcaldía Filandia: </t>
    </r>
    <r>
      <rPr>
        <sz val="10"/>
        <rFont val="Calibri"/>
        <family val="2"/>
        <scheme val="minor"/>
      </rPr>
      <t xml:space="preserve">12 jóvenes vinculados a proyectos innovadores  y 6 iniciativas empresariales apoyadas.
</t>
    </r>
    <r>
      <rPr>
        <b/>
        <sz val="10"/>
        <rFont val="Calibri"/>
        <family val="2"/>
        <scheme val="minor"/>
      </rPr>
      <t xml:space="preserve">Alcaldía Montenegro: </t>
    </r>
    <r>
      <rPr>
        <sz val="10"/>
        <rFont val="Calibri"/>
        <family val="2"/>
        <scheme val="minor"/>
      </rPr>
      <t xml:space="preserve">no se cuenta en el momento con jovenes vinculados a proyectos innovadores de emprendimiento, sin embargo estamos en la tarea de crear un grupo de jovenes empresarios para fortalecer este proceso
</t>
    </r>
    <r>
      <rPr>
        <b/>
        <sz val="10"/>
        <rFont val="Calibri"/>
        <family val="2"/>
        <scheme val="minor"/>
      </rPr>
      <t>Alcaldía Quimbaya:</t>
    </r>
    <r>
      <rPr>
        <sz val="10"/>
        <rFont val="Calibri"/>
        <family val="2"/>
        <scheme val="minor"/>
      </rPr>
      <t xml:space="preserve"> A través del apoyo a las iniciativas de emprendimiento juvenil se brinda acompañamiento a 40 jóvenes emprendedores.
</t>
    </r>
    <r>
      <rPr>
        <b/>
        <sz val="10"/>
        <rFont val="Calibri"/>
        <family val="2"/>
        <scheme val="minor"/>
      </rPr>
      <t>Alcaldía de Pijao:</t>
    </r>
    <r>
      <rPr>
        <sz val="10"/>
        <rFont val="Calibri"/>
        <family val="2"/>
        <scheme val="minor"/>
      </rPr>
      <t xml:space="preserve"> No cuenta con Jovenes vinculados a proyectos innovadores y de emprendimiento.
</t>
    </r>
    <r>
      <rPr>
        <b/>
        <sz val="10"/>
        <rFont val="Calibri"/>
        <family val="2"/>
        <scheme val="minor"/>
      </rPr>
      <t>Alcaldia Buenavista:</t>
    </r>
    <r>
      <rPr>
        <sz val="10"/>
        <rFont val="Calibri"/>
        <family val="2"/>
        <scheme val="minor"/>
      </rPr>
      <t xml:space="preserve"> en Buenavista se cuenta con 8 jovenes vinculados a un proyecto de emprendimiento que busca formarlos para su vida laboralpor medio de la asociación ASOJEX</t>
    </r>
  </si>
  <si>
    <r>
      <rPr>
        <b/>
        <sz val="10"/>
        <rFont val="Calibri"/>
        <family val="2"/>
        <scheme val="minor"/>
      </rPr>
      <t>Secretaría de Salud:</t>
    </r>
    <r>
      <rPr>
        <sz val="10"/>
        <rFont val="Calibri"/>
        <family val="2"/>
        <scheme val="minor"/>
      </rPr>
      <t xml:space="preserve">  En los 12 municipios del Quindio, se realizaron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t>
    </r>
  </si>
  <si>
    <r>
      <rPr>
        <b/>
        <sz val="10"/>
        <rFont val="Calibri"/>
        <family val="2"/>
        <scheme val="minor"/>
      </rPr>
      <t xml:space="preserve">Observación: </t>
    </r>
    <r>
      <rPr>
        <sz val="10"/>
        <rFont val="Calibri"/>
        <family val="2"/>
        <scheme val="minor"/>
      </rPr>
      <t>No se encuentra definida la tasa nacional</t>
    </r>
    <r>
      <rPr>
        <b/>
        <sz val="10"/>
        <rFont val="Calibri"/>
        <family val="2"/>
        <scheme val="minor"/>
      </rPr>
      <t xml:space="preserve">
Secretaría del Interior: </t>
    </r>
    <r>
      <rPr>
        <sz val="10"/>
        <rFont val="Calibri"/>
        <family val="2"/>
        <scheme val="minor"/>
      </rPr>
      <t xml:space="preserve">La tasa actual es de  682 por cada 100 mil  jovenes según informe de página JUACO, 2019
</t>
    </r>
    <r>
      <rPr>
        <b/>
        <sz val="10"/>
        <rFont val="Calibri"/>
        <family val="2"/>
        <scheme val="minor"/>
      </rPr>
      <t xml:space="preserve">Comisaria de Familia Buenavista: </t>
    </r>
    <r>
      <rPr>
        <sz val="10"/>
        <rFont val="Calibri"/>
        <family val="2"/>
        <scheme val="minor"/>
      </rPr>
      <t>Se garantizó la operatividad de la mesa de participación de NNA en el municipio de Buenavista Q.        Desde la comisaria de familia se realizan acciones de promoción y prevención por medio de talleres en las instituciones educativas incluidas las sedes rurales, donde se benefician Niños, Niñas Adolescentes y Jóvenes.  en el mes de abril, mayo y junio se realizaron talleres en la institución educativa Rio verde bajo, en la sede los sauces, Sardineros, Paraguay y placer, en  Prevención de violencia en el entorno escolar  e Inteligencia emocional, hábitos y estilos de vida saludables  se realizaron  4 campañas:  "vacúnate contra la violencia " ,   se realizó campaña en articulación con secretaria del interior, ICBF, defensoría del pueblo, donde se socializaron las  funciones de la comisaria de comisaria de familia, derechos y deberes en la institución educativa instituto Buenavista ,  prevención de consumo de  SPA en articulación con la policía nacional,  prevención  para la erradicación del  trabajo infantil  se realizaron  talleres en comunidad indígena de la vereda los sauces  sobre  importancia de la familia en la garantía de derechos y sexualidad.  se realizaron escuelas de familia con el fin de fortalecer las habilidades, salud mental, conocimiento en derechos y deberes de las familias buenavisteñas.</t>
    </r>
    <r>
      <rPr>
        <b/>
        <sz val="10"/>
        <rFont val="Calibri"/>
        <family val="2"/>
        <scheme val="minor"/>
      </rPr>
      <t xml:space="preserve">
Comisaría de Familia La Tebaida</t>
    </r>
    <r>
      <rPr>
        <sz val="10"/>
        <rFont val="Calibri"/>
        <family val="2"/>
        <scheme val="minor"/>
      </rPr>
      <t xml:space="preserve">: 13 DE ABRIL DEL 2023 Por parte del equipo psicosocial de la Comisaria de Familia con acompañamiento de Policía de Infancia y Adolescencia se realiza operativo de requisa en Instituciones educativas priorizadas en el Comité de convivencia escolar, por lo tanto, se brindó dicho acompañamiento en la Institución educativa Pedacito de cielo, Gabriela Mistral y Antonio Nariño; con el fin de prevenir consumo y expendio de sustancias psicoactivas en el entorno escolar. 
11 DE MAYO DEL 2023 Se realizó campaña de prevención de la violencia en la Institución Educativa Antonio Nariño, dicha campaña fue dirigida a la psico-educación de estudiantes y docentes de diferentes grados con el fin de promover las líneas de atención y los espacios de escucha a Niños, Niñas y Adolescentes.                                   14 DE MAYO DEL 2023 Por parte del despacho de la Comisaria de familia y su equipo psicosocial se brindó acompañamiento durante operativo de control a menores de edad, dirigido por Secretaria de Gobierno, Policía Nacional y Ejercito Nacional, en diferentes sectores del municipio, lo anterior con el fin de prevenir el uso de sustancias psicoactivas en menores de edad, permanencia en calle y socializar decreto en horario de restricción a menores de edad.                                27 DE MAYO DEL 2023 Por parte del despacho de la Comisaria de familia y su equipo psicosocial se brindó acompañamiento durante operativo de control a menores de edad en diferentes sectores del municipio, lo anterior con el fin de prevenir el uso de sustancias psicoactivas en menores de edad, permanencia en calle y socializar decreto en horario de restricción a menores de edad.                                 11 DE MAYO DEL 2023 El equipo psicosocial de la Comisaria de Familia hizo parte de la campaña (TE RETO A DECIR NO) sobre prevención de la violencia en entornos escolares y dirigida a Instituciones educativas del municipio, dicha campaña genero impacto a docentes y estudiantes de diferentes grados, así mismo se sustenta la ruta de atención en casos de violencia teniendo en cuenta la Ley 1257 del 2008 .
</t>
    </r>
    <r>
      <rPr>
        <b/>
        <sz val="10"/>
        <rFont val="Calibri"/>
        <family val="2"/>
        <scheme val="minor"/>
      </rPr>
      <t>Comisaría de Familia Córdoba:</t>
    </r>
    <r>
      <rPr>
        <sz val="10"/>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rFont val="Calibri"/>
        <family val="2"/>
        <scheme val="minor"/>
      </rPr>
      <t>Comisaria de Familia Génova:</t>
    </r>
    <r>
      <rPr>
        <sz val="10"/>
        <rFont val="Calibri"/>
        <family val="2"/>
        <scheme val="minor"/>
      </rPr>
      <t xml:space="preserve"> Las proyectadas de acuerdo a las actividades de los contratos (Contratista adscrita a la Inspección de Policia Municipal).
</t>
    </r>
    <r>
      <rPr>
        <b/>
        <sz val="10"/>
        <rFont val="Calibri"/>
        <family val="2"/>
        <scheme val="minor"/>
      </rPr>
      <t xml:space="preserve">ICBF: </t>
    </r>
    <r>
      <rPr>
        <sz val="10"/>
        <rFont val="Calibri"/>
        <family val="2"/>
        <scheme val="minor"/>
      </rPr>
      <t xml:space="preserve">Asitencias técnicas, acompañamiento en los comités municipales, divulgación ruta de convivencia escolar.
</t>
    </r>
    <r>
      <rPr>
        <b/>
        <sz val="10"/>
        <rFont val="Calibri"/>
        <family val="2"/>
        <scheme val="minor"/>
      </rPr>
      <t>Alcaldía Montenegro:</t>
    </r>
    <r>
      <rPr>
        <sz val="10"/>
        <rFont val="Calibri"/>
        <family val="2"/>
        <scheme val="minor"/>
      </rPr>
      <t xml:space="preserve"> se realizó junto con jóvenes del barrismo social una actividad en el cae la primavera frente a la violencia por motivos de los colores de los equipos de futbol., actividad en la cual se busca generar conciencia frente a la importancia de la no violencia con otras personas
</t>
    </r>
    <r>
      <rPr>
        <b/>
        <sz val="10"/>
        <rFont val="Calibri"/>
        <family val="2"/>
        <scheme val="minor"/>
      </rPr>
      <t>Alcaldía Buenavista:</t>
    </r>
    <r>
      <rPr>
        <sz val="10"/>
        <rFont val="Calibri"/>
        <family val="2"/>
        <scheme val="minor"/>
      </rPr>
      <t xml:space="preserve"> interpersonal se realizan campañas lideradas por comisaria de familia y se apoyan de manera interinstitucional.
</t>
    </r>
    <r>
      <rPr>
        <b/>
        <sz val="10"/>
        <rFont val="Calibri"/>
        <family val="2"/>
        <scheme val="minor"/>
      </rPr>
      <t>Alcaldía Calarcá:</t>
    </r>
    <r>
      <rPr>
        <sz val="10"/>
        <rFont val="Calibri"/>
        <family val="2"/>
        <scheme val="minor"/>
      </rPr>
      <t xml:space="preserve"> desde los programas de salud mental, discapacidad y juventudes se realizan talleres en instituciones educativas con el fin  de fortalecer la convivencia escolar en estas</t>
    </r>
    <r>
      <rPr>
        <b/>
        <sz val="10"/>
        <rFont val="Calibri"/>
        <family val="2"/>
        <scheme val="minor"/>
      </rPr>
      <t xml:space="preserve">Alcaldía de Pijao: </t>
    </r>
    <r>
      <rPr>
        <sz val="10"/>
        <rFont val="Calibri"/>
        <family val="2"/>
        <scheme val="minor"/>
      </rPr>
      <t xml:space="preserve">No cuenta con casos, no se 
adelanta ninguna acción.
</t>
    </r>
  </si>
  <si>
    <r>
      <t xml:space="preserve">
 No se encuentra definida la tasa nacional
</t>
    </r>
    <r>
      <rPr>
        <b/>
        <sz val="10"/>
        <rFont val="Calibri"/>
        <family val="2"/>
        <scheme val="minor"/>
      </rPr>
      <t xml:space="preserve">Alcaldía Montenegro: </t>
    </r>
    <r>
      <rPr>
        <sz val="10"/>
        <rFont val="Calibri"/>
        <family val="2"/>
        <scheme val="minor"/>
      </rPr>
      <t xml:space="preserve">se han realizado campañas y talleres en las instituciones educativas sobre prevención al sexting, convivencia ciudadana y demás
</t>
    </r>
    <r>
      <rPr>
        <b/>
        <sz val="10"/>
        <rFont val="Calibri"/>
        <family val="2"/>
        <scheme val="minor"/>
      </rPr>
      <t>Alcaldía de Córdoba:</t>
    </r>
    <r>
      <rPr>
        <sz val="10"/>
        <rFont val="Calibri"/>
        <family val="2"/>
        <scheme val="minor"/>
      </rPr>
      <t xml:space="preserve"> Teniendo en cuenta las estadísticas de seguridad de la Estación de Policía, Córdoba cuenta con un 0% de homicidios en el municipio. 
</t>
    </r>
    <r>
      <rPr>
        <b/>
        <sz val="10"/>
        <rFont val="Calibri"/>
        <family val="2"/>
        <scheme val="minor"/>
      </rPr>
      <t xml:space="preserve">Alcaldía de Pijao: </t>
    </r>
    <r>
      <rPr>
        <sz val="10"/>
        <rFont val="Calibri"/>
        <family val="2"/>
        <scheme val="minor"/>
      </rPr>
      <t xml:space="preserve">No cuenta con casos, no se adelanta ninguna acción.
</t>
    </r>
    <r>
      <rPr>
        <b/>
        <sz val="10"/>
        <rFont val="Calibri"/>
        <family val="2"/>
        <scheme val="minor"/>
      </rPr>
      <t xml:space="preserve">Secretaría de Familia: </t>
    </r>
    <r>
      <rPr>
        <sz val="10"/>
        <rFont val="Calibri"/>
        <family val="2"/>
        <scheme val="minor"/>
      </rPr>
      <t xml:space="preserve">Desde la Jefatura de Juventud, se brindan talleres formativos donde de proporcionan herramientas para el diario vivir de los jóvenes.
</t>
    </r>
    <r>
      <rPr>
        <b/>
        <sz val="10"/>
        <rFont val="Calibri"/>
        <family val="2"/>
        <scheme val="minor"/>
      </rPr>
      <t xml:space="preserve">Alcaldía Filandia: </t>
    </r>
    <r>
      <rPr>
        <sz val="10"/>
        <rFont val="Calibri"/>
        <family val="2"/>
        <scheme val="minor"/>
      </rPr>
      <t xml:space="preserve"> El municipio de Filandia no cuenta con homicidios desde hace mas de 5 años.
</t>
    </r>
    <r>
      <rPr>
        <b/>
        <sz val="10"/>
        <rFont val="Calibri"/>
        <family val="2"/>
        <scheme val="minor"/>
      </rPr>
      <t>Secretaría del Interior:</t>
    </r>
    <r>
      <rPr>
        <sz val="10"/>
        <rFont val="Calibri"/>
        <family val="2"/>
        <scheme val="minor"/>
      </rPr>
      <t xml:space="preserve"> La tasa actual es de  56,78 por cada 100 mil jóvenes según informe de página JUACO, 2021.
</t>
    </r>
  </si>
  <si>
    <r>
      <rPr>
        <b/>
        <sz val="10"/>
        <rFont val="Calibri"/>
        <family val="2"/>
        <scheme val="minor"/>
      </rPr>
      <t>Observación</t>
    </r>
    <r>
      <rPr>
        <sz val="10"/>
        <rFont val="Calibri"/>
        <family val="2"/>
        <scheme val="minor"/>
      </rPr>
      <t xml:space="preserve">: No se encuentra definida la tasa nacional
</t>
    </r>
    <r>
      <rPr>
        <b/>
        <sz val="10"/>
        <rFont val="Calibri"/>
        <family val="2"/>
        <scheme val="minor"/>
      </rPr>
      <t xml:space="preserve">Secretaría de Familia: </t>
    </r>
    <r>
      <rPr>
        <sz val="10"/>
        <rFont val="Calibri"/>
        <family val="2"/>
        <scheme val="minor"/>
      </rPr>
      <t>la tasa de suicidios x 100 mil jóvenes es 7,2 según fuente de verificación, sin embargo la tasa nacional no fue encontrada en esta fuente.</t>
    </r>
    <r>
      <rPr>
        <b/>
        <sz val="10"/>
        <rFont val="Calibri"/>
        <family val="2"/>
        <scheme val="minor"/>
      </rPr>
      <t xml:space="preserve">
Secretaría de Salud:</t>
    </r>
    <r>
      <rPr>
        <sz val="10"/>
        <rFont val="Calibri"/>
        <family val="2"/>
        <scheme val="minor"/>
      </rPr>
      <t xml:space="preserve">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t>
    </r>
    <r>
      <rPr>
        <b/>
        <sz val="10"/>
        <rFont val="Calibri"/>
        <family val="2"/>
        <scheme val="minor"/>
      </rPr>
      <t>Alcaldía Génova</t>
    </r>
    <r>
      <rPr>
        <sz val="10"/>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rFont val="Calibri"/>
        <family val="2"/>
        <scheme val="minor"/>
      </rPr>
      <t>Alcaldía de Armenia:</t>
    </r>
    <r>
      <rPr>
        <sz val="10"/>
        <rFont val="Calibri"/>
        <family val="2"/>
        <scheme val="minor"/>
      </rPr>
      <t xml:space="preserve"> Población cubierta con acciones de promoción de factores protectores frente a la conducta suicida, en total 2381 
</t>
    </r>
    <r>
      <rPr>
        <b/>
        <sz val="10"/>
        <rFont val="Calibri"/>
        <family val="2"/>
        <scheme val="minor"/>
      </rPr>
      <t>Alcaldía de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A través del Plan Local de Salud Territorial se implementó la línea de salud mental, con el fin de evitar suicidios en la población del municipio.         
</t>
    </r>
    <r>
      <rPr>
        <b/>
        <sz val="10"/>
        <rFont val="Calibri"/>
        <family val="2"/>
        <scheme val="minor"/>
      </rPr>
      <t xml:space="preserve">Alcaldía de Pijao: </t>
    </r>
    <r>
      <rPr>
        <sz val="10"/>
        <rFont val="Calibri"/>
        <family val="2"/>
        <scheme val="minor"/>
      </rPr>
      <t xml:space="preserve">1 capacitación sobre prevención al suicidio y rutas de atención, en la Institución Educativa Santa Teresita.
</t>
    </r>
    <r>
      <rPr>
        <b/>
        <sz val="10"/>
        <rFont val="Calibri"/>
        <family val="2"/>
        <scheme val="minor"/>
      </rPr>
      <t xml:space="preserve">Alcaldía de Calarcá: </t>
    </r>
    <r>
      <rPr>
        <sz val="10"/>
        <rFont val="Calibri"/>
        <family val="2"/>
        <scheme val="minor"/>
      </rPr>
      <t xml:space="preserve">Se han realizado talleres de prevencion del suicidio, manejo de emociones y habilidades para la vida en diferentes instituciones del municipio de Calarcá 
</t>
    </r>
    <r>
      <rPr>
        <b/>
        <sz val="10"/>
        <rFont val="Calibri"/>
        <family val="2"/>
        <scheme val="minor"/>
      </rPr>
      <t>Secretaría del Interior</t>
    </r>
    <r>
      <rPr>
        <sz val="10"/>
        <rFont val="Calibri"/>
        <family val="2"/>
        <scheme val="minor"/>
      </rPr>
      <t xml:space="preserve">: La tasa actual es de  7.2 por cada 100.000 jóvenes según informe de página JUACO, 2021.
</t>
    </r>
  </si>
  <si>
    <r>
      <rPr>
        <b/>
        <sz val="10"/>
        <rFont val="Calibri"/>
        <family val="2"/>
        <scheme val="minor"/>
      </rPr>
      <t xml:space="preserve">Observación: </t>
    </r>
    <r>
      <rPr>
        <sz val="10"/>
        <rFont val="Calibri"/>
        <family val="2"/>
        <scheme val="minor"/>
      </rPr>
      <t>No se encuentra definida la tasa nacional</t>
    </r>
    <r>
      <rPr>
        <b/>
        <sz val="10"/>
        <rFont val="Calibri"/>
        <family val="2"/>
        <scheme val="minor"/>
      </rPr>
      <t xml:space="preserve">
Secretaría del Interior:</t>
    </r>
    <r>
      <rPr>
        <sz val="10"/>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rFont val="Calibri"/>
        <family val="2"/>
        <scheme val="minor"/>
      </rPr>
      <t xml:space="preserve">Secretaría de Familia: </t>
    </r>
    <r>
      <rPr>
        <sz val="10"/>
        <rFont val="Calibri"/>
        <family val="2"/>
        <scheme val="minor"/>
      </rPr>
      <t xml:space="preserve">la tasa de violencia intrafamiliar x 100 mil jóvenes es del 12,27% según fuente de verificación, sin embargo la tasa nacional no fue encontrada en esta fuente.
</t>
    </r>
  </si>
  <si>
    <r>
      <rPr>
        <b/>
        <sz val="10"/>
        <rFont val="Calibri"/>
        <family val="2"/>
        <scheme val="minor"/>
      </rPr>
      <t xml:space="preserve">Secretaria de Familia: </t>
    </r>
    <r>
      <rPr>
        <sz val="10"/>
        <rFont val="Calibri"/>
        <family val="2"/>
        <scheme val="minor"/>
      </rPr>
      <t xml:space="preserve"> Los datos corresponden a la suma de los dos primeros trimestres 2023.</t>
    </r>
    <r>
      <rPr>
        <b/>
        <sz val="10"/>
        <rFont val="Calibri"/>
        <family val="2"/>
        <scheme val="minor"/>
      </rPr>
      <t xml:space="preserve">
Indeportes: </t>
    </r>
    <r>
      <rPr>
        <sz val="10"/>
        <rFont val="Calibri"/>
        <family val="2"/>
        <scheme val="minor"/>
      </rPr>
      <t xml:space="preserve"> 1 deportista de la Liga de Atletismo del Quindío participó de Torneo en Sevilla-España y 3 deportistas de taekwondo que participaron en campeonato internacional.
</t>
    </r>
    <r>
      <rPr>
        <b/>
        <sz val="10"/>
        <rFont val="Calibri"/>
        <family val="2"/>
        <scheme val="minor"/>
      </rPr>
      <t>Alcaldía de Filandia:</t>
    </r>
    <r>
      <rPr>
        <sz val="10"/>
        <rFont val="Calibri"/>
        <family val="2"/>
        <scheme val="minor"/>
      </rPr>
      <t xml:space="preserve"> 1 joven.
</t>
    </r>
    <r>
      <rPr>
        <b/>
        <sz val="10"/>
        <rFont val="Calibri"/>
        <family val="2"/>
        <scheme val="minor"/>
      </rPr>
      <t>Alcaldía la Tebaida:</t>
    </r>
    <r>
      <rPr>
        <sz val="10"/>
        <rFont val="Calibri"/>
        <family val="2"/>
        <scheme val="minor"/>
      </rPr>
      <t xml:space="preserve"> en el mes de julio se contó con 56 jóvenes para representar al Municipio en los juegos Intercolegiados del Departamento.
</t>
    </r>
    <r>
      <rPr>
        <b/>
        <sz val="10"/>
        <rFont val="Calibri"/>
        <family val="2"/>
        <scheme val="minor"/>
      </rPr>
      <t>Alcaldía Córdoba:</t>
    </r>
    <r>
      <rPr>
        <sz val="10"/>
        <rFont val="Calibri"/>
        <family val="2"/>
        <scheme val="minor"/>
      </rPr>
      <t xml:space="preserve"> se cuenta con las escuelas de formacion deportiva y el centro de alto rendimiento gimnasio, en donde los jóvenes realizan actividad física.  
</t>
    </r>
    <r>
      <rPr>
        <b/>
        <sz val="10"/>
        <rFont val="Calibri"/>
        <family val="2"/>
        <scheme val="minor"/>
      </rPr>
      <t xml:space="preserve">Alcaldía Salento: </t>
    </r>
    <r>
      <rPr>
        <sz val="10"/>
        <rFont val="Calibri"/>
        <family val="2"/>
        <scheme val="minor"/>
      </rPr>
      <t xml:space="preserve">Sostenimiento de los programas de atención psicosocial establecidos en el municipio.
</t>
    </r>
    <r>
      <rPr>
        <b/>
        <sz val="10"/>
        <rFont val="Calibri"/>
        <family val="2"/>
        <scheme val="minor"/>
      </rPr>
      <t xml:space="preserve">Alcaldía de pijao: </t>
    </r>
    <r>
      <rPr>
        <sz val="10"/>
        <rFont val="Calibri"/>
        <family val="2"/>
        <scheme val="minor"/>
      </rPr>
      <t xml:space="preserve">DANIEL VACA atletismo, segundo en los juegos departamentales. Selección juvenil de fútbol, segundo a nivel departamental, selección de fútbol de salon segundos a nivel departamental; baloncesto juvenil tercera a nivel departamental, selección de baloncesto femenina segunda a nivel departamental.
</t>
    </r>
    <r>
      <rPr>
        <b/>
        <sz val="10"/>
        <rFont val="Calibri"/>
        <family val="2"/>
        <scheme val="minor"/>
      </rPr>
      <t>Alcaldia Armenia:</t>
    </r>
    <r>
      <rPr>
        <sz val="10"/>
        <rFont val="Calibri"/>
        <family val="2"/>
        <scheme val="minor"/>
      </rPr>
      <t xml:space="preserve"> Se implementan mecanismos legales de ayudas a deportistas de clubes deportivos y ligas con reconocimiento deportivo.
</t>
    </r>
    <r>
      <rPr>
        <b/>
        <sz val="10"/>
        <rFont val="Calibri"/>
        <family val="2"/>
        <scheme val="minor"/>
      </rPr>
      <t>Alcaldia Montenegro:</t>
    </r>
    <r>
      <rPr>
        <sz val="10"/>
        <rFont val="Calibri"/>
        <family val="2"/>
        <scheme val="minor"/>
      </rPr>
      <t xml:space="preserve"> Se participó en campeonato internacional de hiphop españa</t>
    </r>
  </si>
  <si>
    <r>
      <t xml:space="preserve">  </t>
    </r>
    <r>
      <rPr>
        <b/>
        <sz val="10"/>
        <rFont val="Calibri"/>
        <family val="2"/>
        <scheme val="minor"/>
      </rPr>
      <t>Observacion</t>
    </r>
    <r>
      <rPr>
        <sz val="10"/>
        <rFont val="Calibri"/>
        <family val="2"/>
        <scheme val="minor"/>
      </rPr>
      <t xml:space="preserve">: lo que reporta la secretaria de Cultura no es insumo para reportar avance del indicador planteado
</t>
    </r>
    <r>
      <rPr>
        <b/>
        <sz val="10"/>
        <rFont val="Calibri"/>
        <family val="2"/>
        <scheme val="minor"/>
      </rPr>
      <t xml:space="preserve">Secretaría de Cultura: </t>
    </r>
    <r>
      <rPr>
        <sz val="10"/>
        <rFont val="Calibri"/>
        <family val="2"/>
        <scheme val="minor"/>
      </rPr>
      <t xml:space="preserve"> En el marco  del programa de estímulos "beca de creación",  fueron elegidos 7 jóvenes ganadores del programa. </t>
    </r>
  </si>
  <si>
    <r>
      <rPr>
        <b/>
        <sz val="10"/>
        <rFont val="Calibri"/>
        <family val="2"/>
        <scheme val="minor"/>
      </rPr>
      <t xml:space="preserve">    Observacion:</t>
    </r>
    <r>
      <rPr>
        <sz val="10"/>
        <rFont val="Calibri"/>
        <family val="2"/>
        <scheme val="minor"/>
      </rPr>
      <t xml:space="preserve"> lo que reporta la secretaria de Cultura no es insumo para reportar avance del indicador planteado
</t>
    </r>
    <r>
      <rPr>
        <b/>
        <sz val="10"/>
        <rFont val="Calibri"/>
        <family val="2"/>
        <scheme val="minor"/>
      </rPr>
      <t>Secretaría de Cultura</t>
    </r>
    <r>
      <rPr>
        <sz val="10"/>
        <rFont val="Calibri"/>
        <family val="2"/>
        <scheme val="minor"/>
      </rPr>
      <t xml:space="preserve">: En la convovatoria de concertación se presentó la fundación jóvenes en sociedad. </t>
    </r>
  </si>
  <si>
    <r>
      <rPr>
        <b/>
        <sz val="10"/>
        <rFont val="Calibri"/>
        <family val="2"/>
        <scheme val="minor"/>
      </rPr>
      <t xml:space="preserve">  Observacion:</t>
    </r>
    <r>
      <rPr>
        <sz val="10"/>
        <rFont val="Calibri"/>
        <family val="2"/>
        <scheme val="minor"/>
      </rPr>
      <t xml:space="preserve"> lo que reporta la secretaria de Cultura no es insumo para reportar avance del indicador planteado</t>
    </r>
    <r>
      <rPr>
        <b/>
        <sz val="10"/>
        <rFont val="Calibri"/>
        <family val="2"/>
        <scheme val="minor"/>
      </rPr>
      <t xml:space="preserve">
Secretaría de Cultura:</t>
    </r>
    <r>
      <rPr>
        <sz val="10"/>
        <rFont val="Calibri"/>
        <family val="2"/>
        <scheme val="minor"/>
      </rPr>
      <t xml:space="preserve"> Formación en las diferentes áreas como música, teatro, danza,  artes plásticas en los diferentes municipios de Quimbaya, Circasia, Armenia , Salento, Barcelona, contando con la participación de 334 jóvenes.</t>
    </r>
  </si>
  <si>
    <r>
      <rPr>
        <b/>
        <sz val="10"/>
        <rFont val="Calibri"/>
        <family val="2"/>
        <scheme val="minor"/>
      </rPr>
      <t>Secretaría de Familia:</t>
    </r>
    <r>
      <rPr>
        <sz val="10"/>
        <rFont val="Calibri"/>
        <family val="2"/>
        <scheme val="minor"/>
      </rPr>
      <t xml:space="preserve"> Reporta que en los municipios de Buenavista, Génova, Quimbaya, Circasia, Montenegro, Filandia y Córdoba no ceuntan con Casa de la Juventud.</t>
    </r>
    <r>
      <rPr>
        <b/>
        <sz val="10"/>
        <rFont val="Calibri"/>
        <family val="2"/>
        <scheme val="minor"/>
      </rPr>
      <t xml:space="preserve">
Alcaldía de Salento</t>
    </r>
    <r>
      <rPr>
        <sz val="10"/>
        <rFont val="Calibri"/>
        <family val="2"/>
        <scheme val="minor"/>
      </rPr>
      <t xml:space="preserve">: Casa de la Juventud en funcionamiento, activa la oficina para el CMJ y Plataforma
</t>
    </r>
    <r>
      <rPr>
        <b/>
        <sz val="10"/>
        <rFont val="Calibri"/>
        <family val="2"/>
        <scheme val="minor"/>
      </rPr>
      <t>Alcaldía de Buenavista: S</t>
    </r>
    <r>
      <rPr>
        <sz val="10"/>
        <rFont val="Calibri"/>
        <family val="2"/>
        <scheme val="minor"/>
      </rPr>
      <t xml:space="preserve">e cuenta con una casa de juventud pero no esta funcionando.
</t>
    </r>
    <r>
      <rPr>
        <b/>
        <sz val="10"/>
        <rFont val="Calibri"/>
        <family val="2"/>
        <scheme val="minor"/>
      </rPr>
      <t xml:space="preserve">Alcaldía de Génova: </t>
    </r>
    <r>
      <rPr>
        <sz val="10"/>
        <rFont val="Calibri"/>
        <family val="2"/>
        <scheme val="minor"/>
      </rPr>
      <t xml:space="preserve">No se cuenta con casa de la juventud en el municipio.
</t>
    </r>
    <r>
      <rPr>
        <b/>
        <sz val="10"/>
        <rFont val="Calibri"/>
        <family val="2"/>
        <scheme val="minor"/>
      </rPr>
      <t>Alcaldía Quimbaya:</t>
    </r>
    <r>
      <rPr>
        <sz val="10"/>
        <rFont val="Calibri"/>
        <family val="2"/>
        <scheme val="minor"/>
      </rPr>
      <t xml:space="preserve"> En el municipio de Quimbaya no existe casa de la juventud.
</t>
    </r>
    <r>
      <rPr>
        <b/>
        <sz val="10"/>
        <rFont val="Calibri"/>
        <family val="2"/>
        <scheme val="minor"/>
      </rPr>
      <t xml:space="preserve">Alcaldía de Tebaida: </t>
    </r>
    <r>
      <rPr>
        <sz val="10"/>
        <rFont val="Calibri"/>
        <family val="2"/>
        <scheme val="minor"/>
      </rPr>
      <t xml:space="preserve">Cuenta con una casa de la juventud la cual se encuentra en funcionamiento.
</t>
    </r>
    <r>
      <rPr>
        <b/>
        <sz val="10"/>
        <rFont val="Calibri"/>
        <family val="2"/>
        <scheme val="minor"/>
      </rPr>
      <t>Alcaldía Circasia:</t>
    </r>
    <r>
      <rPr>
        <sz val="10"/>
        <rFont val="Calibri"/>
        <family val="2"/>
        <scheme val="minor"/>
      </rPr>
      <t xml:space="preserve"> No cuenta con casa de la juventud.
</t>
    </r>
    <r>
      <rPr>
        <b/>
        <sz val="10"/>
        <rFont val="Calibri"/>
        <family val="2"/>
        <scheme val="minor"/>
      </rPr>
      <t>Alcaldía de Armenia</t>
    </r>
    <r>
      <rPr>
        <sz val="10"/>
        <rFont val="Calibri"/>
        <family val="2"/>
        <scheme val="minor"/>
      </rPr>
      <t xml:space="preserve">: 1 casa de la juventud funcionando en el barrio 7 de agosto con la estrategia "parche pa todos" 
</t>
    </r>
    <r>
      <rPr>
        <b/>
        <sz val="10"/>
        <rFont val="Calibri"/>
        <family val="2"/>
        <scheme val="minor"/>
      </rPr>
      <t xml:space="preserve">Alcaldía Montenegro: </t>
    </r>
    <r>
      <rPr>
        <sz val="10"/>
        <rFont val="Calibri"/>
        <family val="2"/>
        <scheme val="minor"/>
      </rPr>
      <t xml:space="preserve">al momento contamos con un espacio físico, sin embargo no está dotado de elementos tecnológicos ni logísticos para su operatividad.
</t>
    </r>
    <r>
      <rPr>
        <b/>
        <sz val="10"/>
        <rFont val="Calibri"/>
        <family val="2"/>
        <scheme val="minor"/>
      </rPr>
      <t>Alcaldía de Filandia:</t>
    </r>
    <r>
      <rPr>
        <sz val="10"/>
        <rFont val="Calibri"/>
        <family val="2"/>
        <scheme val="minor"/>
      </rPr>
      <t xml:space="preserve"> El municipio de Filandia cuenta con la casa de la cultura , la cual maneja diversos grupos infantiles y juveniles. </t>
    </r>
    <r>
      <rPr>
        <b/>
        <sz val="10"/>
        <rFont val="Calibri"/>
        <family val="2"/>
        <scheme val="minor"/>
      </rPr>
      <t xml:space="preserve">
Alcaldía Pijao:</t>
    </r>
    <r>
      <rPr>
        <sz val="10"/>
        <rFont val="Calibri"/>
        <family val="2"/>
        <scheme val="minor"/>
      </rPr>
      <t xml:space="preserve"> 1 casa de la juventud funcionando.
 </t>
    </r>
    <r>
      <rPr>
        <b/>
        <sz val="10"/>
        <rFont val="Calibri"/>
        <family val="2"/>
        <scheme val="minor"/>
      </rPr>
      <t xml:space="preserve">Alcaldía de Córdoba: </t>
    </r>
    <r>
      <rPr>
        <sz val="10"/>
        <rFont val="Calibri"/>
        <family val="2"/>
        <scheme val="minor"/>
      </rPr>
      <t xml:space="preserve"> no se cuenta con casa de la Juventud municipal, sin embargo se habilitaron las instalaciones de la casa de la cultura y el Honorable Concejo Municipal para la realizacion de las reuniones juveniles y siempre que sea solicitado un espacio para sus actividades se busca el mas idóneo  para el desarrollo de las mismas. 
</t>
    </r>
  </si>
  <si>
    <r>
      <rPr>
        <b/>
        <sz val="10"/>
        <rFont val="Calibri"/>
        <family val="2"/>
        <scheme val="minor"/>
      </rPr>
      <t xml:space="preserve">
Secretaría de Familia: </t>
    </r>
    <r>
      <rPr>
        <sz val="10"/>
        <rFont val="Calibri"/>
        <family val="2"/>
        <scheme val="minor"/>
      </rPr>
      <t>Reporta que los doce municipios del departamento del Quindío,  tienen Plataforma de Juventud registradas ante personería municipal y funcionando. Además de esto, también se cuenta con Plataforma Departamental de Juventud, la cual está en proceso de actualización.</t>
    </r>
    <r>
      <rPr>
        <b/>
        <sz val="10"/>
        <rFont val="Calibri"/>
        <family val="2"/>
        <scheme val="minor"/>
      </rPr>
      <t xml:space="preserve">
Alcaldía Córdoba:</t>
    </r>
    <r>
      <rPr>
        <sz val="10"/>
        <rFont val="Calibri"/>
        <family val="2"/>
        <scheme val="minor"/>
      </rPr>
      <t xml:space="preserve"> En el Municipio de Córdoba se cuenta con la Plataforma Municipal de Juventud mediante Resolución Nº023 de13 de septiembre de 2022 de la personeria municipal. 
</t>
    </r>
    <r>
      <rPr>
        <b/>
        <sz val="10"/>
        <rFont val="Calibri"/>
        <family val="2"/>
        <scheme val="minor"/>
      </rPr>
      <t>Alcaldía Filandia:</t>
    </r>
    <r>
      <rPr>
        <sz val="10"/>
        <rFont val="Calibri"/>
        <family val="2"/>
        <scheme val="minor"/>
      </rPr>
      <t xml:space="preserve"> 1 en actualización de la línea base.
</t>
    </r>
    <r>
      <rPr>
        <b/>
        <sz val="10"/>
        <rFont val="Calibri"/>
        <family val="2"/>
        <scheme val="minor"/>
      </rPr>
      <t>Alcaldía Buenavista:</t>
    </r>
    <r>
      <rPr>
        <sz val="10"/>
        <rFont val="Calibri"/>
        <family val="2"/>
        <scheme val="minor"/>
      </rPr>
      <t xml:space="preserve"> Se realizó la actualización de la plataforma de juventud en el mes de Abril.
</t>
    </r>
    <r>
      <rPr>
        <b/>
        <sz val="10"/>
        <rFont val="Calibri"/>
        <family val="2"/>
        <scheme val="minor"/>
      </rPr>
      <t xml:space="preserve">Alcaldía Quimbaya: </t>
    </r>
    <r>
      <rPr>
        <sz val="10"/>
        <rFont val="Calibri"/>
        <family val="2"/>
        <scheme val="minor"/>
      </rPr>
      <t xml:space="preserve">La Plataforma Municipal se encuentra funcionando normalmente. 
</t>
    </r>
    <r>
      <rPr>
        <b/>
        <sz val="10"/>
        <rFont val="Calibri"/>
        <family val="2"/>
        <scheme val="minor"/>
      </rPr>
      <t>Alcaldía Montenegro:</t>
    </r>
    <r>
      <rPr>
        <sz val="10"/>
        <rFont val="Calibri"/>
        <family val="2"/>
        <scheme val="minor"/>
      </rPr>
      <t xml:space="preserve"> En el momento contamos con una plataforma activa y funcionando de una manera precisa.</t>
    </r>
    <r>
      <rPr>
        <b/>
        <sz val="10"/>
        <rFont val="Calibri"/>
        <family val="2"/>
        <scheme val="minor"/>
      </rPr>
      <t xml:space="preserve">
Alcaldía La Tebaida:</t>
    </r>
    <r>
      <rPr>
        <sz val="10"/>
        <rFont val="Calibri"/>
        <family val="2"/>
        <scheme val="minor"/>
      </rPr>
      <t xml:space="preserve"> Plataforma de Juventud en funcionamiento,  01. El 17 de mayo se les prestó el espacio del Teatro municipal a miembros de la Plataforma de juventud para realizar un video con el fin de participar en un concurso de arte frente al ministerio de cultura. 
02. El día 23 de mayo se acompañó a los delegados de la Plataforma Municipal a la Plataforma Departamental en donde sesionaron por primera vez y eligieron a los miembros de la comisión de concertación y a los representantes nacionales. 
03. El 17 de junio la Plataforma Municipal  desarrolló en la casa de la cultura un encuentro juvenil de break dance en el cual se tuvo la asistencia de 120 personas. 
</t>
    </r>
    <r>
      <rPr>
        <b/>
        <sz val="10"/>
        <rFont val="Calibri"/>
        <family val="2"/>
        <scheme val="minor"/>
      </rPr>
      <t>Alcaldía de Pijao</t>
    </r>
    <r>
      <rPr>
        <sz val="10"/>
        <rFont val="Calibri"/>
        <family val="2"/>
        <scheme val="minor"/>
      </rPr>
      <t xml:space="preserve">: 1 Consejo de Juventud funcionando.
</t>
    </r>
    <r>
      <rPr>
        <b/>
        <sz val="10"/>
        <rFont val="Calibri"/>
        <family val="2"/>
        <scheme val="minor"/>
      </rPr>
      <t>Alcaldia Armenia:</t>
    </r>
    <r>
      <rPr>
        <sz val="10"/>
        <rFont val="Calibri"/>
        <family val="2"/>
        <scheme val="minor"/>
      </rPr>
      <t xml:space="preserve"> 1 plataforma confrormada bajo resolución expedida por la personería municipal, integrada por 12 organizaciones juveniles. 
</t>
    </r>
  </si>
  <si>
    <r>
      <rPr>
        <b/>
        <sz val="10"/>
        <rFont val="Calibri"/>
        <family val="2"/>
        <scheme val="minor"/>
      </rPr>
      <t xml:space="preserve">Secretaría de Familia: </t>
    </r>
    <r>
      <rPr>
        <sz val="10"/>
        <rFont val="Calibri"/>
        <family val="2"/>
        <scheme val="minor"/>
      </rPr>
      <t xml:space="preserve">Reporta que en el Departamento del Quindío, nueve de los doce municipios cuentan con política pública de juventud formulada y en ejecución. Los municipios que no cuentan con política pública de juventud, son Génova, Córdoba y  Pijao.
</t>
    </r>
    <r>
      <rPr>
        <b/>
        <sz val="10"/>
        <rFont val="Calibri"/>
        <family val="2"/>
        <scheme val="minor"/>
      </rPr>
      <t xml:space="preserve">
Alcaldía de Circasia: </t>
    </r>
    <r>
      <rPr>
        <sz val="10"/>
        <rFont val="Calibri"/>
        <family val="2"/>
        <scheme val="minor"/>
      </rPr>
      <t xml:space="preserve">Cuenta con el Acuerdo Municipal 011 del 29 de mayo de 2015, que adopta la Política Pública de Juventud Municipal "Circasia  para la Juventud" 2015-2024
</t>
    </r>
    <r>
      <rPr>
        <b/>
        <sz val="10"/>
        <rFont val="Calibri"/>
        <family val="2"/>
        <scheme val="minor"/>
      </rPr>
      <t xml:space="preserve">Alcaldía de Salento: </t>
    </r>
    <r>
      <rPr>
        <sz val="10"/>
        <rFont val="Calibri"/>
        <family val="2"/>
        <scheme val="minor"/>
      </rPr>
      <t xml:space="preserve">Salento cuenta con Política Pública de Juventud vigente (Acuerdo Municipal 013 del 15 de Noviembre de 2017), de igual manera, está articulada al Plan de Desarrollo Municipal "Salento Somos Todos" 2020-2023, en conjunto con otras políticas, planes y proyectos de ámbito social.
</t>
    </r>
    <r>
      <rPr>
        <b/>
        <sz val="10"/>
        <rFont val="Calibri"/>
        <family val="2"/>
        <scheme val="minor"/>
      </rPr>
      <t>Alcaldía de Armenia:</t>
    </r>
    <r>
      <rPr>
        <sz val="10"/>
        <rFont val="Calibri"/>
        <family val="2"/>
        <scheme val="minor"/>
      </rPr>
      <t xml:space="preserve"> El Municipio cuenta con la POLÍTICA PÚBLICA JÓVENES "CONSTRUYENDO CIUDAD 2014-2024" adopatada mediante el  DECRETO 169 DEL 11 DE FEBRERO DE 2015 , se realizan dos seguimientos al año de manera semestral y en concordancia en los planes de acción de las diferentes secretrías del municipio, se socializan en el sistema municipal de juventud , Consejo de politica social. 
</t>
    </r>
    <r>
      <rPr>
        <b/>
        <sz val="10"/>
        <rFont val="Calibri"/>
        <family val="2"/>
        <scheme val="minor"/>
      </rPr>
      <t>Alcaldía La  Tebaida:</t>
    </r>
    <r>
      <rPr>
        <sz val="10"/>
        <rFont val="Calibri"/>
        <family val="2"/>
        <scheme val="minor"/>
      </rPr>
      <t xml:space="preserve"> La Administración Municipal, cuenta Política Pública formulada y adoptada mediante el acuerdo municipal 015 de 2019, en el momento se encuentra en etapa de ejecución.
</t>
    </r>
    <r>
      <rPr>
        <b/>
        <sz val="10"/>
        <rFont val="Calibri"/>
        <family val="2"/>
        <scheme val="minor"/>
      </rPr>
      <t>Alcaldía de Quimbaya</t>
    </r>
    <r>
      <rPr>
        <sz val="10"/>
        <rFont val="Calibri"/>
        <family val="2"/>
        <scheme val="minor"/>
      </rPr>
      <t xml:space="preserve">: El Municipio de Quimbaya adoptó la política pública de juventud mediante el acuerdo municipal 016 de 2019.
</t>
    </r>
    <r>
      <rPr>
        <b/>
        <sz val="10"/>
        <rFont val="Calibri"/>
        <family val="2"/>
        <scheme val="minor"/>
      </rPr>
      <t>Alcaldía de Buenavista</t>
    </r>
    <r>
      <rPr>
        <sz val="10"/>
        <rFont val="Calibri"/>
        <family val="2"/>
        <scheme val="minor"/>
      </rPr>
      <t xml:space="preserve">: El Municipio cuenta con la Politica Pública de Juventud, "Buenavista… un lugar para crear, soñar y construir",  adoptada mediante decreto 087 de diciembre 15 de 2017, con 10 años para su ejecución; para lo cual se está implementando y dándole cumplimiento.
</t>
    </r>
    <r>
      <rPr>
        <b/>
        <sz val="10"/>
        <rFont val="Calibri"/>
        <family val="2"/>
        <scheme val="minor"/>
      </rPr>
      <t>Alcaldía Génova:</t>
    </r>
    <r>
      <rPr>
        <sz val="10"/>
        <rFont val="Calibri"/>
        <family val="2"/>
        <scheme val="minor"/>
      </rPr>
      <t xml:space="preserve"> El municipio de Génova se encuentra en etapa de formulación de la política pública de Juventud                         
</t>
    </r>
    <r>
      <rPr>
        <b/>
        <sz val="10"/>
        <rFont val="Calibri"/>
        <family val="2"/>
        <scheme val="minor"/>
      </rPr>
      <t>Alcaldía de Montenegro:</t>
    </r>
    <r>
      <rPr>
        <sz val="10"/>
        <rFont val="Calibri"/>
        <family val="2"/>
        <scheme val="minor"/>
      </rPr>
      <t xml:space="preserve"> el Municipio de Montenegro cuenta con Política Pública de Juventud, la cual fue adoptada  bajo el acuerdo 07 de septiembre de 2022, al momento se encuentra en ejecución.
</t>
    </r>
    <r>
      <rPr>
        <b/>
        <sz val="10"/>
        <rFont val="Calibri"/>
        <family val="2"/>
        <scheme val="minor"/>
      </rPr>
      <t>Alcaldía de Filandia</t>
    </r>
    <r>
      <rPr>
        <sz val="10"/>
        <rFont val="Calibri"/>
        <family val="2"/>
        <scheme val="minor"/>
      </rPr>
      <t xml:space="preserve">: El  municipio de Filandia cuenta con política de juventud adoptada bajo acuerdo N°021 de 2019, cuya medición se realiza en el COMPOS municipal.
</t>
    </r>
    <r>
      <rPr>
        <b/>
        <sz val="10"/>
        <rFont val="Calibri"/>
        <family val="2"/>
        <scheme val="minor"/>
      </rPr>
      <t xml:space="preserve">Alcaldía de Pijao: </t>
    </r>
    <r>
      <rPr>
        <sz val="10"/>
        <rFont val="Calibri"/>
        <family val="2"/>
        <scheme val="minor"/>
      </rPr>
      <t xml:space="preserve">No cuenta con Política Pública.
</t>
    </r>
    <r>
      <rPr>
        <b/>
        <sz val="10"/>
        <rFont val="Calibri"/>
        <family val="2"/>
        <scheme val="minor"/>
      </rPr>
      <t>Alcaldía de Córdoba:</t>
    </r>
    <r>
      <rPr>
        <sz val="10"/>
        <rFont val="Calibri"/>
        <family val="2"/>
        <scheme val="minor"/>
      </rPr>
      <t xml:space="preserve"> El municipio no cuenta con la política pública de juventud implementada, sin embargo se realizan actividades teniendo en cuenta la Política Departamental de Juventud. 
</t>
    </r>
    <r>
      <rPr>
        <b/>
        <sz val="10"/>
        <rFont val="Calibri"/>
        <family val="2"/>
        <scheme val="minor"/>
      </rPr>
      <t>Alcaldía Calarcá:</t>
    </r>
    <r>
      <rPr>
        <sz val="10"/>
        <rFont val="Calibri"/>
        <family val="2"/>
        <scheme val="minor"/>
      </rPr>
      <t xml:space="preserve"> El Municipio cuenta con la Política Pública de Juventudes "LOS JÓVENES SOMOS EL CAMBIO" adopata mediante el acuerdo municipal 019 del 06 de septiembre de 2018. 
</t>
    </r>
  </si>
  <si>
    <r>
      <t xml:space="preserve">Secretaría de Familia: </t>
    </r>
    <r>
      <rPr>
        <sz val="10"/>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r>
      <rPr>
        <b/>
        <sz val="10"/>
        <rFont val="Calibri"/>
        <family val="2"/>
        <scheme val="minor"/>
      </rPr>
      <t xml:space="preserve">
Alcaldía de Salento: </t>
    </r>
    <r>
      <rPr>
        <sz val="10"/>
        <rFont val="Calibri"/>
        <family val="2"/>
        <scheme val="minor"/>
      </rPr>
      <t xml:space="preserve">Actualmente el municipio de Salento cuenta con Enlace de Juventud, el cual está a cargo de la Subsecretaría de Cultura y Deporte.
</t>
    </r>
    <r>
      <rPr>
        <b/>
        <sz val="10"/>
        <rFont val="Calibri"/>
        <family val="2"/>
        <scheme val="minor"/>
      </rPr>
      <t xml:space="preserve">Alcaldía Armenia: </t>
    </r>
    <r>
      <rPr>
        <sz val="10"/>
        <rFont val="Calibri"/>
        <family val="2"/>
        <scheme val="minor"/>
      </rPr>
      <t>Reporta la existencia del Programa "Juventud Pa Todos" desde la Secretaría de Desarrollo Social, la cual cuenta con 4 contratistas.</t>
    </r>
    <r>
      <rPr>
        <b/>
        <sz val="10"/>
        <rFont val="Calibri"/>
        <family val="2"/>
        <scheme val="minor"/>
      </rPr>
      <t xml:space="preserve">
Alcaldía Calarcá: </t>
    </r>
    <r>
      <rPr>
        <sz val="10"/>
        <rFont val="Calibri"/>
        <family val="2"/>
        <scheme val="minor"/>
      </rPr>
      <t xml:space="preserve"> de acuerdo al Plan de Desarrollo Calarca Para Todos en el Eje 1. Arquitectura Institucional Línea de Acción 1.1. Promover la Politica Publica de Juventud en la Meta 1.1.1. Designar dependencia encargada para la articulación de acciones en la implementacion seguimiento y monitoreo de la Política Pública "Los Jóvenes Somos el Cambio,  Se realiza a través de Gestión. y se asigna profesional encargado. </t>
    </r>
    <r>
      <rPr>
        <b/>
        <sz val="10"/>
        <rFont val="Calibri"/>
        <family val="2"/>
        <scheme val="minor"/>
      </rPr>
      <t xml:space="preserve">
Alcaldía Quimbaya: </t>
    </r>
    <r>
      <rPr>
        <sz val="10"/>
        <rFont val="Calibri"/>
        <family val="2"/>
        <scheme val="minor"/>
      </rPr>
      <t xml:space="preserve">El Municipio de Quimbaya cuenta con el profesional universitario de atención a grupos vulnerables, el cual es el encargado de supervisar el proyecto de juventud. </t>
    </r>
    <r>
      <rPr>
        <b/>
        <sz val="10"/>
        <rFont val="Calibri"/>
        <family val="2"/>
        <scheme val="minor"/>
      </rPr>
      <t xml:space="preserve">
Alcaldía de Montenegro:</t>
    </r>
    <r>
      <rPr>
        <sz val="10"/>
        <rFont val="Calibri"/>
        <family val="2"/>
        <scheme val="minor"/>
      </rPr>
      <t xml:space="preserve"> En el momento se cuenta con un programa de juventud adscrito a la Subsecretaría de Desarrollo Social Y Educativo, la cual es la encargada de acompañar al Consejo de Juventud, a la Plataforma de Juventud y de hacer seguimiento a la Política Pública de Juventud.</t>
    </r>
    <r>
      <rPr>
        <b/>
        <sz val="10"/>
        <rFont val="Calibri"/>
        <family val="2"/>
        <scheme val="minor"/>
      </rPr>
      <t xml:space="preserve">
Alcaldía de Filandia: </t>
    </r>
    <r>
      <rPr>
        <sz val="10"/>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rFont val="Calibri"/>
        <family val="2"/>
        <scheme val="minor"/>
      </rPr>
      <t xml:space="preserve">
Alcaldía de Armenia: </t>
    </r>
    <r>
      <rPr>
        <sz val="10"/>
        <rFont val="Calibri"/>
        <family val="2"/>
        <scheme val="minor"/>
      </rPr>
      <t>Cuenta con un</t>
    </r>
    <r>
      <rPr>
        <b/>
        <sz val="10"/>
        <rFont val="Calibri"/>
        <family val="2"/>
        <scheme val="minor"/>
      </rPr>
      <t xml:space="preserve"> </t>
    </r>
    <r>
      <rPr>
        <sz val="10"/>
        <rFont val="Calibri"/>
        <family val="2"/>
        <scheme val="minor"/>
      </rPr>
      <t xml:space="preserve">programa juventud pa todos desde la Secretaría de Desarrollo Social la cual cuenta con 4 contratistas                     </t>
    </r>
    <r>
      <rPr>
        <b/>
        <sz val="10"/>
        <rFont val="Calibri"/>
        <family val="2"/>
        <scheme val="minor"/>
      </rPr>
      <t xml:space="preserve">
Alcaldía de Buenavista: N</t>
    </r>
    <r>
      <rPr>
        <sz val="10"/>
        <rFont val="Calibri"/>
        <family val="2"/>
        <scheme val="minor"/>
      </rPr>
      <t xml:space="preserve">o cuenta con oficina de juventud, no obstante, desde la oficina de Seretaría de Gobierno y Participación Comunitaria, cuenta con un contratista quien es el encargado de realizar seguimiento y cumplimiento a algunas actividades de la Politica Pública de juventud. 
</t>
    </r>
    <r>
      <rPr>
        <b/>
        <sz val="10"/>
        <rFont val="Calibri"/>
        <family val="2"/>
        <scheme val="minor"/>
      </rPr>
      <t xml:space="preserve">Alcaldía Tebaida: </t>
    </r>
    <r>
      <rPr>
        <sz val="10"/>
        <rFont val="Calibri"/>
        <family val="2"/>
        <scheme val="minor"/>
      </rPr>
      <t>Se  encuentra adscrita a la Dirección Administrativa de Servicios Sociales,  la cual cuenta con una profesional de población vulnerable encargada del Sistema de Juventud de acuerdo a la ley 1622 del 2013 y la 1885 del 2018. Finalmente se cuenta con rubro para juventud, el cual es alimentado cada año dependiendo las necesidades de la población juvenil.</t>
    </r>
    <r>
      <rPr>
        <b/>
        <sz val="10"/>
        <rFont val="Calibri"/>
        <family val="2"/>
        <scheme val="minor"/>
      </rPr>
      <t xml:space="preserve">
Alcaldía de Córdoba: </t>
    </r>
    <r>
      <rPr>
        <sz val="10"/>
        <rFont val="Calibri"/>
        <family val="2"/>
        <scheme val="minor"/>
      </rPr>
      <t xml:space="preserve">En el municipio la Secretaría General y de Gobierno tiene a cargo el programa de Juventud y es quien se encarga del desarrollo de actividades con esta población.
</t>
    </r>
  </si>
  <si>
    <r>
      <rPr>
        <b/>
        <sz val="10"/>
        <rFont val="Calibri"/>
        <family val="2"/>
        <scheme val="minor"/>
      </rPr>
      <t xml:space="preserve">Secretaría de Familia: </t>
    </r>
    <r>
      <rPr>
        <sz val="10"/>
        <rFont val="Calibri"/>
        <family val="2"/>
        <scheme val="minor"/>
      </rPr>
      <t xml:space="preserve">Reporta que los planes y políticas del Plan de Desarrollo Departamental se encuentran armonizadas con la política pública de juventud.
</t>
    </r>
    <r>
      <rPr>
        <b/>
        <sz val="10"/>
        <rFont val="Calibri"/>
        <family val="2"/>
        <scheme val="minor"/>
      </rPr>
      <t xml:space="preserve">
Consejo municipal de política Social de Filandia: </t>
    </r>
    <r>
      <rPr>
        <sz val="10"/>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rFont val="Calibri"/>
        <family val="2"/>
        <scheme val="minor"/>
      </rPr>
      <t>Consejo municipal de política Social La Tebaida:</t>
    </r>
    <r>
      <rPr>
        <sz val="10"/>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rFont val="Calibri"/>
        <family val="2"/>
        <scheme val="minor"/>
      </rPr>
      <t>Consejo municipal de política Social Calarcá:</t>
    </r>
    <r>
      <rPr>
        <sz val="10"/>
        <rFont val="Calibri"/>
        <family val="2"/>
        <scheme val="minor"/>
      </rPr>
      <t xml:space="preserve"> La alcaldía municipal designó a la Secretaría de Servicios Sociales y Salud para la articulación y asistencia técnica con las instancias de participación de los jóvenes, así mismo esta Secretaría cuenta con el Programa de  atención a jóvenes del municipio de Calarcá.
</t>
    </r>
    <r>
      <rPr>
        <b/>
        <sz val="10"/>
        <rFont val="Calibri"/>
        <family val="2"/>
        <scheme val="minor"/>
      </rPr>
      <t>Consejo municipal de política Social Córdoba</t>
    </r>
    <r>
      <rPr>
        <sz val="10"/>
        <rFont val="Calibri"/>
        <family val="2"/>
        <scheme val="minor"/>
      </rPr>
      <t xml:space="preserve">: Desde el Consejo Municipal de Política Social de Municipio de Córdoba se realiza seguimiento a las acciones establecidas a las líneas estratégicas de las políticas públicas del municipio las cuales van armonizadas con el plan de desarrollo y el plan de acción del compos, vale resaltar que el municipio aún no cuenta con política pública de juventud.
</t>
    </r>
  </si>
  <si>
    <r>
      <t xml:space="preserve">
</t>
    </r>
    <r>
      <rPr>
        <b/>
        <sz val="10"/>
        <rFont val="Calibri"/>
        <family val="2"/>
        <scheme val="minor"/>
      </rPr>
      <t>Secretaría de Familia:</t>
    </r>
    <r>
      <rPr>
        <sz val="10"/>
        <rFont val="Calibri"/>
        <family val="2"/>
        <scheme val="minor"/>
      </rPr>
      <t xml:space="preserve"> El indicador se observa en estado crítico, toda vez que la unidad de medida está en términos porcentuales, y los actores reportan en términos absolutos, lo que dificulta la medición de avance, sin embargo, se adelantan las siguientes accione que se relacionan a la meta financiera: </t>
    </r>
    <r>
      <rPr>
        <b/>
        <sz val="10"/>
        <rFont val="Calibri"/>
        <family val="2"/>
        <scheme val="minor"/>
      </rPr>
      <t xml:space="preserve">
Cámara de Comercio de Armenia y del Quindío:</t>
    </r>
    <r>
      <rPr>
        <sz val="10"/>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rFont val="Calibri"/>
        <family val="2"/>
        <scheme val="minor"/>
      </rPr>
      <t>SENA:</t>
    </r>
    <r>
      <rPr>
        <sz val="10"/>
        <rFont val="Calibri"/>
        <family val="2"/>
        <scheme val="minor"/>
      </rPr>
      <t xml:space="preserve"> Durante el trimestre no se realizaron ruedas de negocios regionales o nacionales. Se espera realizar para el segundo semestre del año.
</t>
    </r>
    <r>
      <rPr>
        <b/>
        <sz val="10"/>
        <rFont val="Calibri"/>
        <family val="2"/>
        <scheme val="minor"/>
      </rPr>
      <t xml:space="preserve">Alcaldía Filandia: </t>
    </r>
    <r>
      <rPr>
        <sz val="10"/>
        <rFont val="Calibri"/>
        <family val="2"/>
        <scheme val="minor"/>
      </rPr>
      <t xml:space="preserve">2 jóvenes en ruedas de negocio.
</t>
    </r>
    <r>
      <rPr>
        <b/>
        <sz val="10"/>
        <rFont val="Calibri"/>
        <family val="2"/>
        <scheme val="minor"/>
      </rPr>
      <t>Secretaria de Turismo Industria y Comercio:</t>
    </r>
    <r>
      <rPr>
        <sz val="10"/>
        <rFont val="Calibri"/>
        <family val="2"/>
        <scheme val="minor"/>
      </rPr>
      <t xml:space="preserve"> Para este segundo trimestre de la vigencia 2023, no se han realizado actividades que den avance al indicador, con relación a la población objetiva.
</t>
    </r>
    <r>
      <rPr>
        <b/>
        <sz val="10"/>
        <rFont val="Calibri"/>
        <family val="2"/>
        <scheme val="minor"/>
      </rPr>
      <t xml:space="preserve">Alcaldía Salento: </t>
    </r>
    <r>
      <rPr>
        <sz val="10"/>
        <rFont val="Calibri"/>
        <family val="2"/>
        <scheme val="minor"/>
      </rPr>
      <t xml:space="preserve">Fortalecimiento y apoyo a las Escuelas de Formación Artística y Cultural, reactivación de la Agenda Cultural del Municipio.
Secrearia de Familia: No es posible medir el indicador ya que la información reportada por los actores responsables no es la adecuada para medir su avance en porcentaje, es por ello que se encuentra en estado crítico.
</t>
    </r>
    <r>
      <rPr>
        <b/>
        <sz val="10"/>
        <rFont val="Calibri"/>
        <family val="2"/>
        <scheme val="minor"/>
      </rPr>
      <t xml:space="preserve">Alcaldía Buenavista: </t>
    </r>
    <r>
      <rPr>
        <sz val="10"/>
        <rFont val="Calibri"/>
        <family val="2"/>
        <scheme val="minor"/>
      </rPr>
      <t xml:space="preserve"> los jóvenes no asisten a ruedas de negocios a nivel Departametal y Nacional.
</t>
    </r>
    <r>
      <rPr>
        <b/>
        <sz val="10"/>
        <rFont val="Calibri"/>
        <family val="2"/>
        <scheme val="minor"/>
      </rPr>
      <t>Secretaría Turismo, Industria y Comercio:</t>
    </r>
    <r>
      <rPr>
        <sz val="10"/>
        <rFont val="Calibri"/>
        <family val="2"/>
        <scheme val="minor"/>
      </rPr>
      <t xml:space="preserve"> Para este primer trimestre de la vigencia 2023, no se han realizado actividades que den avance al indicador
</t>
    </r>
    <r>
      <rPr>
        <b/>
        <sz val="10"/>
        <rFont val="Calibri"/>
        <family val="2"/>
        <scheme val="minor"/>
      </rPr>
      <t>Alcaldía Quimbaya:</t>
    </r>
    <r>
      <rPr>
        <sz val="10"/>
        <rFont val="Calibri"/>
        <family val="2"/>
        <scheme val="minor"/>
      </rPr>
      <t xml:space="preserve"> Durante el trimestre no se realizaron acciones para dar cumplimiento a la meta.
</t>
    </r>
    <r>
      <rPr>
        <b/>
        <sz val="10"/>
        <rFont val="Calibri"/>
        <family val="2"/>
        <scheme val="minor"/>
      </rPr>
      <t xml:space="preserve">Alcaldía Montenegro: </t>
    </r>
    <r>
      <rPr>
        <sz val="10"/>
        <rFont val="Calibri"/>
        <family val="2"/>
        <scheme val="minor"/>
      </rPr>
      <t xml:space="preserve">Para el segundo trimestre no se cuenta con jóvenes participando de ruedas de negocio regionales
</t>
    </r>
    <r>
      <rPr>
        <b/>
        <sz val="10"/>
        <rFont val="Calibri"/>
        <family val="2"/>
        <scheme val="minor"/>
      </rPr>
      <t>Alcaldía de Pijao</t>
    </r>
    <r>
      <rPr>
        <sz val="10"/>
        <rFont val="Calibri"/>
        <family val="2"/>
        <scheme val="minor"/>
      </rPr>
      <t xml:space="preserve">: no cuenta con un porcentaje de Emprendimientos que participan en Ruedas de Negocios Regionales y Nacionales que son liderados por Jóvenes en el Municipio.
</t>
    </r>
    <r>
      <rPr>
        <b/>
        <sz val="10"/>
        <rFont val="Calibri"/>
        <family val="2"/>
        <scheme val="minor"/>
      </rPr>
      <t>Alcaldia Calarca:</t>
    </r>
    <r>
      <rPr>
        <sz val="10"/>
        <rFont val="Calibri"/>
        <family val="2"/>
        <scheme val="minor"/>
      </rPr>
      <t xml:space="preserve"> Se realizará en agosto semana de la juventud, como se realiza cada año, en la que se pretenden realizar actividades empresariales para jóvenes. </t>
    </r>
    <r>
      <rPr>
        <b/>
        <sz val="10"/>
        <rFont val="Calibri"/>
        <family val="2"/>
        <scheme val="minor"/>
      </rPr>
      <t>Alcaldía Armenia:</t>
    </r>
    <r>
      <rPr>
        <sz val="10"/>
        <rFont val="Calibri"/>
        <family val="2"/>
        <scheme val="minor"/>
      </rPr>
      <t xml:space="preserve"> En Municipio de Armenia se tiene programación para el resto de la vigencia, se solicit´p a la Red Regional de Emprendimiento incluir a la secretaría en las mesas de trabajo programadas.
</t>
    </r>
  </si>
  <si>
    <r>
      <rPr>
        <b/>
        <sz val="10"/>
        <rFont val="Calibri"/>
        <family val="2"/>
        <scheme val="minor"/>
      </rPr>
      <t>OBSERVACIONES:</t>
    </r>
    <r>
      <rPr>
        <sz val="10"/>
        <rFont val="Calibri"/>
        <family val="2"/>
        <scheme val="minor"/>
      </rPr>
      <t xml:space="preserve"> Segun el último  Reporte de la Gran Encuesta Integrada de Hogares-DANE; La tasa de trabajo infantil es del 3 % y la tasa de trabajo infantil ampliado es del 5,3 %.
</t>
    </r>
    <r>
      <rPr>
        <b/>
        <sz val="10"/>
        <rFont val="Calibri"/>
        <family val="2"/>
        <scheme val="minor"/>
      </rPr>
      <t xml:space="preserve">Secretaría de Familia: </t>
    </r>
    <r>
      <rPr>
        <sz val="10"/>
        <rFont val="Calibri"/>
        <family val="2"/>
        <scheme val="minor"/>
      </rPr>
      <t xml:space="preserve">*Atención a niños, niñas y adolescentes y sus familias en riesgos o trabajo infantil, alta permanencia en calle y vida en calle
*Actividades comunitarias de prevención de Riegos o trabajo infantil, alta pernanencia en calle y vida en calle 
*Asistencias Técnicas a agentes del SNBF
*Operativos, jornadas de sensibilización y prevenció, campañas y movilizaciones sociales
*Remisiones autoridades administrativas competenetes para restableciminto de derecho.
</t>
    </r>
    <r>
      <rPr>
        <b/>
        <sz val="10"/>
        <rFont val="Calibri"/>
        <family val="2"/>
        <scheme val="minor"/>
      </rPr>
      <t xml:space="preserve">Secretaría de Agricultura: </t>
    </r>
    <r>
      <rPr>
        <sz val="10"/>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rFont val="Calibri"/>
        <family val="2"/>
        <scheme val="minor"/>
      </rPr>
      <t>Ministerio del Trabajo:</t>
    </r>
    <r>
      <rPr>
        <sz val="10"/>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rFont val="Calibri"/>
        <family val="2"/>
        <scheme val="minor"/>
      </rPr>
      <t>ICBF</t>
    </r>
    <r>
      <rPr>
        <sz val="10"/>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rFont val="Calibri"/>
        <family val="2"/>
        <scheme val="minor"/>
      </rPr>
      <t xml:space="preserve">Alcaldía Calarcá: </t>
    </r>
    <r>
      <rPr>
        <sz val="10"/>
        <rFont val="Calibri"/>
        <family val="2"/>
        <scheme val="minor"/>
      </rPr>
      <t xml:space="preserve">El programa de NNA, realizó  una jornada de prevención del trabajo infantil en el barrio Llanitos Piloto. 
</t>
    </r>
    <r>
      <rPr>
        <b/>
        <sz val="10"/>
        <rFont val="Calibri"/>
        <family val="2"/>
        <scheme val="minor"/>
      </rPr>
      <t xml:space="preserve">Alcaldía Filandia: </t>
    </r>
    <r>
      <rPr>
        <sz val="10"/>
        <rFont val="Calibri"/>
        <family val="2"/>
        <scheme val="minor"/>
      </rPr>
      <t xml:space="preserve">el Municipio de Filandia no cuenta con casos de trabajo infantil.
</t>
    </r>
    <r>
      <rPr>
        <b/>
        <sz val="10"/>
        <rFont val="Calibri"/>
        <family val="2"/>
        <scheme val="minor"/>
      </rPr>
      <t>Alcaldía Quimbaya:</t>
    </r>
    <r>
      <rPr>
        <sz val="10"/>
        <rFont val="Calibri"/>
        <family val="2"/>
        <scheme val="minor"/>
      </rPr>
      <t xml:space="preserve"> El municipio no cuenta con esta información en tasa. 
</t>
    </r>
    <r>
      <rPr>
        <b/>
        <sz val="10"/>
        <rFont val="Calibri"/>
        <family val="2"/>
        <scheme val="minor"/>
      </rPr>
      <t>Alcaldía Buenavista:</t>
    </r>
    <r>
      <rPr>
        <sz val="10"/>
        <rFont val="Calibri"/>
        <family val="2"/>
        <scheme val="minor"/>
      </rPr>
      <t xml:space="preserve"> No cuenta con reportes de trabajo infantil, no obstante se realizan campañas para prevenir esta problemática.
</t>
    </r>
    <r>
      <rPr>
        <b/>
        <sz val="10"/>
        <rFont val="Calibri"/>
        <family val="2"/>
        <scheme val="minor"/>
      </rPr>
      <t xml:space="preserve">Alcaldía Montenegro: </t>
    </r>
    <r>
      <rPr>
        <sz val="10"/>
        <rFont val="Calibri"/>
        <family val="2"/>
        <scheme val="minor"/>
      </rPr>
      <t xml:space="preserve">Campañas en las instituciones educativas y en la poblacion en general con el fin de disminuir la taza de trabajo infantil.
</t>
    </r>
    <r>
      <rPr>
        <b/>
        <sz val="10"/>
        <rFont val="Calibri"/>
        <family val="2"/>
        <scheme val="minor"/>
      </rPr>
      <t xml:space="preserve">Alcaldía Salento: </t>
    </r>
    <r>
      <rPr>
        <sz val="10"/>
        <rFont val="Calibri"/>
        <family val="2"/>
        <scheme val="minor"/>
      </rPr>
      <t xml:space="preserve">Campañas de sensibilización entorno a la prevención del trabajo infantil en los establecimientos de servicios turísticos.
</t>
    </r>
    <r>
      <rPr>
        <b/>
        <sz val="10"/>
        <rFont val="Calibri"/>
        <family val="2"/>
        <scheme val="minor"/>
      </rPr>
      <t>Alcaldía de Pijao</t>
    </r>
    <r>
      <rPr>
        <sz val="10"/>
        <rFont val="Calibri"/>
        <family val="2"/>
        <scheme val="minor"/>
      </rPr>
      <t xml:space="preserve">: Comité de radicación del trabajo infantil implementado  bajo el decreto 021 de 01/08/2016. No se presentan casos.
</t>
    </r>
    <r>
      <rPr>
        <b/>
        <sz val="10"/>
        <rFont val="Calibri"/>
        <family val="2"/>
        <scheme val="minor"/>
      </rPr>
      <t>Alcaldia Armenia:</t>
    </r>
    <r>
      <rPr>
        <sz val="10"/>
        <rFont val="Calibri"/>
        <family val="2"/>
        <scheme val="minor"/>
      </rPr>
      <t xml:space="preserve"> Implementar estrategias de garantía de derechos de la infancia a través de Jornadas para  niños y niñas de 6 a 12 años ( en prevención de las peores formas de trabajo infantil ,  prevención de la utilización de niños, niñas para la comisión de delitos).
</t>
    </r>
    <r>
      <rPr>
        <b/>
        <sz val="10"/>
        <rFont val="Calibri"/>
        <family val="2"/>
        <scheme val="minor"/>
      </rPr>
      <t>Alcaldia Calarca:</t>
    </r>
    <r>
      <rPr>
        <sz val="10"/>
        <rFont val="Calibri"/>
        <family val="2"/>
        <scheme val="minor"/>
      </rPr>
      <t xml:space="preserve"> se realizan escuelas de padres en las instituciones educativas del municipio con el fin de implementar estrategias de erradicacion del trabajo infantil.
</t>
    </r>
    <r>
      <rPr>
        <b/>
        <sz val="10"/>
        <rFont val="Calibri"/>
        <family val="2"/>
        <scheme val="minor"/>
      </rPr>
      <t xml:space="preserve">ICBF: </t>
    </r>
    <r>
      <rPr>
        <sz val="10"/>
        <rFont val="Calibri"/>
        <family val="2"/>
        <scheme val="minor"/>
      </rPr>
      <t xml:space="preserve">*Atención a niños, niñas y adolescentes y sus familias en riesgos o trabajo infantil, alta permanencia en calle y vida en calle
*Actividades comunitarias de prevención de Riegos o trabajo infantil, alta pernanencia en calle y vida en calle 
*Asistencias Técnicas a agentes del SNBF
*Operativos, jornadas de sensibilización y prevención, campañas y movilizaciones sociales
*Remisiones autoridades administrativas competenetes para restablecimiento de derecho </t>
    </r>
  </si>
  <si>
    <t>2023 II TRIMESTRE</t>
  </si>
  <si>
    <t>EJECUTADO HASTA EL II TRIMESTRE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</si>
</sst>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 numFmtId="176" formatCode="0.0"/>
    <numFmt numFmtId="177" formatCode="_-[$$-240A]\ * #,##0.00_-;\-[$$-240A]\ * #,##0.00_-;_-[$$-240A]\ * &quot;-&quot;??_-;_-@_-"/>
  </numFmts>
  <fonts count="3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s>
  <fills count="21">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rgb="FFF98607"/>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59999389629810485"/>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843">
    <xf numFmtId="0" fontId="0" fillId="0" borderId="0" xfId="0"/>
    <xf numFmtId="10" fontId="3" fillId="0" borderId="5" xfId="0" applyNumberFormat="1" applyFont="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0" fillId="3" borderId="0" xfId="0" applyFill="1" applyAlignment="1">
      <alignment horizontal="center"/>
    </xf>
    <xf numFmtId="0" fontId="3" fillId="0" borderId="0" xfId="0" applyFont="1"/>
    <xf numFmtId="9" fontId="4" fillId="5" borderId="5" xfId="1" applyFont="1" applyFill="1" applyBorder="1" applyAlignment="1">
      <alignment horizontal="center" vertical="center"/>
    </xf>
    <xf numFmtId="0" fontId="4" fillId="0" borderId="5" xfId="0"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10" fontId="4" fillId="0" borderId="5" xfId="0" applyNumberFormat="1" applyFont="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4" fillId="7" borderId="5" xfId="1" applyFont="1" applyFill="1" applyBorder="1" applyAlignment="1">
      <alignment horizontal="center" vertical="center"/>
    </xf>
    <xf numFmtId="0" fontId="4" fillId="0" borderId="5" xfId="0" applyFont="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65" fontId="4" fillId="3" borderId="5" xfId="0" applyNumberFormat="1" applyFont="1" applyFill="1" applyBorder="1" applyAlignment="1">
      <alignment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7" xfId="0" applyFont="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8" fillId="4" borderId="5" xfId="1" applyFont="1" applyFill="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wrapText="1"/>
    </xf>
    <xf numFmtId="0" fontId="17" fillId="0" borderId="21" xfId="0" applyFont="1" applyBorder="1" applyAlignment="1">
      <alignment horizontal="center" vertical="center" wrapText="1"/>
    </xf>
    <xf numFmtId="1" fontId="4" fillId="3" borderId="21" xfId="3" applyNumberFormat="1" applyFont="1" applyFill="1" applyBorder="1" applyAlignment="1">
      <alignment horizontal="center" vertical="center" wrapText="1"/>
    </xf>
    <xf numFmtId="164" fontId="4" fillId="3" borderId="21" xfId="3" applyFont="1" applyFill="1" applyBorder="1" applyAlignment="1">
      <alignment horizontal="center" vertical="center" wrapText="1"/>
    </xf>
    <xf numFmtId="1"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9" fontId="4" fillId="0" borderId="21" xfId="0" applyNumberFormat="1" applyFont="1" applyBorder="1" applyAlignment="1">
      <alignment horizontal="center" vertical="center"/>
    </xf>
    <xf numFmtId="9" fontId="4"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3" borderId="2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3"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8"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3" borderId="22" xfId="0" applyFont="1" applyFill="1" applyBorder="1" applyAlignment="1">
      <alignment vertical="center" wrapText="1"/>
    </xf>
    <xf numFmtId="9" fontId="4" fillId="3" borderId="21"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1" fontId="4" fillId="3" borderId="21" xfId="0"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167" fontId="4" fillId="0" borderId="21" xfId="1" applyNumberFormat="1" applyFont="1" applyFill="1" applyBorder="1" applyAlignment="1">
      <alignment horizontal="center" vertical="center" wrapText="1"/>
    </xf>
    <xf numFmtId="0" fontId="4" fillId="3" borderId="21" xfId="0" applyFont="1" applyFill="1" applyBorder="1" applyAlignment="1">
      <alignment vertical="center" wrapText="1"/>
    </xf>
    <xf numFmtId="2" fontId="4" fillId="3" borderId="21" xfId="3" applyNumberFormat="1" applyFont="1" applyFill="1" applyBorder="1" applyAlignment="1">
      <alignment horizontal="center" vertical="center" wrapText="1"/>
    </xf>
    <xf numFmtId="0" fontId="11" fillId="3" borderId="22"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3" borderId="22" xfId="0" applyFont="1" applyFill="1" applyBorder="1" applyAlignment="1">
      <alignment vertical="center" wrapText="1"/>
    </xf>
    <xf numFmtId="0" fontId="14" fillId="3" borderId="22" xfId="0" applyFont="1" applyFill="1" applyBorder="1" applyAlignment="1">
      <alignment vertical="center" wrapText="1"/>
    </xf>
    <xf numFmtId="0" fontId="11"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3" fillId="0" borderId="21" xfId="0" applyFont="1" applyBorder="1" applyAlignment="1">
      <alignment horizontal="center" vertical="center"/>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0" fontId="3" fillId="3" borderId="21" xfId="0" applyFont="1" applyFill="1" applyBorder="1" applyAlignment="1">
      <alignment vertical="center" wrapText="1"/>
    </xf>
    <xf numFmtId="1" fontId="3" fillId="3" borderId="21" xfId="3"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49" fontId="3" fillId="3" borderId="21" xfId="0"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3" borderId="22" xfId="0" applyFont="1" applyFill="1" applyBorder="1" applyAlignment="1">
      <alignment horizontal="justify" vertical="center"/>
    </xf>
    <xf numFmtId="0" fontId="18" fillId="3" borderId="21"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0" fillId="3" borderId="22" xfId="0" applyFill="1" applyBorder="1" applyAlignment="1">
      <alignment horizontal="left" vertical="center" wrapText="1"/>
    </xf>
    <xf numFmtId="0" fontId="0" fillId="3" borderId="7" xfId="0" applyFill="1" applyBorder="1" applyAlignment="1">
      <alignment horizontal="center" vertical="center"/>
    </xf>
    <xf numFmtId="0" fontId="0" fillId="3" borderId="23" xfId="0" applyFill="1" applyBorder="1" applyAlignment="1">
      <alignment horizontal="left" vertical="center" wrapText="1"/>
    </xf>
    <xf numFmtId="0" fontId="0" fillId="0" borderId="21" xfId="0" applyBorder="1" applyAlignment="1">
      <alignment horizontal="center" vertical="center"/>
    </xf>
    <xf numFmtId="9" fontId="3" fillId="0" borderId="22" xfId="0" applyNumberFormat="1" applyFont="1" applyBorder="1" applyAlignment="1">
      <alignment horizontal="center" vertical="center" wrapText="1"/>
    </xf>
    <xf numFmtId="9" fontId="0" fillId="0" borderId="21" xfId="1" applyFont="1" applyFill="1" applyBorder="1" applyAlignment="1">
      <alignment horizontal="center" vertical="center"/>
    </xf>
    <xf numFmtId="0" fontId="0" fillId="0" borderId="22" xfId="0" applyBorder="1" applyAlignment="1">
      <alignment horizontal="left" vertical="center" wrapText="1"/>
    </xf>
    <xf numFmtId="0" fontId="0" fillId="0" borderId="22" xfId="0" applyBorder="1" applyAlignment="1">
      <alignment vertical="center" wrapText="1"/>
    </xf>
    <xf numFmtId="0" fontId="12" fillId="0" borderId="22" xfId="0" applyFont="1" applyBorder="1" applyAlignment="1">
      <alignment vertical="center" wrapText="1"/>
    </xf>
    <xf numFmtId="0" fontId="3" fillId="0" borderId="21" xfId="0" applyFont="1" applyBorder="1" applyAlignment="1">
      <alignment horizontal="center" vertical="center" wrapText="1"/>
    </xf>
    <xf numFmtId="1" fontId="0" fillId="0" borderId="21" xfId="0" applyNumberFormat="1" applyBorder="1" applyAlignment="1">
      <alignment horizontal="center" vertical="center"/>
    </xf>
    <xf numFmtId="9" fontId="3" fillId="0" borderId="21" xfId="1" applyFont="1" applyFill="1" applyBorder="1" applyAlignment="1">
      <alignment horizontal="center" vertical="center"/>
    </xf>
    <xf numFmtId="9" fontId="3" fillId="0" borderId="22" xfId="1" applyFont="1" applyFill="1" applyBorder="1" applyAlignment="1">
      <alignment horizontal="center" vertical="center" wrapText="1"/>
    </xf>
    <xf numFmtId="3" fontId="0" fillId="0" borderId="5" xfId="0" applyNumberFormat="1" applyBorder="1" applyAlignment="1">
      <alignment horizontal="center" vertical="center" wrapText="1"/>
    </xf>
    <xf numFmtId="171" fontId="22"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73" fontId="22" fillId="0" borderId="5" xfId="5" applyNumberFormat="1" applyFont="1" applyFill="1" applyBorder="1" applyAlignment="1">
      <alignment horizontal="center" vertical="center" wrapText="1"/>
    </xf>
    <xf numFmtId="165" fontId="23"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13" fillId="3" borderId="22" xfId="0" applyFont="1" applyFill="1" applyBorder="1" applyAlignment="1">
      <alignment vertical="center" wrapText="1"/>
    </xf>
    <xf numFmtId="0" fontId="4" fillId="0" borderId="22" xfId="0" applyFont="1" applyBorder="1" applyAlignment="1">
      <alignment horizontal="justify" vertical="center" wrapText="1"/>
    </xf>
    <xf numFmtId="0" fontId="3" fillId="0" borderId="22"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1" xfId="0" applyFont="1" applyBorder="1" applyAlignment="1">
      <alignment horizontal="justify" vertical="center" wrapText="1"/>
    </xf>
    <xf numFmtId="9" fontId="0" fillId="0" borderId="22" xfId="1" applyFont="1" applyFill="1" applyBorder="1" applyAlignment="1">
      <alignment horizontal="left" vertical="center" wrapText="1"/>
    </xf>
    <xf numFmtId="49" fontId="3" fillId="3" borderId="21" xfId="0" applyNumberFormat="1" applyFont="1" applyFill="1" applyBorder="1" applyAlignment="1">
      <alignment horizontal="justify" vertical="center" wrapText="1"/>
    </xf>
    <xf numFmtId="0" fontId="3" fillId="0" borderId="21" xfId="0" applyFont="1" applyBorder="1" applyAlignment="1">
      <alignment vertical="center" wrapText="1"/>
    </xf>
    <xf numFmtId="0" fontId="3" fillId="0" borderId="5" xfId="0" applyFont="1" applyBorder="1" applyAlignment="1">
      <alignment vertical="center" wrapText="1"/>
    </xf>
    <xf numFmtId="0" fontId="0" fillId="0" borderId="21" xfId="0" applyBorder="1" applyAlignment="1">
      <alignment vertical="center"/>
    </xf>
    <xf numFmtId="0" fontId="0" fillId="0" borderId="5" xfId="0" applyBorder="1" applyAlignment="1">
      <alignment vertical="center"/>
    </xf>
    <xf numFmtId="164" fontId="3" fillId="0" borderId="5" xfId="3" applyFont="1" applyBorder="1" applyAlignment="1">
      <alignment horizontal="center" vertical="center"/>
    </xf>
    <xf numFmtId="0" fontId="4" fillId="0" borderId="29" xfId="0" applyFont="1" applyBorder="1" applyAlignment="1">
      <alignment horizontal="center" vertical="center"/>
    </xf>
    <xf numFmtId="0" fontId="4" fillId="3" borderId="28" xfId="0" applyFont="1" applyFill="1" applyBorder="1" applyAlignment="1">
      <alignment horizontal="center" vertical="center" wrapText="1"/>
    </xf>
    <xf numFmtId="9" fontId="4" fillId="7" borderId="28"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3" borderId="29" xfId="1" applyFont="1" applyFill="1" applyBorder="1" applyAlignment="1">
      <alignment horizontal="center" vertical="center" wrapText="1"/>
    </xf>
    <xf numFmtId="0" fontId="4" fillId="0" borderId="29" xfId="0" applyFont="1" applyBorder="1" applyAlignment="1">
      <alignment horizontal="center" vertical="center" wrapText="1"/>
    </xf>
    <xf numFmtId="10" fontId="4" fillId="0" borderId="28" xfId="1"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10" fontId="4" fillId="3" borderId="29" xfId="1" applyNumberFormat="1" applyFont="1" applyFill="1" applyBorder="1" applyAlignment="1">
      <alignment horizontal="center" vertical="center" wrapText="1"/>
    </xf>
    <xf numFmtId="0" fontId="4" fillId="0" borderId="28" xfId="0" applyFont="1" applyBorder="1" applyAlignment="1">
      <alignment horizontal="center" vertical="center" wrapText="1"/>
    </xf>
    <xf numFmtId="9" fontId="4" fillId="5" borderId="28" xfId="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3" borderId="29" xfId="0" applyFont="1" applyFill="1" applyBorder="1" applyAlignment="1">
      <alignment horizontal="center" vertical="center"/>
    </xf>
    <xf numFmtId="9" fontId="0" fillId="0" borderId="0" xfId="0" applyNumberFormat="1"/>
    <xf numFmtId="9" fontId="4" fillId="11" borderId="5" xfId="1"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6" fontId="12" fillId="0" borderId="5" xfId="0" applyNumberFormat="1" applyFont="1" applyBorder="1" applyAlignment="1">
      <alignment horizontal="center" vertical="center" wrapText="1"/>
    </xf>
    <xf numFmtId="42" fontId="4" fillId="0" borderId="5" xfId="0" applyNumberFormat="1" applyFont="1" applyBorder="1" applyAlignment="1">
      <alignment horizontal="center" vertical="center" wrapText="1"/>
    </xf>
    <xf numFmtId="9" fontId="4" fillId="11" borderId="29"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7" borderId="23" xfId="1" applyFont="1" applyFill="1" applyBorder="1" applyAlignment="1">
      <alignment horizontal="center" vertical="center"/>
    </xf>
    <xf numFmtId="2" fontId="3" fillId="0" borderId="5" xfId="0" applyNumberFormat="1" applyFont="1" applyBorder="1" applyAlignment="1">
      <alignment horizontal="center" vertical="center"/>
    </xf>
    <xf numFmtId="2" fontId="4" fillId="3" borderId="5" xfId="1" applyNumberFormat="1" applyFont="1" applyFill="1" applyBorder="1" applyAlignment="1">
      <alignment horizontal="center" vertical="center" wrapText="1"/>
    </xf>
    <xf numFmtId="9" fontId="4" fillId="8" borderId="23" xfId="1" applyFont="1" applyFill="1" applyBorder="1" applyAlignment="1">
      <alignment horizontal="center" vertical="center"/>
    </xf>
    <xf numFmtId="0" fontId="7" fillId="0" borderId="0" xfId="0" applyFont="1" applyAlignment="1">
      <alignment horizontal="center" vertical="center"/>
    </xf>
    <xf numFmtId="9" fontId="0" fillId="8" borderId="5" xfId="0" applyNumberFormat="1" applyFill="1" applyBorder="1"/>
    <xf numFmtId="9" fontId="4" fillId="11" borderId="5" xfId="1" applyFont="1" applyFill="1" applyBorder="1" applyAlignment="1">
      <alignment horizontal="center" vertical="center"/>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3" fillId="0" borderId="5" xfId="0" applyNumberFormat="1" applyFont="1" applyBorder="1" applyAlignment="1">
      <alignment horizontal="center" vertical="center"/>
    </xf>
    <xf numFmtId="176" fontId="4" fillId="0" borderId="5" xfId="1" applyNumberFormat="1" applyFont="1" applyFill="1" applyBorder="1" applyAlignment="1">
      <alignment horizontal="center" vertical="center" wrapText="1"/>
    </xf>
    <xf numFmtId="9" fontId="4" fillId="0" borderId="5" xfId="1" applyFont="1" applyBorder="1" applyAlignment="1">
      <alignment vertical="center" wrapText="1"/>
    </xf>
    <xf numFmtId="177" fontId="4" fillId="3" borderId="29" xfId="4"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9" fontId="3" fillId="3" borderId="5" xfId="0" applyNumberFormat="1" applyFont="1" applyFill="1" applyBorder="1" applyAlignment="1">
      <alignment horizontal="left" vertical="center" wrapText="1"/>
    </xf>
    <xf numFmtId="0" fontId="3" fillId="3" borderId="5" xfId="0" applyFont="1" applyFill="1" applyBorder="1" applyAlignment="1">
      <alignment horizontal="justify"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28"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9" fontId="4" fillId="0" borderId="5" xfId="1" applyFont="1" applyFill="1" applyBorder="1" applyAlignment="1">
      <alignment horizontal="center" vertical="center" wrapText="1"/>
    </xf>
    <xf numFmtId="9" fontId="4" fillId="18" borderId="5" xfId="1" applyFont="1" applyFill="1" applyBorder="1" applyAlignment="1">
      <alignment horizontal="center" vertical="center" wrapText="1"/>
    </xf>
    <xf numFmtId="9" fontId="4" fillId="19" borderId="29" xfId="1" applyFont="1" applyFill="1" applyBorder="1" applyAlignment="1">
      <alignment horizontal="center" vertical="center" wrapText="1"/>
    </xf>
    <xf numFmtId="9" fontId="4" fillId="19" borderId="5" xfId="1" applyFont="1" applyFill="1" applyBorder="1" applyAlignment="1">
      <alignment horizontal="center" vertical="center" wrapText="1"/>
    </xf>
    <xf numFmtId="0" fontId="4" fillId="3" borderId="29" xfId="0" applyFont="1" applyFill="1" applyBorder="1" applyAlignment="1">
      <alignment horizontal="center" vertical="center" wrapText="1"/>
    </xf>
    <xf numFmtId="1" fontId="3" fillId="3" borderId="5" xfId="0" applyNumberFormat="1" applyFont="1" applyFill="1" applyBorder="1" applyAlignment="1">
      <alignment horizontal="center" vertical="center"/>
    </xf>
    <xf numFmtId="1" fontId="4" fillId="3" borderId="5" xfId="1"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166" fontId="4" fillId="19" borderId="5"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21" xfId="1" applyFont="1" applyFill="1" applyBorder="1" applyAlignment="1">
      <alignment horizontal="center" vertical="center" wrapText="1"/>
    </xf>
    <xf numFmtId="0" fontId="4" fillId="3" borderId="5" xfId="0" applyFont="1" applyFill="1" applyBorder="1" applyAlignment="1">
      <alignment horizontal="justify" vertical="center" wrapText="1"/>
    </xf>
    <xf numFmtId="9" fontId="4" fillId="3" borderId="5" xfId="0" applyNumberFormat="1" applyFont="1" applyFill="1" applyBorder="1" applyAlignment="1">
      <alignment horizontal="justify" vertical="center" wrapText="1"/>
    </xf>
    <xf numFmtId="165" fontId="4" fillId="0" borderId="5" xfId="0" applyNumberFormat="1" applyFont="1" applyFill="1" applyBorder="1" applyAlignment="1">
      <alignment horizontal="center" vertical="center" wrapText="1"/>
    </xf>
    <xf numFmtId="165" fontId="4" fillId="0" borderId="28" xfId="0" applyNumberFormat="1"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justify" vertical="center" wrapText="1"/>
    </xf>
    <xf numFmtId="0" fontId="17" fillId="0" borderId="5" xfId="0" applyFont="1" applyFill="1" applyBorder="1" applyAlignment="1">
      <alignment horizontal="center" vertical="center" wrapText="1"/>
    </xf>
    <xf numFmtId="170" fontId="4" fillId="0" borderId="5"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5" xfId="0" applyFill="1" applyBorder="1" applyAlignment="1">
      <alignment horizontal="center" vertical="center"/>
    </xf>
    <xf numFmtId="0" fontId="3" fillId="0" borderId="22" xfId="0" applyFont="1" applyFill="1" applyBorder="1" applyAlignment="1">
      <alignment vertical="center" wrapText="1"/>
    </xf>
    <xf numFmtId="165" fontId="3" fillId="0" borderId="5" xfId="0" applyNumberFormat="1"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170" fontId="4" fillId="0" borderId="5" xfId="0" applyNumberFormat="1" applyFont="1" applyFill="1" applyBorder="1" applyAlignment="1">
      <alignment horizontal="center" vertical="center"/>
    </xf>
    <xf numFmtId="0" fontId="4" fillId="0" borderId="2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22" xfId="0" applyFont="1" applyFill="1" applyBorder="1" applyAlignment="1">
      <alignment horizontal="left" vertical="center" wrapText="1"/>
    </xf>
    <xf numFmtId="0" fontId="11" fillId="0" borderId="22" xfId="0" applyFont="1" applyFill="1" applyBorder="1" applyAlignment="1">
      <alignment horizontal="left" vertical="center" wrapText="1"/>
    </xf>
    <xf numFmtId="170" fontId="4" fillId="0" borderId="0" xfId="0" applyNumberFormat="1" applyFont="1" applyFill="1" applyAlignment="1">
      <alignment horizontal="center" vertical="center" wrapText="1"/>
    </xf>
    <xf numFmtId="0" fontId="2" fillId="0" borderId="5" xfId="0" applyFont="1" applyFill="1" applyBorder="1" applyAlignment="1">
      <alignment horizontal="left" vertical="center" wrapText="1"/>
    </xf>
    <xf numFmtId="9" fontId="4" fillId="0" borderId="5"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9" fontId="17" fillId="0" borderId="21"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3" fillId="0" borderId="21" xfId="0" applyNumberFormat="1" applyFont="1" applyFill="1" applyBorder="1" applyAlignment="1">
      <alignment horizontal="center" vertical="center"/>
    </xf>
    <xf numFmtId="9" fontId="3" fillId="0" borderId="5"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wrapText="1"/>
    </xf>
    <xf numFmtId="9" fontId="0" fillId="0" borderId="5" xfId="0" applyNumberFormat="1" applyFill="1" applyBorder="1" applyAlignment="1">
      <alignment horizontal="center" vertical="center"/>
    </xf>
    <xf numFmtId="9" fontId="3" fillId="0" borderId="22" xfId="0" applyNumberFormat="1" applyFont="1" applyFill="1" applyBorder="1" applyAlignment="1">
      <alignment horizontal="left" vertical="center" wrapText="1"/>
    </xf>
    <xf numFmtId="9" fontId="4" fillId="0" borderId="21" xfId="1" applyFont="1" applyFill="1" applyBorder="1" applyAlignment="1">
      <alignment horizontal="center" vertical="center"/>
    </xf>
    <xf numFmtId="170" fontId="4" fillId="0" borderId="5" xfId="1" applyNumberFormat="1" applyFont="1" applyFill="1" applyBorder="1" applyAlignment="1">
      <alignment horizontal="center" vertical="center" wrapText="1"/>
    </xf>
    <xf numFmtId="9" fontId="4" fillId="0" borderId="22" xfId="0" applyNumberFormat="1" applyFont="1" applyFill="1" applyBorder="1" applyAlignment="1">
      <alignment horizontal="left" vertical="center" wrapText="1"/>
    </xf>
    <xf numFmtId="9" fontId="3" fillId="0" borderId="5" xfId="0" applyNumberFormat="1" applyFont="1" applyFill="1" applyBorder="1" applyAlignment="1">
      <alignment horizontal="left" vertical="center" wrapText="1"/>
    </xf>
    <xf numFmtId="9" fontId="3" fillId="0" borderId="5" xfId="0"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1" fontId="3" fillId="0" borderId="21" xfId="1" applyNumberFormat="1" applyFont="1" applyFill="1" applyBorder="1" applyAlignment="1">
      <alignment horizontal="center" vertical="center"/>
    </xf>
    <xf numFmtId="1" fontId="4" fillId="0" borderId="21" xfId="1" applyNumberFormat="1" applyFont="1" applyFill="1" applyBorder="1" applyAlignment="1">
      <alignment horizontal="center" vertical="center"/>
    </xf>
    <xf numFmtId="0" fontId="2" fillId="0" borderId="29" xfId="0" applyFont="1" applyFill="1" applyBorder="1" applyAlignment="1">
      <alignment vertical="center" wrapText="1"/>
    </xf>
    <xf numFmtId="9" fontId="17" fillId="0" borderId="22" xfId="0" applyNumberFormat="1" applyFont="1" applyFill="1" applyBorder="1" applyAlignment="1">
      <alignment horizontal="justify" vertical="center" wrapText="1"/>
    </xf>
    <xf numFmtId="9" fontId="17" fillId="0" borderId="22" xfId="0" applyNumberFormat="1" applyFont="1" applyFill="1" applyBorder="1" applyAlignment="1">
      <alignment horizontal="center" vertical="center" wrapText="1"/>
    </xf>
    <xf numFmtId="10" fontId="3" fillId="0" borderId="21" xfId="0" applyNumberFormat="1" applyFont="1" applyFill="1" applyBorder="1" applyAlignment="1">
      <alignment horizontal="center" vertical="center" wrapText="1"/>
    </xf>
    <xf numFmtId="166" fontId="3" fillId="0" borderId="21"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10" fontId="0" fillId="0" borderId="21" xfId="0" applyNumberFormat="1" applyFill="1" applyBorder="1" applyAlignment="1">
      <alignment vertical="center"/>
    </xf>
    <xf numFmtId="9" fontId="12" fillId="0" borderId="5" xfId="0" applyNumberFormat="1" applyFont="1" applyFill="1" applyBorder="1" applyAlignment="1">
      <alignment vertical="center"/>
    </xf>
    <xf numFmtId="3" fontId="0" fillId="0" borderId="5" xfId="0" applyNumberFormat="1" applyFill="1" applyBorder="1" applyAlignment="1">
      <alignment horizontal="center" vertical="center" wrapText="1"/>
    </xf>
    <xf numFmtId="166" fontId="0" fillId="0" borderId="22" xfId="0" applyNumberFormat="1" applyFill="1" applyBorder="1" applyAlignment="1">
      <alignment vertical="top" wrapText="1"/>
    </xf>
    <xf numFmtId="0" fontId="29" fillId="0" borderId="22" xfId="0" applyFont="1" applyFill="1" applyBorder="1" applyAlignment="1">
      <alignment vertical="top" wrapText="1"/>
    </xf>
    <xf numFmtId="2" fontId="3" fillId="0" borderId="5" xfId="0" applyNumberFormat="1" applyFont="1" applyFill="1" applyBorder="1" applyAlignment="1">
      <alignment horizontal="center" vertical="center" wrapText="1"/>
    </xf>
    <xf numFmtId="10" fontId="4" fillId="0" borderId="21"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9" fontId="4" fillId="0" borderId="3" xfId="1" applyFont="1" applyFill="1" applyBorder="1" applyAlignment="1">
      <alignment horizontal="center" vertical="center" wrapText="1"/>
    </xf>
    <xf numFmtId="0" fontId="3" fillId="0" borderId="2" xfId="0" applyFont="1" applyFill="1" applyBorder="1" applyAlignment="1">
      <alignment horizontal="left" vertical="center" wrapText="1"/>
    </xf>
    <xf numFmtId="0" fontId="0" fillId="0" borderId="21" xfId="1" applyNumberFormat="1" applyFont="1" applyFill="1" applyBorder="1" applyAlignment="1">
      <alignment vertical="center"/>
    </xf>
    <xf numFmtId="0" fontId="12" fillId="0" borderId="5" xfId="0" applyFont="1" applyFill="1" applyBorder="1" applyAlignment="1">
      <alignment vertical="center"/>
    </xf>
    <xf numFmtId="166" fontId="0" fillId="0" borderId="22" xfId="0" applyNumberFormat="1" applyFill="1" applyBorder="1" applyAlignment="1">
      <alignment vertical="center" wrapText="1"/>
    </xf>
    <xf numFmtId="0" fontId="4" fillId="0" borderId="21" xfId="0" applyFont="1" applyFill="1" applyBorder="1" applyAlignment="1">
      <alignment horizontal="center" vertical="center" wrapText="1"/>
    </xf>
    <xf numFmtId="9" fontId="3" fillId="0" borderId="21" xfId="0" applyNumberFormat="1" applyFont="1" applyFill="1" applyBorder="1" applyAlignment="1">
      <alignment horizontal="center" vertical="center" wrapText="1"/>
    </xf>
    <xf numFmtId="9" fontId="0" fillId="0" borderId="21" xfId="0" applyNumberFormat="1" applyFill="1" applyBorder="1" applyAlignment="1">
      <alignment horizontal="center" vertical="center"/>
    </xf>
    <xf numFmtId="166" fontId="0" fillId="0" borderId="22" xfId="0" applyNumberFormat="1" applyFill="1" applyBorder="1" applyAlignment="1">
      <alignment horizontal="left" vertical="center" wrapText="1"/>
    </xf>
    <xf numFmtId="0" fontId="0" fillId="0" borderId="21" xfId="1" applyNumberFormat="1" applyFont="1" applyFill="1" applyBorder="1" applyAlignment="1">
      <alignment horizontal="center" vertical="center"/>
    </xf>
    <xf numFmtId="10" fontId="3" fillId="0" borderId="21" xfId="0" applyNumberFormat="1" applyFont="1" applyFill="1" applyBorder="1" applyAlignment="1">
      <alignment horizontal="center" vertical="center"/>
    </xf>
    <xf numFmtId="10" fontId="3" fillId="0" borderId="5" xfId="0" applyNumberFormat="1" applyFont="1" applyFill="1" applyBorder="1" applyAlignment="1">
      <alignment horizontal="center" vertical="center"/>
    </xf>
    <xf numFmtId="10" fontId="0" fillId="0" borderId="21" xfId="0" applyNumberFormat="1" applyFill="1" applyBorder="1" applyAlignment="1">
      <alignment horizontal="center" vertical="center"/>
    </xf>
    <xf numFmtId="10" fontId="0" fillId="0" borderId="5" xfId="0" applyNumberFormat="1" applyFill="1" applyBorder="1" applyAlignment="1">
      <alignment horizontal="center" vertical="center"/>
    </xf>
    <xf numFmtId="10" fontId="3" fillId="0" borderId="5"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wrapText="1"/>
    </xf>
    <xf numFmtId="0" fontId="3" fillId="0" borderId="5" xfId="0" applyFont="1" applyFill="1" applyBorder="1" applyAlignment="1">
      <alignment vertical="center"/>
    </xf>
    <xf numFmtId="9" fontId="3" fillId="0" borderId="22" xfId="0" applyNumberFormat="1" applyFont="1" applyFill="1" applyBorder="1" applyAlignment="1">
      <alignment horizontal="justify" vertical="center" wrapText="1"/>
    </xf>
    <xf numFmtId="9" fontId="0" fillId="0" borderId="22" xfId="0" applyNumberFormat="1" applyFill="1" applyBorder="1" applyAlignment="1">
      <alignment horizontal="left" vertical="center" wrapText="1"/>
    </xf>
    <xf numFmtId="9" fontId="4" fillId="0" borderId="21"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9" xfId="0" applyFont="1" applyFill="1" applyBorder="1" applyAlignment="1">
      <alignment horizontal="left" vertical="center" wrapText="1"/>
    </xf>
    <xf numFmtId="167" fontId="3" fillId="0" borderId="5"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10" fontId="16" fillId="0" borderId="5" xfId="0" applyNumberFormat="1" applyFont="1" applyFill="1" applyBorder="1" applyAlignment="1">
      <alignment horizontal="center" vertical="center" wrapText="1"/>
    </xf>
    <xf numFmtId="0" fontId="0" fillId="0" borderId="22" xfId="0" applyFill="1" applyBorder="1" applyAlignment="1">
      <alignment vertical="center" wrapText="1"/>
    </xf>
    <xf numFmtId="171" fontId="22" fillId="0" borderId="5" xfId="0" applyNumberFormat="1" applyFont="1" applyFill="1" applyBorder="1" applyAlignment="1" applyProtection="1">
      <alignment horizontal="center" vertical="center" wrapText="1"/>
      <protection locked="0"/>
    </xf>
    <xf numFmtId="1" fontId="3" fillId="0" borderId="2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1" fontId="4" fillId="0" borderId="21" xfId="0" applyNumberFormat="1" applyFont="1" applyFill="1" applyBorder="1" applyAlignment="1">
      <alignment horizontal="center" vertical="center" wrapText="1"/>
    </xf>
    <xf numFmtId="0" fontId="11" fillId="0" borderId="22" xfId="0" applyFont="1" applyFill="1" applyBorder="1" applyAlignment="1">
      <alignment horizontal="justify" vertical="center" wrapText="1"/>
    </xf>
    <xf numFmtId="1" fontId="3" fillId="0" borderId="5" xfId="0" applyNumberFormat="1" applyFont="1" applyFill="1" applyBorder="1" applyAlignment="1">
      <alignment horizontal="center" vertical="center"/>
    </xf>
    <xf numFmtId="0" fontId="3" fillId="0" borderId="5" xfId="0" applyFont="1" applyFill="1" applyBorder="1" applyAlignment="1">
      <alignment horizontal="justify" vertical="center" wrapText="1"/>
    </xf>
    <xf numFmtId="0" fontId="0" fillId="0" borderId="22" xfId="0" applyFill="1" applyBorder="1" applyAlignment="1">
      <alignment horizontal="left" vertical="center" wrapText="1"/>
    </xf>
    <xf numFmtId="166" fontId="3" fillId="0" borderId="21" xfId="1" applyNumberFormat="1" applyFont="1" applyFill="1" applyBorder="1" applyAlignment="1">
      <alignment horizontal="center" vertical="center" wrapText="1"/>
    </xf>
    <xf numFmtId="166" fontId="3" fillId="0" borderId="5" xfId="1" applyNumberFormat="1" applyFont="1" applyFill="1" applyBorder="1" applyAlignment="1">
      <alignment horizontal="center" vertical="center" wrapText="1"/>
    </xf>
    <xf numFmtId="166" fontId="4" fillId="0" borderId="21" xfId="1" applyNumberFormat="1" applyFont="1" applyFill="1" applyBorder="1" applyAlignment="1">
      <alignment horizontal="center" vertical="center" wrapText="1"/>
    </xf>
    <xf numFmtId="0" fontId="0" fillId="0" borderId="22" xfId="0" applyFill="1" applyBorder="1" applyAlignment="1">
      <alignment horizontal="left" vertical="top" wrapText="1"/>
    </xf>
    <xf numFmtId="10" fontId="3" fillId="0" borderId="21"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4" fillId="0" borderId="21" xfId="1" applyNumberFormat="1" applyFont="1" applyFill="1" applyBorder="1" applyAlignment="1">
      <alignment horizontal="center" vertical="center" wrapText="1"/>
    </xf>
    <xf numFmtId="173" fontId="22" fillId="0" borderId="5" xfId="0" applyNumberFormat="1" applyFont="1" applyFill="1" applyBorder="1" applyAlignment="1" applyProtection="1">
      <alignment horizontal="center" vertical="center" wrapText="1"/>
      <protection locked="0"/>
    </xf>
    <xf numFmtId="166" fontId="3" fillId="0" borderId="21"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166" fontId="4" fillId="0" borderId="21"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0" fontId="3" fillId="0" borderId="28" xfId="0" applyFont="1" applyFill="1" applyBorder="1" applyAlignment="1">
      <alignment vertical="center" wrapText="1"/>
    </xf>
    <xf numFmtId="168" fontId="4"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xf>
    <xf numFmtId="168" fontId="3" fillId="0" borderId="5" xfId="0" applyNumberFormat="1" applyFont="1" applyFill="1" applyBorder="1" applyAlignment="1">
      <alignment horizontal="center" vertical="center" wrapText="1"/>
    </xf>
    <xf numFmtId="177" fontId="4" fillId="0" borderId="29" xfId="4" applyNumberFormat="1" applyFont="1" applyFill="1" applyBorder="1" applyAlignment="1">
      <alignment horizontal="center" vertical="center" wrapText="1"/>
    </xf>
    <xf numFmtId="168" fontId="4" fillId="0" borderId="29" xfId="0" applyNumberFormat="1" applyFont="1" applyFill="1" applyBorder="1" applyAlignment="1">
      <alignment horizontal="center" vertical="center" wrapText="1"/>
    </xf>
    <xf numFmtId="0" fontId="3" fillId="0" borderId="29" xfId="0" applyFont="1" applyFill="1" applyBorder="1" applyAlignment="1">
      <alignment vertical="center" wrapText="1"/>
    </xf>
    <xf numFmtId="9" fontId="3" fillId="0" borderId="21" xfId="1" applyFont="1" applyFill="1" applyBorder="1" applyAlignment="1">
      <alignment horizontal="center" vertical="center" wrapText="1"/>
    </xf>
    <xf numFmtId="0" fontId="4" fillId="0" borderId="22" xfId="0" applyFont="1" applyFill="1" applyBorder="1" applyAlignment="1">
      <alignment horizontal="justify" vertical="center" wrapText="1"/>
    </xf>
    <xf numFmtId="3" fontId="3" fillId="0" borderId="5" xfId="0" applyNumberFormat="1" applyFont="1" applyFill="1" applyBorder="1" applyAlignment="1">
      <alignment horizontal="center" vertical="center"/>
    </xf>
    <xf numFmtId="0" fontId="13" fillId="0" borderId="22" xfId="0" applyFont="1" applyFill="1" applyBorder="1" applyAlignment="1">
      <alignment horizontal="justify" vertical="center" wrapText="1"/>
    </xf>
    <xf numFmtId="1" fontId="3" fillId="0" borderId="5" xfId="0" applyNumberFormat="1" applyFont="1" applyFill="1" applyBorder="1" applyAlignment="1">
      <alignment horizontal="center" vertical="center" wrapText="1"/>
    </xf>
    <xf numFmtId="0" fontId="3" fillId="0" borderId="29" xfId="0" applyFont="1" applyFill="1" applyBorder="1" applyAlignment="1">
      <alignment horizontal="justify" vertical="center" wrapText="1"/>
    </xf>
    <xf numFmtId="2" fontId="3" fillId="0" borderId="21" xfId="0" applyNumberFormat="1" applyFont="1" applyFill="1" applyBorder="1" applyAlignment="1">
      <alignment horizontal="center" vertical="center" wrapText="1"/>
    </xf>
    <xf numFmtId="9" fontId="3" fillId="0" borderId="5" xfId="0" applyNumberFormat="1" applyFont="1" applyFill="1" applyBorder="1" applyAlignment="1">
      <alignment horizontal="justify" vertical="center" wrapText="1"/>
    </xf>
    <xf numFmtId="0" fontId="0" fillId="0" borderId="22" xfId="0" applyFill="1" applyBorder="1" applyAlignment="1">
      <alignment vertical="top" wrapText="1"/>
    </xf>
    <xf numFmtId="2" fontId="3" fillId="0" borderId="5" xfId="0" applyNumberFormat="1" applyFont="1" applyFill="1" applyBorder="1" applyAlignment="1">
      <alignment horizontal="center" vertical="center"/>
    </xf>
    <xf numFmtId="167" fontId="3" fillId="0" borderId="21" xfId="1"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22" xfId="0" applyFill="1" applyBorder="1" applyAlignment="1">
      <alignment horizontal="center" vertical="center" wrapText="1"/>
    </xf>
    <xf numFmtId="171" fontId="4" fillId="0" borderId="21" xfId="3"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21" fillId="0" borderId="22" xfId="0" applyFont="1" applyFill="1" applyBorder="1" applyAlignment="1">
      <alignment horizontal="justify" vertical="center" wrapText="1"/>
    </xf>
    <xf numFmtId="9" fontId="3" fillId="0" borderId="22" xfId="0" applyNumberFormat="1" applyFont="1" applyFill="1" applyBorder="1" applyAlignment="1">
      <alignment vertical="center" wrapText="1"/>
    </xf>
    <xf numFmtId="9" fontId="11" fillId="0" borderId="22" xfId="0" applyNumberFormat="1" applyFont="1" applyFill="1" applyBorder="1" applyAlignment="1">
      <alignment vertical="center" wrapText="1"/>
    </xf>
    <xf numFmtId="9" fontId="3" fillId="0" borderId="29" xfId="0" applyNumberFormat="1" applyFont="1" applyFill="1" applyBorder="1" applyAlignment="1">
      <alignment vertical="center" wrapText="1"/>
    </xf>
    <xf numFmtId="0" fontId="3" fillId="0" borderId="21" xfId="0" applyFont="1" applyFill="1" applyBorder="1" applyAlignment="1">
      <alignment vertical="center" wrapText="1"/>
    </xf>
    <xf numFmtId="165" fontId="3" fillId="0" borderId="5" xfId="0" applyNumberFormat="1" applyFont="1" applyFill="1" applyBorder="1" applyAlignment="1">
      <alignment vertical="center" wrapText="1"/>
    </xf>
    <xf numFmtId="1" fontId="3" fillId="0" borderId="22" xfId="0" applyNumberFormat="1" applyFont="1" applyFill="1" applyBorder="1" applyAlignment="1">
      <alignment horizontal="center" vertical="center" wrapText="1"/>
    </xf>
    <xf numFmtId="1" fontId="0" fillId="0" borderId="22" xfId="0" applyNumberFormat="1" applyFill="1" applyBorder="1" applyAlignment="1">
      <alignment horizontal="left" vertical="center" wrapText="1"/>
    </xf>
    <xf numFmtId="9" fontId="0" fillId="0" borderId="21" xfId="0" applyNumberFormat="1" applyFill="1" applyBorder="1" applyAlignment="1">
      <alignment vertical="center"/>
    </xf>
    <xf numFmtId="9" fontId="0" fillId="0" borderId="5" xfId="0" applyNumberFormat="1" applyFill="1" applyBorder="1" applyAlignment="1">
      <alignment vertical="center"/>
    </xf>
    <xf numFmtId="1" fontId="0" fillId="0" borderId="22" xfId="0" applyNumberFormat="1" applyFill="1" applyBorder="1" applyAlignment="1">
      <alignment vertical="center" wrapText="1"/>
    </xf>
    <xf numFmtId="176" fontId="3" fillId="0" borderId="5"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28"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11" fillId="0" borderId="5" xfId="0" applyFont="1" applyFill="1" applyBorder="1" applyAlignment="1">
      <alignment horizontal="justify" vertical="center" wrapText="1"/>
    </xf>
    <xf numFmtId="165" fontId="4" fillId="0" borderId="4"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4" xfId="0" applyFont="1" applyFill="1" applyBorder="1" applyAlignment="1">
      <alignment horizontal="justify" vertical="center" wrapText="1"/>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5" fontId="12" fillId="0" borderId="5" xfId="0" applyNumberFormat="1" applyFont="1" applyBorder="1" applyAlignment="1">
      <alignment horizontal="center" vertical="center" wrapText="1"/>
    </xf>
    <xf numFmtId="165" fontId="4" fillId="3" borderId="0" xfId="0" applyNumberFormat="1" applyFont="1" applyFill="1" applyAlignment="1">
      <alignment horizontal="center" vertical="center" wrapText="1"/>
    </xf>
    <xf numFmtId="165" fontId="4" fillId="0" borderId="5" xfId="0" applyNumberFormat="1" applyFont="1" applyBorder="1" applyAlignment="1">
      <alignment horizontal="center" vertical="center" wrapText="1"/>
    </xf>
    <xf numFmtId="165" fontId="0" fillId="0" borderId="0" xfId="0" applyNumberFormat="1"/>
    <xf numFmtId="166" fontId="4" fillId="3" borderId="3" xfId="1" applyNumberFormat="1" applyFont="1" applyFill="1" applyBorder="1" applyAlignment="1">
      <alignment horizontal="center" vertical="center" wrapText="1"/>
    </xf>
    <xf numFmtId="0" fontId="11" fillId="0" borderId="29" xfId="0" applyFont="1" applyFill="1" applyBorder="1" applyAlignment="1">
      <alignment horizontal="justify" vertical="center" wrapText="1"/>
    </xf>
    <xf numFmtId="0" fontId="4" fillId="0" borderId="2" xfId="0" applyFont="1" applyFill="1" applyBorder="1" applyAlignment="1">
      <alignment horizontal="justify" vertical="center" wrapText="1"/>
    </xf>
    <xf numFmtId="9" fontId="4" fillId="0" borderId="5" xfId="0" applyNumberFormat="1" applyFont="1" applyFill="1" applyBorder="1" applyAlignment="1">
      <alignment horizontal="justify" vertical="center" wrapText="1"/>
    </xf>
    <xf numFmtId="9" fontId="4" fillId="0" borderId="29" xfId="0" applyNumberFormat="1" applyFont="1" applyFill="1" applyBorder="1" applyAlignment="1">
      <alignment horizontal="justify" vertical="center" wrapText="1"/>
    </xf>
    <xf numFmtId="0" fontId="12" fillId="0" borderId="0" xfId="0" applyFont="1" applyAlignment="1">
      <alignment horizontal="justify"/>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2"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4" fillId="0" borderId="5" xfId="0" applyFont="1" applyBorder="1" applyAlignment="1">
      <alignment horizontal="center" vertical="center" wrapText="1"/>
    </xf>
    <xf numFmtId="9" fontId="4" fillId="4" borderId="5" xfId="1" applyFont="1" applyFill="1" applyBorder="1" applyAlignment="1">
      <alignment horizontal="center" vertical="center" wrapText="1"/>
    </xf>
    <xf numFmtId="42" fontId="4" fillId="0" borderId="28" xfId="0" applyNumberFormat="1" applyFont="1" applyFill="1" applyBorder="1" applyAlignment="1">
      <alignment horizontal="center" vertical="center" wrapText="1"/>
    </xf>
    <xf numFmtId="42" fontId="4" fillId="0" borderId="4" xfId="0" applyNumberFormat="1" applyFont="1" applyFill="1" applyBorder="1" applyAlignment="1">
      <alignment horizontal="center" vertical="center" wrapText="1"/>
    </xf>
    <xf numFmtId="42" fontId="4" fillId="0" borderId="29" xfId="0" applyNumberFormat="1" applyFont="1" applyFill="1" applyBorder="1" applyAlignment="1">
      <alignment horizontal="center" vertical="center" wrapText="1"/>
    </xf>
    <xf numFmtId="165" fontId="4" fillId="0" borderId="28"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9" fontId="4" fillId="4" borderId="29" xfId="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8" xfId="0" applyFont="1" applyFill="1" applyBorder="1" applyAlignment="1">
      <alignment horizontal="justify" vertical="center" wrapText="1"/>
    </xf>
    <xf numFmtId="0" fontId="4" fillId="0" borderId="4" xfId="0" applyFont="1" applyFill="1" applyBorder="1" applyAlignment="1">
      <alignment horizontal="justify" vertical="center" wrapText="1"/>
    </xf>
    <xf numFmtId="1" fontId="3" fillId="0" borderId="28" xfId="0" applyNumberFormat="1" applyFont="1" applyBorder="1" applyAlignment="1">
      <alignment horizontal="center" vertical="center"/>
    </xf>
    <xf numFmtId="1" fontId="3" fillId="0" borderId="29" xfId="0" applyNumberFormat="1" applyFont="1" applyBorder="1" applyAlignment="1">
      <alignment horizontal="center" vertical="center"/>
    </xf>
    <xf numFmtId="9" fontId="4" fillId="5" borderId="5" xfId="1" applyFont="1" applyFill="1" applyBorder="1" applyAlignment="1">
      <alignment horizontal="center" vertical="center" wrapText="1"/>
    </xf>
    <xf numFmtId="170" fontId="4" fillId="3" borderId="28" xfId="1" applyNumberFormat="1" applyFont="1" applyFill="1" applyBorder="1" applyAlignment="1">
      <alignment horizontal="center" vertical="center" wrapText="1"/>
    </xf>
    <xf numFmtId="170" fontId="4" fillId="3" borderId="29" xfId="1" applyNumberFormat="1" applyFont="1" applyFill="1" applyBorder="1" applyAlignment="1">
      <alignment horizontal="center" vertical="center" wrapText="1"/>
    </xf>
    <xf numFmtId="165" fontId="4" fillId="0" borderId="28" xfId="0" applyNumberFormat="1"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9" fontId="4" fillId="5" borderId="28" xfId="1" applyFont="1" applyFill="1" applyBorder="1" applyAlignment="1">
      <alignment horizontal="center" vertical="center" wrapText="1"/>
    </xf>
    <xf numFmtId="9" fontId="4" fillId="5" borderId="6" xfId="1" applyFont="1" applyFill="1" applyBorder="1" applyAlignment="1">
      <alignment horizontal="center" vertical="center" wrapText="1"/>
    </xf>
    <xf numFmtId="0" fontId="11" fillId="0" borderId="5" xfId="0" applyFont="1" applyFill="1" applyBorder="1" applyAlignment="1">
      <alignment horizontal="justify" vertical="center" wrapText="1"/>
    </xf>
    <xf numFmtId="0" fontId="4" fillId="0" borderId="5" xfId="0" applyFont="1" applyFill="1" applyBorder="1" applyAlignment="1">
      <alignment horizontal="justify" vertical="center" wrapText="1"/>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5" xfId="1" applyNumberFormat="1" applyFont="1" applyFill="1" applyBorder="1" applyAlignment="1">
      <alignment horizontal="center" vertical="center" wrapText="1"/>
    </xf>
    <xf numFmtId="9" fontId="4" fillId="5" borderId="29" xfId="1" applyFont="1" applyFill="1" applyBorder="1" applyAlignment="1">
      <alignment horizontal="center" vertical="center" wrapText="1"/>
    </xf>
    <xf numFmtId="1" fontId="3" fillId="0" borderId="26" xfId="0" applyNumberFormat="1" applyFont="1" applyBorder="1" applyAlignment="1">
      <alignment horizontal="center" vertical="center"/>
    </xf>
    <xf numFmtId="1" fontId="3" fillId="0" borderId="27" xfId="0" applyNumberFormat="1" applyFont="1" applyBorder="1" applyAlignment="1">
      <alignment horizontal="center" vertical="center"/>
    </xf>
    <xf numFmtId="165" fontId="4" fillId="3" borderId="5" xfId="0" applyNumberFormat="1" applyFont="1" applyFill="1" applyBorder="1" applyAlignment="1">
      <alignment horizontal="center" vertical="center" wrapText="1"/>
    </xf>
    <xf numFmtId="0" fontId="3" fillId="0" borderId="29" xfId="0" applyFont="1" applyBorder="1" applyAlignment="1">
      <alignment horizontal="center" vertical="center" wrapText="1"/>
    </xf>
    <xf numFmtId="9" fontId="3" fillId="0" borderId="28" xfId="0" applyNumberFormat="1"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9" fontId="4" fillId="0" borderId="5" xfId="0" applyNumberFormat="1" applyFont="1" applyBorder="1" applyAlignment="1">
      <alignment horizontal="center" vertical="center" wrapText="1"/>
    </xf>
    <xf numFmtId="9" fontId="4" fillId="5" borderId="4" xfId="1" applyFont="1" applyFill="1" applyBorder="1" applyAlignment="1">
      <alignment horizontal="center" vertical="center" wrapText="1"/>
    </xf>
    <xf numFmtId="0" fontId="3" fillId="0" borderId="2" xfId="0" applyFont="1" applyBorder="1" applyAlignment="1">
      <alignment horizontal="center" vertical="center" wrapText="1"/>
    </xf>
    <xf numFmtId="0" fontId="4" fillId="3" borderId="4" xfId="0" applyFont="1" applyFill="1" applyBorder="1" applyAlignment="1">
      <alignment horizontal="justify" vertical="center" wrapText="1"/>
    </xf>
    <xf numFmtId="0" fontId="4" fillId="3" borderId="29" xfId="0" applyFont="1" applyFill="1" applyBorder="1" applyAlignment="1">
      <alignment horizontal="justify" vertical="center" wrapText="1"/>
    </xf>
    <xf numFmtId="9" fontId="3" fillId="0" borderId="28" xfId="0" applyNumberFormat="1" applyFont="1" applyFill="1" applyBorder="1" applyAlignment="1">
      <alignment horizontal="center" vertical="center"/>
    </xf>
    <xf numFmtId="9" fontId="3" fillId="0" borderId="29" xfId="0" applyNumberFormat="1" applyFont="1" applyFill="1" applyBorder="1" applyAlignment="1">
      <alignment horizontal="center" vertical="center"/>
    </xf>
    <xf numFmtId="9" fontId="4" fillId="0" borderId="5" xfId="1" applyFont="1" applyFill="1" applyBorder="1" applyAlignment="1">
      <alignment horizontal="center" vertical="center" wrapText="1"/>
    </xf>
    <xf numFmtId="9" fontId="4" fillId="6" borderId="5" xfId="1" applyFont="1" applyFill="1" applyBorder="1" applyAlignment="1">
      <alignment horizontal="center" vertical="center" wrapText="1"/>
    </xf>
    <xf numFmtId="9" fontId="4" fillId="6" borderId="28" xfId="1" applyFont="1" applyFill="1" applyBorder="1" applyAlignment="1">
      <alignment horizontal="center" vertical="center" wrapText="1"/>
    </xf>
    <xf numFmtId="9" fontId="4" fillId="6" borderId="29" xfId="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0" fontId="4" fillId="0" borderId="29" xfId="0" applyFont="1" applyFill="1" applyBorder="1" applyAlignment="1">
      <alignment horizontal="justify"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10" fontId="4" fillId="0" borderId="5" xfId="0" applyNumberFormat="1" applyFont="1" applyBorder="1" applyAlignment="1">
      <alignment horizontal="center" vertical="center" wrapText="1"/>
    </xf>
    <xf numFmtId="165" fontId="11" fillId="3" borderId="29"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9" fontId="4" fillId="8" borderId="5" xfId="1" applyFont="1" applyFill="1" applyBorder="1" applyAlignment="1">
      <alignment horizontal="center" vertical="center" wrapText="1"/>
    </xf>
    <xf numFmtId="165" fontId="4" fillId="3" borderId="5" xfId="4"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9" fontId="4" fillId="8" borderId="29" xfId="1" applyFont="1" applyFill="1" applyBorder="1" applyAlignment="1">
      <alignment horizontal="center" vertical="center" wrapText="1"/>
    </xf>
    <xf numFmtId="9" fontId="4" fillId="7" borderId="28" xfId="1" applyFont="1" applyFill="1" applyBorder="1" applyAlignment="1">
      <alignment horizontal="center" vertical="center" wrapText="1"/>
    </xf>
    <xf numFmtId="9" fontId="4" fillId="7" borderId="29" xfId="1" applyFont="1" applyFill="1" applyBorder="1" applyAlignment="1">
      <alignment horizontal="center" vertical="center" wrapText="1"/>
    </xf>
    <xf numFmtId="0" fontId="11" fillId="0" borderId="28" xfId="0" applyFont="1" applyFill="1" applyBorder="1" applyAlignment="1">
      <alignment horizontal="justify" vertical="center" wrapText="1"/>
    </xf>
    <xf numFmtId="0" fontId="4" fillId="3" borderId="28" xfId="0" applyFont="1" applyFill="1" applyBorder="1" applyAlignment="1">
      <alignment horizontal="justify" vertical="center" wrapText="1"/>
    </xf>
    <xf numFmtId="9"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9" fontId="4" fillId="3" borderId="5" xfId="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44" fontId="4" fillId="3" borderId="28" xfId="4" applyFont="1" applyFill="1" applyBorder="1" applyAlignment="1">
      <alignment horizontal="center" vertical="center" wrapText="1"/>
    </xf>
    <xf numFmtId="44" fontId="4" fillId="3" borderId="29" xfId="4" applyFont="1" applyFill="1" applyBorder="1" applyAlignment="1">
      <alignment horizontal="center" vertical="center" wrapText="1"/>
    </xf>
    <xf numFmtId="9" fontId="4" fillId="7" borderId="5" xfId="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70" fontId="4" fillId="3" borderId="5" xfId="4" applyNumberFormat="1" applyFont="1" applyFill="1" applyBorder="1" applyAlignment="1">
      <alignment horizontal="center" vertical="center" wrapText="1"/>
    </xf>
    <xf numFmtId="9" fontId="4" fillId="0" borderId="28" xfId="0" applyNumberFormat="1" applyFont="1" applyFill="1" applyBorder="1" applyAlignment="1">
      <alignment horizontal="justify" vertical="center" wrapText="1"/>
    </xf>
    <xf numFmtId="9" fontId="4" fillId="0" borderId="4" xfId="0" applyNumberFormat="1" applyFont="1" applyFill="1" applyBorder="1" applyAlignment="1">
      <alignment horizontal="justify" vertical="center" wrapText="1"/>
    </xf>
    <xf numFmtId="9" fontId="4" fillId="0" borderId="29" xfId="0" applyNumberFormat="1" applyFont="1" applyFill="1" applyBorder="1" applyAlignment="1">
      <alignment horizontal="justify" vertical="center" wrapText="1"/>
    </xf>
    <xf numFmtId="10" fontId="4" fillId="3" borderId="28"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4" fillId="11" borderId="28"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1" borderId="29" xfId="1" applyFont="1" applyFill="1" applyBorder="1" applyAlignment="1">
      <alignment horizontal="center" vertical="center" wrapText="1"/>
    </xf>
    <xf numFmtId="9" fontId="3" fillId="0" borderId="26" xfId="0" applyNumberFormat="1" applyFont="1" applyFill="1" applyBorder="1" applyAlignment="1">
      <alignment horizontal="center" vertical="center"/>
    </xf>
    <xf numFmtId="9" fontId="3" fillId="0" borderId="27" xfId="0" applyNumberFormat="1" applyFont="1" applyFill="1" applyBorder="1" applyAlignment="1">
      <alignment horizontal="center" vertical="center"/>
    </xf>
    <xf numFmtId="10" fontId="4" fillId="0" borderId="28" xfId="0" applyNumberFormat="1" applyFont="1" applyFill="1" applyBorder="1" applyAlignment="1">
      <alignment horizontal="justify" vertical="center" wrapText="1"/>
    </xf>
    <xf numFmtId="10" fontId="4" fillId="0" borderId="4" xfId="0" applyNumberFormat="1" applyFont="1" applyFill="1" applyBorder="1" applyAlignment="1">
      <alignment horizontal="justify" vertical="center" wrapText="1"/>
    </xf>
    <xf numFmtId="10" fontId="4" fillId="0" borderId="29" xfId="0" applyNumberFormat="1" applyFont="1" applyFill="1" applyBorder="1" applyAlignment="1">
      <alignment horizontal="justify" vertical="center" wrapText="1"/>
    </xf>
    <xf numFmtId="0" fontId="16" fillId="2" borderId="19" xfId="0" applyFont="1" applyFill="1" applyBorder="1" applyAlignment="1">
      <alignment horizontal="center"/>
    </xf>
    <xf numFmtId="0" fontId="16" fillId="2" borderId="17" xfId="0" applyFont="1" applyFill="1" applyBorder="1" applyAlignment="1">
      <alignment horizontal="center"/>
    </xf>
    <xf numFmtId="0" fontId="16" fillId="2" borderId="11" xfId="0" applyFont="1" applyFill="1" applyBorder="1" applyAlignment="1">
      <alignment horizontal="center"/>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0" fontId="11" fillId="2" borderId="30" xfId="0"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6"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3" borderId="6" xfId="0" applyFont="1" applyFill="1" applyBorder="1" applyAlignment="1">
      <alignment horizontal="justify" vertical="center" wrapText="1"/>
    </xf>
    <xf numFmtId="9" fontId="4" fillId="4" borderId="28" xfId="1" applyFont="1" applyFill="1" applyBorder="1" applyAlignment="1">
      <alignment horizontal="center" vertical="center"/>
    </xf>
    <xf numFmtId="9" fontId="4" fillId="4" borderId="29" xfId="1" applyFont="1" applyFill="1" applyBorder="1" applyAlignment="1">
      <alignment horizontal="center" vertical="center"/>
    </xf>
    <xf numFmtId="0" fontId="4" fillId="0" borderId="21"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166" fontId="3" fillId="0" borderId="28" xfId="1" applyNumberFormat="1" applyFont="1" applyFill="1" applyBorder="1" applyAlignment="1">
      <alignment horizontal="center" vertical="center"/>
    </xf>
    <xf numFmtId="166" fontId="3" fillId="0" borderId="29" xfId="1" applyNumberFormat="1" applyFont="1" applyFill="1" applyBorder="1" applyAlignment="1">
      <alignment horizontal="center" vertical="center"/>
    </xf>
    <xf numFmtId="10" fontId="4" fillId="0" borderId="28" xfId="0" applyNumberFormat="1" applyFont="1" applyFill="1" applyBorder="1" applyAlignment="1">
      <alignment horizontal="center" vertical="center" wrapText="1"/>
    </xf>
    <xf numFmtId="10" fontId="4" fillId="0" borderId="29"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9" fontId="4" fillId="0"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5"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11" fillId="2" borderId="19"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16" xfId="0" applyFont="1" applyBorder="1" applyAlignment="1">
      <alignment horizontal="center" vertical="center" wrapText="1"/>
    </xf>
    <xf numFmtId="165" fontId="4" fillId="0" borderId="5"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42" fontId="12" fillId="0" borderId="5"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17" fillId="0" borderId="22" xfId="0" applyFont="1" applyFill="1" applyBorder="1" applyAlignment="1">
      <alignment horizontal="justify" vertical="center" wrapText="1"/>
    </xf>
    <xf numFmtId="0" fontId="17" fillId="0"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22" xfId="0" applyFont="1" applyBorder="1" applyAlignment="1">
      <alignment horizontal="left" vertical="center" wrapText="1"/>
    </xf>
    <xf numFmtId="0" fontId="4" fillId="3" borderId="22"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7" fillId="0" borderId="22" xfId="0" applyFont="1" applyBorder="1" applyAlignment="1">
      <alignment horizontal="center" vertical="center" wrapText="1"/>
    </xf>
    <xf numFmtId="1" fontId="4" fillId="0" borderId="21" xfId="0" applyNumberFormat="1" applyFont="1" applyBorder="1" applyAlignment="1">
      <alignment horizontal="center" vertical="center" wrapText="1"/>
    </xf>
    <xf numFmtId="170" fontId="4" fillId="3" borderId="5" xfId="1" applyNumberFormat="1" applyFont="1" applyFill="1" applyBorder="1" applyAlignment="1">
      <alignment horizontal="center" vertical="center" wrapText="1"/>
    </xf>
    <xf numFmtId="6" fontId="4" fillId="3" borderId="5" xfId="1" applyNumberFormat="1" applyFont="1" applyFill="1" applyBorder="1" applyAlignment="1">
      <alignment horizontal="center" vertical="center" wrapText="1"/>
    </xf>
    <xf numFmtId="0" fontId="4" fillId="0" borderId="22"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5" xfId="0" applyBorder="1" applyAlignment="1">
      <alignment horizontal="center" vertical="center" wrapText="1"/>
    </xf>
    <xf numFmtId="164" fontId="17"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9" fontId="4" fillId="0" borderId="21" xfId="0" applyNumberFormat="1" applyFont="1" applyBorder="1" applyAlignment="1">
      <alignment horizontal="center" vertical="center" wrapText="1"/>
    </xf>
    <xf numFmtId="1" fontId="4" fillId="3" borderId="21" xfId="3" applyNumberFormat="1" applyFont="1" applyFill="1" applyBorder="1" applyAlignment="1">
      <alignment horizontal="center" vertical="center" wrapText="1"/>
    </xf>
    <xf numFmtId="1" fontId="4" fillId="0" borderId="21" xfId="3" applyNumberFormat="1" applyFont="1" applyFill="1" applyBorder="1" applyAlignment="1">
      <alignment horizontal="center" vertical="center" wrapText="1"/>
    </xf>
    <xf numFmtId="0" fontId="4" fillId="0" borderId="5" xfId="2" applyFont="1" applyFill="1" applyBorder="1" applyAlignment="1">
      <alignment horizontal="center" vertical="center" wrapText="1"/>
    </xf>
    <xf numFmtId="0" fontId="3" fillId="0" borderId="21" xfId="0" applyFont="1" applyBorder="1" applyAlignment="1">
      <alignment horizontal="center" vertical="center" wrapText="1"/>
    </xf>
    <xf numFmtId="9" fontId="3" fillId="0" borderId="21" xfId="0" applyNumberFormat="1" applyFont="1" applyFill="1" applyBorder="1" applyAlignment="1">
      <alignment horizontal="center" vertical="center" wrapText="1"/>
    </xf>
    <xf numFmtId="169" fontId="4" fillId="0" borderId="5"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9" fontId="4" fillId="0" borderId="22" xfId="0" applyNumberFormat="1" applyFont="1" applyBorder="1" applyAlignment="1">
      <alignment horizontal="center" vertical="center" wrapText="1"/>
    </xf>
    <xf numFmtId="9" fontId="17" fillId="0" borderId="22" xfId="0" applyNumberFormat="1" applyFont="1" applyFill="1" applyBorder="1" applyAlignment="1">
      <alignment horizontal="justify" vertical="center" wrapText="1"/>
    </xf>
    <xf numFmtId="0" fontId="17" fillId="0" borderId="22" xfId="0" applyFont="1" applyBorder="1" applyAlignment="1">
      <alignment horizontal="justify"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6" fillId="16" borderId="11" xfId="0" applyFont="1" applyFill="1" applyBorder="1" applyAlignment="1">
      <alignment horizontal="center"/>
    </xf>
    <xf numFmtId="9" fontId="3" fillId="0" borderId="22"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xf>
    <xf numFmtId="9" fontId="3" fillId="0" borderId="5"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9" fontId="3" fillId="0" borderId="21" xfId="0" applyNumberFormat="1" applyFont="1" applyFill="1" applyBorder="1" applyAlignment="1">
      <alignment horizontal="center" vertical="center"/>
    </xf>
    <xf numFmtId="0" fontId="3" fillId="0" borderId="21" xfId="0" applyFont="1" applyFill="1" applyBorder="1" applyAlignment="1">
      <alignment horizontal="center" vertical="center"/>
    </xf>
    <xf numFmtId="10" fontId="3" fillId="0" borderId="21" xfId="0" applyNumberFormat="1" applyFont="1" applyFill="1" applyBorder="1" applyAlignment="1">
      <alignment horizontal="center" vertical="center"/>
    </xf>
    <xf numFmtId="10" fontId="3" fillId="0" borderId="5" xfId="0" applyNumberFormat="1"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5" xfId="0" applyFont="1" applyFill="1" applyBorder="1" applyAlignment="1">
      <alignment horizontal="center" vertical="center" wrapText="1"/>
    </xf>
    <xf numFmtId="1" fontId="3" fillId="0" borderId="21"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0" fontId="3" fillId="0" borderId="5" xfId="0" applyNumberFormat="1" applyFont="1" applyFill="1" applyBorder="1" applyAlignment="1">
      <alignment horizontal="center" vertical="center" wrapText="1"/>
    </xf>
    <xf numFmtId="9" fontId="3" fillId="0" borderId="21"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9" fontId="3" fillId="0" borderId="5" xfId="0" applyNumberFormat="1" applyFont="1" applyBorder="1" applyAlignment="1">
      <alignment horizontal="center" vertical="center"/>
    </xf>
    <xf numFmtId="165" fontId="3" fillId="0" borderId="5" xfId="0" applyNumberFormat="1"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xf>
    <xf numFmtId="0" fontId="3" fillId="0" borderId="21" xfId="0" applyFont="1" applyBorder="1" applyAlignment="1">
      <alignment horizontal="center" vertical="center"/>
    </xf>
    <xf numFmtId="9" fontId="0" fillId="0" borderId="21" xfId="0" applyNumberFormat="1" applyFill="1" applyBorder="1" applyAlignment="1">
      <alignment horizontal="center" vertical="center"/>
    </xf>
    <xf numFmtId="0" fontId="0" fillId="0" borderId="21" xfId="0" applyFill="1" applyBorder="1" applyAlignment="1">
      <alignment horizontal="center" vertical="center"/>
    </xf>
    <xf numFmtId="9" fontId="0" fillId="0" borderId="5" xfId="0" applyNumberFormat="1" applyFill="1" applyBorder="1" applyAlignment="1">
      <alignment horizontal="center" vertical="center"/>
    </xf>
    <xf numFmtId="0" fontId="0" fillId="0" borderId="5" xfId="0" applyFill="1" applyBorder="1" applyAlignment="1">
      <alignment horizontal="center" vertical="center"/>
    </xf>
    <xf numFmtId="3" fontId="0" fillId="0" borderId="5" xfId="0" applyNumberFormat="1" applyFill="1" applyBorder="1" applyAlignment="1">
      <alignment horizontal="center" vertical="center" wrapText="1"/>
    </xf>
    <xf numFmtId="175" fontId="0" fillId="0" borderId="5" xfId="4" applyNumberFormat="1" applyFont="1" applyFill="1" applyBorder="1" applyAlignment="1">
      <alignment horizontal="center" vertical="center" wrapText="1"/>
    </xf>
    <xf numFmtId="175" fontId="0" fillId="0" borderId="5" xfId="4" applyNumberFormat="1" applyFont="1" applyFill="1" applyBorder="1" applyAlignment="1">
      <alignment horizontal="center" vertical="center"/>
    </xf>
    <xf numFmtId="9" fontId="3" fillId="0" borderId="22" xfId="0" applyNumberFormat="1" applyFont="1" applyFill="1" applyBorder="1" applyAlignment="1">
      <alignment horizontal="left" vertical="center" wrapText="1"/>
    </xf>
    <xf numFmtId="3" fontId="22" fillId="0" borderId="5" xfId="0" applyNumberFormat="1" applyFont="1" applyFill="1" applyBorder="1" applyAlignment="1">
      <alignment horizontal="center" vertical="center" wrapText="1"/>
    </xf>
    <xf numFmtId="10" fontId="0" fillId="0" borderId="22" xfId="0" applyNumberFormat="1" applyFill="1" applyBorder="1" applyAlignment="1">
      <alignment horizontal="center" vertical="center" wrapText="1"/>
    </xf>
    <xf numFmtId="0" fontId="29" fillId="0" borderId="22" xfId="0" applyFont="1" applyFill="1" applyBorder="1" applyAlignment="1">
      <alignment horizontal="center" vertical="top" wrapText="1"/>
    </xf>
    <xf numFmtId="0" fontId="3" fillId="0" borderId="22" xfId="0" applyFont="1" applyFill="1" applyBorder="1" applyAlignment="1">
      <alignment horizontal="left" vertical="center" wrapText="1"/>
    </xf>
    <xf numFmtId="0" fontId="3" fillId="0" borderId="21" xfId="3"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9" fontId="3" fillId="0" borderId="5" xfId="1" applyFont="1" applyFill="1" applyBorder="1" applyAlignment="1">
      <alignment horizontal="center" vertical="center" wrapText="1"/>
    </xf>
    <xf numFmtId="9" fontId="4" fillId="0" borderId="2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10" fontId="3" fillId="0" borderId="21" xfId="1" applyNumberFormat="1" applyFont="1" applyFill="1" applyBorder="1" applyAlignment="1">
      <alignment horizontal="center" vertical="center" wrapText="1"/>
    </xf>
    <xf numFmtId="10" fontId="4" fillId="0" borderId="21" xfId="1" applyNumberFormat="1" applyFont="1" applyFill="1" applyBorder="1" applyAlignment="1">
      <alignment horizontal="center" vertical="center" wrapText="1"/>
    </xf>
    <xf numFmtId="9" fontId="4" fillId="0" borderId="22" xfId="0" applyNumberFormat="1" applyFont="1" applyFill="1" applyBorder="1" applyAlignment="1">
      <alignment horizontal="left" vertical="center" wrapText="1"/>
    </xf>
    <xf numFmtId="10" fontId="3" fillId="0" borderId="21" xfId="0" applyNumberFormat="1" applyFont="1" applyFill="1" applyBorder="1" applyAlignment="1">
      <alignment horizontal="center" vertical="center" wrapText="1"/>
    </xf>
    <xf numFmtId="169" fontId="3" fillId="0" borderId="5" xfId="0" applyNumberFormat="1" applyFont="1" applyFill="1" applyBorder="1" applyAlignment="1">
      <alignment horizontal="center" vertical="center" wrapText="1"/>
    </xf>
    <xf numFmtId="10" fontId="2" fillId="0" borderId="22" xfId="0" applyNumberFormat="1" applyFont="1" applyFill="1" applyBorder="1" applyAlignment="1">
      <alignment horizontal="left" vertical="center" wrapText="1"/>
    </xf>
    <xf numFmtId="10" fontId="3" fillId="0" borderId="22" xfId="0" applyNumberFormat="1" applyFont="1" applyFill="1" applyBorder="1" applyAlignment="1">
      <alignment horizontal="left" vertical="center" wrapText="1"/>
    </xf>
    <xf numFmtId="10" fontId="4" fillId="0" borderId="21" xfId="0" applyNumberFormat="1" applyFont="1" applyFill="1" applyBorder="1" applyAlignment="1">
      <alignment horizontal="center" vertical="center" wrapText="1"/>
    </xf>
    <xf numFmtId="10" fontId="11" fillId="0" borderId="22" xfId="0" applyNumberFormat="1" applyFont="1" applyFill="1" applyBorder="1" applyAlignment="1">
      <alignment horizontal="left" vertical="center" wrapText="1"/>
    </xf>
    <xf numFmtId="10" fontId="4" fillId="0" borderId="5" xfId="0" applyNumberFormat="1" applyFont="1" applyFill="1" applyBorder="1" applyAlignment="1">
      <alignment horizontal="center" vertical="center" wrapText="1"/>
    </xf>
    <xf numFmtId="171" fontId="4" fillId="0" borderId="21" xfId="3" applyNumberFormat="1" applyFont="1" applyFill="1" applyBorder="1" applyAlignment="1">
      <alignment vertical="center" wrapText="1"/>
    </xf>
    <xf numFmtId="0" fontId="2" fillId="0" borderId="22" xfId="0" applyFont="1" applyFill="1" applyBorder="1" applyAlignment="1">
      <alignment horizontal="left" vertical="center" wrapText="1"/>
    </xf>
    <xf numFmtId="10" fontId="3" fillId="0" borderId="5" xfId="1" applyNumberFormat="1" applyFont="1" applyFill="1" applyBorder="1" applyAlignment="1">
      <alignment horizontal="center" vertical="center" wrapText="1"/>
    </xf>
    <xf numFmtId="9" fontId="3" fillId="0" borderId="21" xfId="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9" fontId="4" fillId="0" borderId="21" xfId="1" applyFont="1" applyFill="1" applyBorder="1" applyAlignment="1">
      <alignment horizontal="center" vertical="center" wrapText="1"/>
    </xf>
    <xf numFmtId="0" fontId="4" fillId="0" borderId="22" xfId="0" applyFont="1" applyFill="1" applyBorder="1" applyAlignment="1">
      <alignment vertical="center" wrapText="1"/>
    </xf>
    <xf numFmtId="0" fontId="3" fillId="0" borderId="22" xfId="0" applyFont="1" applyFill="1" applyBorder="1" applyAlignment="1">
      <alignment vertical="center" wrapText="1"/>
    </xf>
    <xf numFmtId="0" fontId="11" fillId="0" borderId="22" xfId="0" applyFont="1" applyFill="1" applyBorder="1" applyAlignment="1">
      <alignment horizontal="left" vertical="center" wrapText="1"/>
    </xf>
    <xf numFmtId="9" fontId="3" fillId="0" borderId="21" xfId="3" applyNumberFormat="1" applyFont="1" applyFill="1" applyBorder="1" applyAlignment="1">
      <alignment horizontal="center" vertical="center" wrapText="1"/>
    </xf>
    <xf numFmtId="9" fontId="4" fillId="0" borderId="21" xfId="3" applyNumberFormat="1" applyFont="1" applyFill="1" applyBorder="1" applyAlignment="1">
      <alignment horizontal="center" vertical="center" wrapText="1"/>
    </xf>
    <xf numFmtId="0" fontId="4" fillId="0" borderId="21" xfId="3"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0" fontId="2" fillId="0" borderId="22" xfId="0" applyFont="1" applyBorder="1" applyAlignment="1">
      <alignment horizontal="left" vertical="center" wrapText="1"/>
    </xf>
    <xf numFmtId="0" fontId="3" fillId="0" borderId="22" xfId="0" applyFont="1" applyBorder="1" applyAlignment="1">
      <alignment horizontal="left" vertical="center" wrapText="1"/>
    </xf>
    <xf numFmtId="1" fontId="3" fillId="3" borderId="21" xfId="3"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0" fontId="2" fillId="3" borderId="22" xfId="0" applyFont="1" applyFill="1" applyBorder="1" applyAlignment="1">
      <alignment horizontal="left" vertical="center" wrapText="1"/>
    </xf>
    <xf numFmtId="0" fontId="11" fillId="0" borderId="22" xfId="0" applyFont="1" applyBorder="1" applyAlignment="1">
      <alignment horizontal="left" vertical="center" wrapText="1"/>
    </xf>
    <xf numFmtId="0" fontId="3" fillId="3" borderId="7" xfId="0" applyFont="1" applyFill="1" applyBorder="1" applyAlignment="1">
      <alignment horizontal="center" vertical="center" wrapText="1"/>
    </xf>
    <xf numFmtId="0" fontId="16" fillId="16" borderId="19" xfId="0" applyFont="1" applyFill="1" applyBorder="1" applyAlignment="1">
      <alignment horizontal="center" vertical="center"/>
    </xf>
    <xf numFmtId="0" fontId="16" fillId="16" borderId="17" xfId="0" applyFont="1" applyFill="1" applyBorder="1" applyAlignment="1">
      <alignment horizontal="center" vertical="center"/>
    </xf>
    <xf numFmtId="0" fontId="16" fillId="16" borderId="11" xfId="0" applyFont="1" applyFill="1" applyBorder="1" applyAlignment="1">
      <alignment horizontal="center" vertical="center"/>
    </xf>
    <xf numFmtId="42" fontId="12" fillId="0" borderId="28" xfId="0" applyNumberFormat="1" applyFont="1" applyFill="1" applyBorder="1" applyAlignment="1">
      <alignment horizontal="center" vertical="center" wrapText="1"/>
    </xf>
    <xf numFmtId="42" fontId="12" fillId="0" borderId="29" xfId="0" applyNumberFormat="1"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9" fontId="3" fillId="0" borderId="28" xfId="0" applyNumberFormat="1" applyFont="1" applyFill="1" applyBorder="1" applyAlignment="1">
      <alignment horizontal="left" vertical="center" wrapText="1"/>
    </xf>
    <xf numFmtId="9" fontId="3" fillId="0" borderId="29" xfId="0" applyNumberFormat="1" applyFont="1" applyFill="1" applyBorder="1" applyAlignment="1">
      <alignment horizontal="left"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4" xfId="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28" xfId="0" applyFont="1" applyFill="1" applyBorder="1" applyAlignment="1">
      <alignment horizontal="left" vertical="center" wrapText="1"/>
    </xf>
    <xf numFmtId="2" fontId="4" fillId="0" borderId="5" xfId="1" applyNumberFormat="1" applyFont="1" applyFill="1" applyBorder="1" applyAlignment="1">
      <alignment horizontal="center" vertical="center" wrapText="1"/>
    </xf>
    <xf numFmtId="44" fontId="4" fillId="0" borderId="28" xfId="4" applyFont="1" applyFill="1" applyBorder="1" applyAlignment="1">
      <alignment horizontal="center" vertical="center" wrapText="1"/>
    </xf>
    <xf numFmtId="44" fontId="4" fillId="0" borderId="29" xfId="4" applyFont="1" applyFill="1" applyBorder="1" applyAlignment="1">
      <alignment horizontal="center" vertical="center" wrapText="1"/>
    </xf>
    <xf numFmtId="169" fontId="4" fillId="0" borderId="28" xfId="0" applyNumberFormat="1" applyFont="1" applyFill="1" applyBorder="1" applyAlignment="1">
      <alignment horizontal="center" vertical="center" wrapText="1"/>
    </xf>
    <xf numFmtId="169" fontId="4" fillId="0" borderId="4" xfId="0" applyNumberFormat="1" applyFont="1" applyFill="1" applyBorder="1" applyAlignment="1">
      <alignment horizontal="center" vertical="center" wrapText="1"/>
    </xf>
    <xf numFmtId="169" fontId="4" fillId="0" borderId="29" xfId="0" applyNumberFormat="1" applyFont="1" applyFill="1" applyBorder="1" applyAlignment="1">
      <alignment horizontal="center" vertical="center" wrapText="1"/>
    </xf>
    <xf numFmtId="10" fontId="3" fillId="0" borderId="28" xfId="0" applyNumberFormat="1" applyFont="1" applyFill="1" applyBorder="1" applyAlignment="1">
      <alignment horizontal="left" vertical="center" wrapText="1"/>
    </xf>
    <xf numFmtId="10" fontId="3" fillId="0" borderId="4" xfId="0" applyNumberFormat="1" applyFont="1" applyFill="1" applyBorder="1" applyAlignment="1">
      <alignment horizontal="left" vertical="center" wrapText="1"/>
    </xf>
    <xf numFmtId="10" fontId="3" fillId="0" borderId="29" xfId="0" applyNumberFormat="1" applyFont="1" applyFill="1" applyBorder="1" applyAlignment="1">
      <alignment horizontal="left" vertical="center" wrapText="1"/>
    </xf>
    <xf numFmtId="170" fontId="4" fillId="0" borderId="5" xfId="4" applyNumberFormat="1" applyFont="1" applyFill="1" applyBorder="1" applyAlignment="1">
      <alignment horizontal="center" vertical="center" wrapText="1"/>
    </xf>
    <xf numFmtId="44" fontId="4" fillId="0" borderId="5" xfId="4" applyFont="1" applyFill="1" applyBorder="1" applyAlignment="1">
      <alignment horizontal="center" vertical="center" wrapText="1"/>
    </xf>
    <xf numFmtId="9" fontId="3" fillId="0" borderId="4" xfId="0" applyNumberFormat="1" applyFont="1" applyFill="1" applyBorder="1" applyAlignment="1">
      <alignment horizontal="left" vertical="center" wrapText="1"/>
    </xf>
    <xf numFmtId="170" fontId="4" fillId="3" borderId="4" xfId="1"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3" fontId="24" fillId="0" borderId="5" xfId="9" applyNumberFormat="1" applyFont="1" applyBorder="1" applyAlignment="1">
      <alignment horizontal="center" vertical="center"/>
    </xf>
    <xf numFmtId="0" fontId="24" fillId="0" borderId="5" xfId="9" applyNumberFormat="1" applyFont="1" applyBorder="1" applyAlignment="1">
      <alignment horizontal="center" vertical="center"/>
    </xf>
    <xf numFmtId="42" fontId="4" fillId="0" borderId="2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42" fontId="4" fillId="0" borderId="29" xfId="0" applyNumberFormat="1" applyFont="1" applyBorder="1" applyAlignment="1">
      <alignment horizontal="center" vertical="center" wrapText="1"/>
    </xf>
    <xf numFmtId="1" fontId="4" fillId="0" borderId="5" xfId="0" applyNumberFormat="1" applyFont="1" applyFill="1" applyBorder="1" applyAlignment="1">
      <alignment horizontal="center" vertical="center" wrapText="1"/>
    </xf>
    <xf numFmtId="0" fontId="14" fillId="3" borderId="22" xfId="0" applyFont="1" applyFill="1" applyBorder="1" applyAlignment="1">
      <alignment horizontal="left" vertical="center" wrapText="1"/>
    </xf>
    <xf numFmtId="9" fontId="3" fillId="5" borderId="5" xfId="1" applyFont="1" applyFill="1" applyBorder="1" applyAlignment="1">
      <alignment horizontal="center" vertical="center" wrapText="1"/>
    </xf>
    <xf numFmtId="0" fontId="3" fillId="0" borderId="28" xfId="0" applyFont="1" applyBorder="1" applyAlignment="1">
      <alignment horizontal="center" vertical="center"/>
    </xf>
    <xf numFmtId="3" fontId="3" fillId="0" borderId="5"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9" fontId="17" fillId="0" borderId="22" xfId="0" applyNumberFormat="1" applyFont="1" applyFill="1" applyBorder="1" applyAlignment="1">
      <alignment horizontal="center" vertical="center" wrapText="1"/>
    </xf>
    <xf numFmtId="9" fontId="3" fillId="0" borderId="21" xfId="1" applyFont="1" applyFill="1" applyBorder="1" applyAlignment="1">
      <alignment horizontal="center" vertical="center"/>
    </xf>
    <xf numFmtId="9" fontId="3" fillId="0" borderId="5" xfId="1" applyFont="1" applyFill="1" applyBorder="1" applyAlignment="1">
      <alignment horizontal="center" vertical="center"/>
    </xf>
    <xf numFmtId="165" fontId="12" fillId="0" borderId="5" xfId="0" applyNumberFormat="1" applyFont="1" applyBorder="1" applyAlignment="1">
      <alignment horizontal="center" vertical="center" wrapText="1"/>
    </xf>
    <xf numFmtId="166" fontId="3" fillId="0" borderId="22" xfId="0" applyNumberFormat="1" applyFont="1" applyFill="1" applyBorder="1" applyAlignment="1">
      <alignment horizontal="center" vertical="center" wrapText="1"/>
    </xf>
    <xf numFmtId="10" fontId="3" fillId="0" borderId="22" xfId="0" applyNumberFormat="1" applyFont="1" applyFill="1" applyBorder="1" applyAlignment="1">
      <alignment horizontal="center" vertical="center" wrapText="1"/>
    </xf>
    <xf numFmtId="1" fontId="3" fillId="0" borderId="2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0" fillId="0" borderId="21" xfId="0" applyBorder="1" applyAlignment="1">
      <alignment horizontal="center" vertical="center"/>
    </xf>
    <xf numFmtId="0" fontId="0" fillId="0" borderId="5" xfId="0" applyBorder="1" applyAlignment="1">
      <alignment horizontal="center" vertical="center"/>
    </xf>
    <xf numFmtId="9" fontId="3" fillId="0" borderId="22" xfId="0" applyNumberFormat="1" applyFont="1" applyBorder="1" applyAlignment="1">
      <alignment horizontal="center" vertical="center" wrapText="1"/>
    </xf>
    <xf numFmtId="10" fontId="0" fillId="0" borderId="21" xfId="0" applyNumberFormat="1" applyFill="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Fill="1" applyBorder="1" applyAlignment="1">
      <alignment horizontal="center" vertical="center"/>
    </xf>
    <xf numFmtId="0" fontId="23" fillId="0" borderId="21" xfId="0" applyFont="1" applyFill="1" applyBorder="1" applyAlignment="1">
      <alignment horizontal="center" vertical="center" wrapText="1"/>
    </xf>
    <xf numFmtId="9" fontId="0" fillId="0" borderId="21" xfId="0" applyNumberFormat="1" applyBorder="1" applyAlignment="1">
      <alignment horizontal="center" vertical="center"/>
    </xf>
    <xf numFmtId="9" fontId="0" fillId="0" borderId="5" xfId="0" applyNumberFormat="1" applyBorder="1" applyAlignment="1">
      <alignment horizontal="center" vertical="center"/>
    </xf>
    <xf numFmtId="175" fontId="0" fillId="0" borderId="5" xfId="4" applyNumberFormat="1" applyFont="1" applyBorder="1" applyAlignment="1">
      <alignment horizontal="center" vertical="center"/>
    </xf>
    <xf numFmtId="164" fontId="25" fillId="3" borderId="5" xfId="10" applyFont="1" applyFill="1" applyBorder="1" applyAlignment="1">
      <alignment horizontal="center" vertical="center" wrapText="1"/>
    </xf>
    <xf numFmtId="175" fontId="0" fillId="0" borderId="5" xfId="4" applyNumberFormat="1" applyFont="1" applyBorder="1" applyAlignment="1">
      <alignment horizontal="center" vertical="center" wrapText="1"/>
    </xf>
    <xf numFmtId="3" fontId="0" fillId="0" borderId="5" xfId="0" applyNumberFormat="1" applyBorder="1" applyAlignment="1">
      <alignment horizontal="center" vertical="center"/>
    </xf>
    <xf numFmtId="3" fontId="0" fillId="0" borderId="5" xfId="0" applyNumberForma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horizontal="left" vertical="center" wrapText="1"/>
    </xf>
    <xf numFmtId="9" fontId="0" fillId="0" borderId="22" xfId="0" applyNumberFormat="1" applyBorder="1" applyAlignment="1">
      <alignment horizontal="left" vertical="center" wrapText="1"/>
    </xf>
    <xf numFmtId="3" fontId="0" fillId="0" borderId="5" xfId="0" applyNumberFormat="1" applyFill="1" applyBorder="1" applyAlignment="1">
      <alignment horizontal="center" vertical="center"/>
    </xf>
    <xf numFmtId="165" fontId="3" fillId="3" borderId="7" xfId="0" applyNumberFormat="1" applyFont="1" applyFill="1" applyBorder="1" applyAlignment="1">
      <alignment horizontal="center" vertical="center" wrapText="1"/>
    </xf>
    <xf numFmtId="175" fontId="0" fillId="3" borderId="5" xfId="4" applyNumberFormat="1" applyFont="1"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left" vertical="top" wrapText="1"/>
    </xf>
    <xf numFmtId="0" fontId="26" fillId="0" borderId="22" xfId="0" applyFont="1" applyFill="1" applyBorder="1" applyAlignment="1">
      <alignment horizontal="left" vertical="top" wrapText="1"/>
    </xf>
    <xf numFmtId="1" fontId="0" fillId="0" borderId="22" xfId="0" applyNumberFormat="1" applyFill="1" applyBorder="1" applyAlignment="1">
      <alignment horizontal="center" vertical="center" wrapText="1"/>
    </xf>
    <xf numFmtId="0" fontId="0" fillId="0" borderId="22" xfId="0" applyFill="1" applyBorder="1" applyAlignment="1">
      <alignment horizontal="left" vertical="center" wrapText="1"/>
    </xf>
    <xf numFmtId="9" fontId="0" fillId="0" borderId="22" xfId="0" applyNumberFormat="1" applyFill="1" applyBorder="1" applyAlignment="1">
      <alignment horizontal="left" vertical="center" wrapText="1"/>
    </xf>
    <xf numFmtId="1" fontId="3" fillId="3" borderId="21" xfId="0" applyNumberFormat="1" applyFont="1" applyFill="1" applyBorder="1" applyAlignment="1">
      <alignment horizontal="center" vertical="center" wrapText="1"/>
    </xf>
    <xf numFmtId="0" fontId="3" fillId="3" borderId="22" xfId="0" applyFont="1" applyFill="1" applyBorder="1" applyAlignment="1">
      <alignment horizontal="left" vertical="center" wrapText="1"/>
    </xf>
    <xf numFmtId="1" fontId="3" fillId="0" borderId="21" xfId="0" applyNumberFormat="1" applyFont="1" applyBorder="1" applyAlignment="1">
      <alignment horizontal="center" vertical="center" wrapText="1"/>
    </xf>
    <xf numFmtId="9" fontId="3" fillId="4" borderId="5" xfId="1" applyFont="1" applyFill="1" applyBorder="1" applyAlignment="1">
      <alignment horizontal="center" vertical="center" wrapText="1"/>
    </xf>
    <xf numFmtId="0" fontId="0" fillId="0" borderId="22" xfId="0" applyBorder="1" applyAlignment="1">
      <alignment horizontal="center" vertical="top" wrapText="1"/>
    </xf>
    <xf numFmtId="9" fontId="4" fillId="0" borderId="28" xfId="1" applyFont="1" applyBorder="1" applyAlignment="1">
      <alignment horizontal="center" vertical="center" wrapText="1"/>
    </xf>
    <xf numFmtId="9" fontId="4" fillId="0" borderId="29" xfId="1" applyFont="1" applyBorder="1" applyAlignment="1">
      <alignment horizontal="center" vertical="center" wrapText="1"/>
    </xf>
    <xf numFmtId="9" fontId="15" fillId="0" borderId="28"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29" xfId="1" applyFont="1" applyFill="1" applyBorder="1" applyAlignment="1">
      <alignment horizontal="center"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9" fontId="4" fillId="11" borderId="5" xfId="1" applyFont="1" applyFill="1" applyBorder="1" applyAlignment="1">
      <alignment horizontal="center" vertical="center" wrapText="1"/>
    </xf>
    <xf numFmtId="42" fontId="12" fillId="3" borderId="28" xfId="0" applyNumberFormat="1" applyFont="1" applyFill="1" applyBorder="1" applyAlignment="1">
      <alignment horizontal="center" vertical="center" wrapText="1"/>
    </xf>
    <xf numFmtId="42" fontId="12" fillId="3" borderId="29" xfId="0" applyNumberFormat="1" applyFont="1" applyFill="1" applyBorder="1" applyAlignment="1">
      <alignment horizontal="center" vertical="center" wrapText="1"/>
    </xf>
    <xf numFmtId="165" fontId="12" fillId="3" borderId="28" xfId="0" applyNumberFormat="1" applyFont="1" applyFill="1" applyBorder="1" applyAlignment="1">
      <alignment horizontal="center" vertical="center" wrapText="1"/>
    </xf>
    <xf numFmtId="165" fontId="12" fillId="3" borderId="29" xfId="0" applyNumberFormat="1" applyFont="1" applyFill="1" applyBorder="1" applyAlignment="1">
      <alignment horizontal="center" vertical="center" wrapText="1"/>
    </xf>
    <xf numFmtId="0" fontId="0" fillId="0" borderId="0" xfId="0"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9" xfId="0" applyFont="1" applyFill="1" applyBorder="1" applyAlignment="1">
      <alignment horizontal="center" vertical="center" wrapText="1"/>
    </xf>
    <xf numFmtId="9" fontId="4" fillId="3" borderId="28"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29" xfId="1" applyFont="1" applyFill="1" applyBorder="1" applyAlignment="1">
      <alignment horizontal="center" vertical="center" wrapText="1"/>
    </xf>
    <xf numFmtId="10" fontId="4" fillId="0" borderId="28" xfId="1" applyNumberFormat="1" applyFont="1" applyFill="1" applyBorder="1" applyAlignment="1">
      <alignment horizontal="center" vertical="center" wrapText="1"/>
    </xf>
    <xf numFmtId="10" fontId="4" fillId="0" borderId="29" xfId="1" applyNumberFormat="1" applyFont="1" applyFill="1" applyBorder="1" applyAlignment="1">
      <alignment horizontal="center" vertical="center" wrapText="1"/>
    </xf>
    <xf numFmtId="10" fontId="4" fillId="0" borderId="28"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9" fontId="4" fillId="0" borderId="6" xfId="1"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0" fontId="16" fillId="20" borderId="19" xfId="0" applyFont="1" applyFill="1" applyBorder="1" applyAlignment="1">
      <alignment horizontal="center"/>
    </xf>
    <xf numFmtId="0" fontId="16" fillId="20" borderId="17" xfId="0" applyFont="1" applyFill="1" applyBorder="1" applyAlignment="1">
      <alignment horizontal="center"/>
    </xf>
    <xf numFmtId="0" fontId="16" fillId="20" borderId="11" xfId="0" applyFont="1" applyFill="1" applyBorder="1" applyAlignment="1">
      <alignment horizontal="center"/>
    </xf>
    <xf numFmtId="0" fontId="11" fillId="20" borderId="8" xfId="0" applyFont="1" applyFill="1" applyBorder="1" applyAlignment="1">
      <alignment horizontal="center" vertical="center" wrapText="1"/>
    </xf>
    <xf numFmtId="9" fontId="11" fillId="20" borderId="8" xfId="1" applyFont="1" applyFill="1" applyBorder="1" applyAlignment="1">
      <alignment horizontal="center" vertical="center" wrapText="1"/>
    </xf>
    <xf numFmtId="165" fontId="11" fillId="20" borderId="8" xfId="0" applyNumberFormat="1" applyFont="1" applyFill="1" applyBorder="1" applyAlignment="1">
      <alignment horizontal="center" vertical="center" wrapText="1"/>
    </xf>
    <xf numFmtId="0" fontId="11" fillId="20" borderId="8" xfId="0" applyFont="1" applyFill="1" applyBorder="1" applyAlignment="1">
      <alignment horizontal="justify" vertical="center" wrapText="1"/>
    </xf>
    <xf numFmtId="0" fontId="11" fillId="20" borderId="13" xfId="0" applyFont="1" applyFill="1" applyBorder="1" applyAlignment="1">
      <alignment horizontal="center" vertical="center" wrapText="1"/>
    </xf>
    <xf numFmtId="9" fontId="11" fillId="20" borderId="13" xfId="1" applyFont="1" applyFill="1" applyBorder="1" applyAlignment="1">
      <alignment horizontal="center" vertical="center" wrapText="1"/>
    </xf>
    <xf numFmtId="165" fontId="11" fillId="20" borderId="13" xfId="0" applyNumberFormat="1" applyFont="1" applyFill="1" applyBorder="1" applyAlignment="1">
      <alignment horizontal="center" vertical="center" wrapText="1"/>
    </xf>
    <xf numFmtId="0" fontId="11" fillId="20" borderId="30" xfId="0" applyFont="1" applyFill="1" applyBorder="1" applyAlignment="1">
      <alignment horizontal="center" vertical="center" wrapText="1"/>
    </xf>
    <xf numFmtId="0" fontId="11" fillId="20" borderId="13" xfId="0" applyFont="1" applyFill="1" applyBorder="1" applyAlignment="1">
      <alignment horizontal="justify" vertical="center" wrapText="1"/>
    </xf>
    <xf numFmtId="0" fontId="4" fillId="0" borderId="5" xfId="0" applyFont="1" applyBorder="1" applyAlignment="1">
      <alignment horizontal="justify" vertical="center"/>
    </xf>
  </cellXfs>
  <cellStyles count="11">
    <cellStyle name="Millares" xfId="3" builtinId="3"/>
    <cellStyle name="Millares 2" xfId="8" xr:uid="{00000000-0005-0000-0000-000001000000}"/>
    <cellStyle name="Millares 2 2" xfId="10" xr:uid="{00000000-0005-0000-0000-000002000000}"/>
    <cellStyle name="Millares 3" xfId="6" xr:uid="{00000000-0005-0000-0000-000003000000}"/>
    <cellStyle name="Moneda" xfId="4" builtinId="4"/>
    <cellStyle name="Moneda [0]" xfId="5" builtinId="7"/>
    <cellStyle name="Moneda [0] 2 2" xfId="7" xr:uid="{00000000-0005-0000-0000-000006000000}"/>
    <cellStyle name="Normal" xfId="0" builtinId="0"/>
    <cellStyle name="Normal 2" xfId="2" xr:uid="{00000000-0005-0000-0000-000008000000}"/>
    <cellStyle name="Normal 2 2 2" xfId="9" xr:uid="{00000000-0005-0000-0000-000009000000}"/>
    <cellStyle name="Porcentaje" xfId="1" builtinId="5"/>
  </cellStyles>
  <dxfs count="65">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98607"/>
      <color rgb="FFFF99CC"/>
      <color rgb="FFFF6600"/>
      <color rgb="FF008000"/>
      <color rgb="FFFFFFCC"/>
      <color rgb="FF669900"/>
      <color rgb="FFFFCC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18</c:v>
                </c:pt>
                <c:pt idx="1">
                  <c:v>8</c:v>
                </c:pt>
                <c:pt idx="2">
                  <c:v>3</c:v>
                </c:pt>
                <c:pt idx="3">
                  <c:v>2</c:v>
                </c:pt>
                <c:pt idx="4">
                  <c:v>30</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989330</xdr:colOff>
      <xdr:row>3</xdr:row>
      <xdr:rowOff>115146</xdr:rowOff>
    </xdr:from>
    <xdr:to>
      <xdr:col>10</xdr:col>
      <xdr:colOff>643043</xdr:colOff>
      <xdr:row>23</xdr:row>
      <xdr:rowOff>82973</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HN%20RAVE/Google%20Drive/14.%20JOHN%20DropBox/Trabajo%20camila/Gobernacion/2023/7.%20julio/Reportes/Comisarias%20de%20Familia%20Tebai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EJECIMIENTO"/>
      <sheetName val="Comisarías de Familia"/>
    </sheetNames>
    <sheetDataSet>
      <sheetData sheetId="0" refreshError="1"/>
      <sheetData sheetId="1">
        <row r="10">
          <cell r="N10" t="str">
            <v>13 DE ABRIL DEL 2023 Por parte del equipo psicosocial de la Comisaria de Familia con acompañamiento de Policía de Infancia y Adolescencia se realiza operativo de requisa en Instituciones educativas priorizadas en el Comité de convivencia escolar, por lo tanto, se brindó dicho acompañamiento en la Institución educativa Pedacito de cielo, Gabriela Mistral y Antonio Nariño; con el fin de prevenir consumo y expendio de sustancias psicoactivas en el entorno escolar. 
11 DE MAYO DEL 2023 Se realizó campaña de prevención de la violencia en la Institución Educativa Antonio Nariño, dicha campaña fue dirigida a la psico-educación de estudiantes y docentes de diferentes grados con el fin de promover las líneas de atención y los espacios de escucha a Niños, Niñas y Adolescentes.                                   14 DE MAYO DEL 2023 Por parte del despacho de la Comisaria de familia y su equipo psicosocial se brindó acompañamiento durante operativo de control a menores de edad, dirigido por Secretaria de Gobierno, Policía Nacional y Ejercito Nacional, en diferentes sectores del municipio, lo anterior con el fin de prevenir el uso de sustancias psicoactivas en menores de edad, permanencia en calle y socializar decreto en horario de restricción a menores de edad.                                27 DE MAYO DEL 2023 Por parte del despacho de la Comisaria de familia y su equipo psicosocial se brindó acompañamiento durante operativo de control a menores de edad en diferentes sectores del municipio, lo anterior con el fin de prevenir el uso de sustancias psicoactivas en menores de edad, permanencia en calle y socializar decreto en horario de restricción a menores de edad.                                 11 DE MAYO DEL 2023 El equipo psicosocial de la Comisaria de Familia hizo parte de la campaña (TE RETO A DECIR NO) sobre prevención de la violencia en entornos escolares y dirigida a Instituciones educativas del municipio, dicha campaña genero impacto a docentes y estudiantes de diferentes grados, así mismo se sustenta la ruta de atención en casos de violencia teniendo en cuenta la Ley 1257 del 2008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92"/>
  <sheetViews>
    <sheetView showGridLines="0" tabSelected="1" topLeftCell="D1" zoomScale="75" zoomScaleNormal="80" zoomScalePageLayoutView="50" workbookViewId="0">
      <selection activeCell="D1" sqref="D1:Q1"/>
    </sheetView>
  </sheetViews>
  <sheetFormatPr baseColWidth="10" defaultRowHeight="15" x14ac:dyDescent="0.25"/>
  <cols>
    <col min="1" max="1" width="15.28515625" hidden="1" customWidth="1"/>
    <col min="2" max="2" width="9.5703125" hidden="1" customWidth="1"/>
    <col min="3" max="3" width="10.85546875" hidden="1" customWidth="1"/>
    <col min="4" max="4" width="5.85546875" style="66" customWidth="1"/>
    <col min="5" max="5" width="19.28515625" style="66" customWidth="1"/>
    <col min="6" max="6" width="16.5703125" style="66" customWidth="1"/>
    <col min="7" max="7" width="15.5703125" style="66" customWidth="1"/>
    <col min="8" max="8" width="13.85546875" style="66" customWidth="1"/>
    <col min="9" max="9" width="12.140625" style="66" customWidth="1"/>
    <col min="10" max="10" width="10.7109375" style="66" customWidth="1"/>
    <col min="11" max="11" width="10.140625" style="66" hidden="1" customWidth="1"/>
    <col min="12" max="12" width="13" style="66" hidden="1" customWidth="1"/>
    <col min="13" max="13" width="8.28515625" style="66" hidden="1" customWidth="1"/>
    <col min="14" max="14" width="10.42578125" style="66" hidden="1" customWidth="1"/>
    <col min="15" max="15" width="11.42578125" style="66" hidden="1" customWidth="1"/>
    <col min="16" max="16" width="9.5703125" style="66" hidden="1" customWidth="1"/>
    <col min="17" max="17" width="8.28515625" style="66" hidden="1" customWidth="1"/>
    <col min="18" max="18" width="11.42578125" style="4" hidden="1" customWidth="1"/>
    <col min="19" max="19" width="11.5703125" style="4" hidden="1" customWidth="1"/>
    <col min="20" max="20" width="10.5703125" style="16" hidden="1" customWidth="1"/>
    <col min="21" max="21" width="12.28515625" style="30" hidden="1" customWidth="1"/>
    <col min="22" max="22" width="17.28515625" style="30" hidden="1" customWidth="1"/>
    <col min="23" max="23" width="19.7109375" hidden="1" customWidth="1"/>
    <col min="24" max="24" width="61.140625" hidden="1" customWidth="1"/>
    <col min="25" max="25" width="14.7109375" style="4" hidden="1" customWidth="1"/>
    <col min="26" max="26" width="11.5703125" style="4" hidden="1" customWidth="1"/>
    <col min="27" max="27" width="12.7109375" style="16" hidden="1" customWidth="1"/>
    <col min="28" max="28" width="25.28515625" style="30" hidden="1" customWidth="1"/>
    <col min="29" max="29" width="22" style="30" hidden="1" customWidth="1"/>
    <col min="30" max="30" width="26.7109375" hidden="1" customWidth="1"/>
    <col min="31" max="31" width="98.85546875" hidden="1" customWidth="1"/>
    <col min="32" max="32" width="21.85546875" hidden="1" customWidth="1"/>
    <col min="33" max="34" width="11.42578125"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11.42578125" hidden="1" customWidth="1"/>
    <col min="58" max="58" width="37.7109375" hidden="1" customWidth="1"/>
    <col min="59" max="59" width="255.7109375" hidden="1" customWidth="1"/>
    <col min="60" max="60" width="17.85546875" hidden="1" customWidth="1"/>
    <col min="61" max="61" width="9.85546875" hidden="1" customWidth="1"/>
    <col min="62" max="62" width="13.28515625" hidden="1" customWidth="1"/>
    <col min="63" max="63" width="12" hidden="1" customWidth="1"/>
    <col min="64" max="64" width="11.85546875" hidden="1" customWidth="1"/>
    <col min="65" max="65" width="37.7109375" hidden="1" customWidth="1"/>
    <col min="66" max="66" width="255.7109375" hidden="1" customWidth="1"/>
    <col min="67" max="67" width="21.42578125" hidden="1" customWidth="1"/>
    <col min="68" max="68" width="9.85546875" hidden="1" customWidth="1"/>
    <col min="69" max="69" width="20.42578125" hidden="1" customWidth="1"/>
    <col min="70" max="71" width="13.28515625" hidden="1" customWidth="1"/>
    <col min="72" max="72" width="1.7109375" hidden="1" customWidth="1"/>
    <col min="73" max="73" width="255.7109375" hidden="1" customWidth="1"/>
    <col min="74" max="74" width="23.5703125" hidden="1" customWidth="1"/>
    <col min="75" max="75" width="20.140625" hidden="1" customWidth="1"/>
    <col min="76" max="76" width="21.85546875" hidden="1" customWidth="1"/>
    <col min="77" max="77" width="21.7109375" hidden="1" customWidth="1"/>
    <col min="78" max="79" width="30.7109375" hidden="1" customWidth="1"/>
    <col min="80" max="80" width="29.5703125" hidden="1" customWidth="1"/>
    <col min="81" max="81" width="80.28515625" hidden="1" customWidth="1"/>
    <col min="82" max="82" width="13.85546875" customWidth="1"/>
    <col min="83" max="83" width="9.7109375" customWidth="1"/>
    <col min="84" max="84" width="16.5703125" customWidth="1"/>
    <col min="85" max="85" width="21.42578125" customWidth="1"/>
    <col min="86" max="86" width="20" style="433" customWidth="1"/>
    <col min="87" max="87" width="21.140625" customWidth="1"/>
    <col min="88" max="88" width="14.85546875" customWidth="1"/>
    <col min="89" max="89" width="79.7109375" style="439" customWidth="1"/>
    <col min="90" max="90" width="19.140625" customWidth="1"/>
    <col min="91" max="91" width="18" customWidth="1"/>
    <col min="92" max="92" width="17.140625" customWidth="1"/>
  </cols>
  <sheetData>
    <row r="1" spans="1:92" ht="15.75" thickBot="1" x14ac:dyDescent="0.3">
      <c r="D1" s="697" t="s">
        <v>492</v>
      </c>
      <c r="E1" s="698"/>
      <c r="F1" s="698"/>
      <c r="G1" s="698"/>
      <c r="H1" s="698"/>
      <c r="I1" s="698"/>
      <c r="J1" s="698"/>
      <c r="K1" s="698"/>
      <c r="L1" s="698"/>
      <c r="M1" s="698"/>
      <c r="N1" s="698"/>
      <c r="O1" s="698"/>
      <c r="P1" s="698"/>
      <c r="Q1" s="699"/>
      <c r="R1" s="609">
        <v>2014</v>
      </c>
      <c r="S1" s="610"/>
      <c r="T1" s="610"/>
      <c r="U1" s="610"/>
      <c r="V1" s="610"/>
      <c r="W1" s="610"/>
      <c r="X1" s="611"/>
      <c r="Y1" s="609">
        <v>2015</v>
      </c>
      <c r="Z1" s="610"/>
      <c r="AA1" s="610"/>
      <c r="AB1" s="610"/>
      <c r="AC1" s="610"/>
      <c r="AD1" s="610"/>
      <c r="AE1" s="611"/>
      <c r="AF1" s="609">
        <v>2016</v>
      </c>
      <c r="AG1" s="610"/>
      <c r="AH1" s="610"/>
      <c r="AI1" s="610"/>
      <c r="AJ1" s="610"/>
      <c r="AK1" s="610"/>
      <c r="AL1" s="611"/>
      <c r="AM1" s="609">
        <v>2017</v>
      </c>
      <c r="AN1" s="610"/>
      <c r="AO1" s="610"/>
      <c r="AP1" s="610"/>
      <c r="AQ1" s="610"/>
      <c r="AR1" s="610"/>
      <c r="AS1" s="611"/>
      <c r="AT1" s="609">
        <v>2018</v>
      </c>
      <c r="AU1" s="610"/>
      <c r="AV1" s="610"/>
      <c r="AW1" s="610"/>
      <c r="AX1" s="610"/>
      <c r="AY1" s="610"/>
      <c r="AZ1" s="611"/>
      <c r="BA1" s="609">
        <v>2019</v>
      </c>
      <c r="BB1" s="610"/>
      <c r="BC1" s="610"/>
      <c r="BD1" s="610"/>
      <c r="BE1" s="610"/>
      <c r="BF1" s="610"/>
      <c r="BG1" s="611"/>
      <c r="BH1" s="609">
        <v>2020</v>
      </c>
      <c r="BI1" s="610"/>
      <c r="BJ1" s="610"/>
      <c r="BK1" s="610"/>
      <c r="BL1" s="610"/>
      <c r="BM1" s="610"/>
      <c r="BN1" s="611"/>
      <c r="BO1" s="609">
        <v>2021</v>
      </c>
      <c r="BP1" s="610"/>
      <c r="BQ1" s="610"/>
      <c r="BR1" s="610"/>
      <c r="BS1" s="610"/>
      <c r="BT1" s="610"/>
      <c r="BU1" s="611"/>
      <c r="BV1" s="531">
        <v>2022</v>
      </c>
      <c r="BW1" s="532"/>
      <c r="BX1" s="532"/>
      <c r="BY1" s="532"/>
      <c r="BZ1" s="532"/>
      <c r="CA1" s="532"/>
      <c r="CB1" s="532"/>
      <c r="CC1" s="533"/>
      <c r="CD1" s="830" t="s">
        <v>1161</v>
      </c>
      <c r="CE1" s="831"/>
      <c r="CF1" s="831"/>
      <c r="CG1" s="831"/>
      <c r="CH1" s="831"/>
      <c r="CI1" s="831"/>
      <c r="CJ1" s="831"/>
      <c r="CK1" s="832"/>
      <c r="CL1" s="609" t="s">
        <v>976</v>
      </c>
      <c r="CM1" s="610"/>
      <c r="CN1" s="610"/>
    </row>
    <row r="2" spans="1:92" ht="21.75" customHeight="1" thickBot="1" x14ac:dyDescent="0.3">
      <c r="A2" s="560" t="s">
        <v>0</v>
      </c>
      <c r="B2" s="560" t="s">
        <v>1</v>
      </c>
      <c r="C2" s="564" t="s">
        <v>2</v>
      </c>
      <c r="D2" s="560" t="s">
        <v>1</v>
      </c>
      <c r="E2" s="560" t="s">
        <v>3</v>
      </c>
      <c r="F2" s="560" t="s">
        <v>4</v>
      </c>
      <c r="G2" s="560" t="s">
        <v>5</v>
      </c>
      <c r="H2" s="560" t="s">
        <v>6</v>
      </c>
      <c r="I2" s="560" t="s">
        <v>7</v>
      </c>
      <c r="J2" s="560" t="s">
        <v>8</v>
      </c>
      <c r="K2" s="564" t="s">
        <v>290</v>
      </c>
      <c r="L2" s="576"/>
      <c r="M2" s="576"/>
      <c r="N2" s="576"/>
      <c r="O2" s="576"/>
      <c r="P2" s="576"/>
      <c r="Q2" s="577"/>
      <c r="R2" s="534" t="s">
        <v>660</v>
      </c>
      <c r="S2" s="534" t="s">
        <v>276</v>
      </c>
      <c r="T2" s="536" t="s">
        <v>277</v>
      </c>
      <c r="U2" s="538" t="s">
        <v>251</v>
      </c>
      <c r="V2" s="538" t="s">
        <v>252</v>
      </c>
      <c r="W2" s="534" t="s">
        <v>253</v>
      </c>
      <c r="X2" s="534" t="s">
        <v>254</v>
      </c>
      <c r="Y2" s="534" t="s">
        <v>659</v>
      </c>
      <c r="Z2" s="534" t="s">
        <v>276</v>
      </c>
      <c r="AA2" s="536" t="s">
        <v>277</v>
      </c>
      <c r="AB2" s="538" t="s">
        <v>251</v>
      </c>
      <c r="AC2" s="538" t="s">
        <v>252</v>
      </c>
      <c r="AD2" s="534" t="s">
        <v>253</v>
      </c>
      <c r="AE2" s="534" t="s">
        <v>254</v>
      </c>
      <c r="AF2" s="534" t="s">
        <v>658</v>
      </c>
      <c r="AG2" s="534" t="s">
        <v>276</v>
      </c>
      <c r="AH2" s="536" t="s">
        <v>277</v>
      </c>
      <c r="AI2" s="538" t="s">
        <v>251</v>
      </c>
      <c r="AJ2" s="538" t="s">
        <v>252</v>
      </c>
      <c r="AK2" s="534" t="s">
        <v>253</v>
      </c>
      <c r="AL2" s="534" t="s">
        <v>254</v>
      </c>
      <c r="AM2" s="534" t="s">
        <v>657</v>
      </c>
      <c r="AN2" s="534" t="s">
        <v>276</v>
      </c>
      <c r="AO2" s="536" t="s">
        <v>277</v>
      </c>
      <c r="AP2" s="538" t="s">
        <v>251</v>
      </c>
      <c r="AQ2" s="538" t="s">
        <v>252</v>
      </c>
      <c r="AR2" s="534" t="s">
        <v>253</v>
      </c>
      <c r="AS2" s="534" t="s">
        <v>254</v>
      </c>
      <c r="AT2" s="534" t="s">
        <v>656</v>
      </c>
      <c r="AU2" s="534" t="s">
        <v>276</v>
      </c>
      <c r="AV2" s="536" t="s">
        <v>277</v>
      </c>
      <c r="AW2" s="538" t="s">
        <v>251</v>
      </c>
      <c r="AX2" s="538" t="s">
        <v>252</v>
      </c>
      <c r="AY2" s="534" t="s">
        <v>253</v>
      </c>
      <c r="AZ2" s="534" t="s">
        <v>254</v>
      </c>
      <c r="BA2" s="534" t="s">
        <v>655</v>
      </c>
      <c r="BB2" s="534" t="s">
        <v>276</v>
      </c>
      <c r="BC2" s="536" t="s">
        <v>277</v>
      </c>
      <c r="BD2" s="538" t="s">
        <v>251</v>
      </c>
      <c r="BE2" s="538" t="s">
        <v>252</v>
      </c>
      <c r="BF2" s="534" t="s">
        <v>253</v>
      </c>
      <c r="BG2" s="534" t="s">
        <v>254</v>
      </c>
      <c r="BH2" s="656" t="s">
        <v>502</v>
      </c>
      <c r="BI2" s="656" t="s">
        <v>276</v>
      </c>
      <c r="BJ2" s="658" t="s">
        <v>277</v>
      </c>
      <c r="BK2" s="660" t="s">
        <v>251</v>
      </c>
      <c r="BL2" s="660" t="s">
        <v>252</v>
      </c>
      <c r="BM2" s="656" t="s">
        <v>253</v>
      </c>
      <c r="BN2" s="656" t="s">
        <v>254</v>
      </c>
      <c r="BO2" s="534" t="s">
        <v>581</v>
      </c>
      <c r="BP2" s="534" t="s">
        <v>276</v>
      </c>
      <c r="BQ2" s="536" t="s">
        <v>277</v>
      </c>
      <c r="BR2" s="538" t="s">
        <v>251</v>
      </c>
      <c r="BS2" s="538" t="s">
        <v>252</v>
      </c>
      <c r="BT2" s="534" t="s">
        <v>253</v>
      </c>
      <c r="BU2" s="534" t="s">
        <v>254</v>
      </c>
      <c r="BV2" s="534" t="s">
        <v>462</v>
      </c>
      <c r="BW2" s="534" t="s">
        <v>276</v>
      </c>
      <c r="BX2" s="536" t="s">
        <v>277</v>
      </c>
      <c r="BY2" s="538" t="s">
        <v>251</v>
      </c>
      <c r="BZ2" s="538" t="s">
        <v>252</v>
      </c>
      <c r="CA2" s="536" t="s">
        <v>1031</v>
      </c>
      <c r="CB2" s="534" t="s">
        <v>253</v>
      </c>
      <c r="CC2" s="656" t="s">
        <v>254</v>
      </c>
      <c r="CD2" s="833" t="s">
        <v>1100</v>
      </c>
      <c r="CE2" s="833" t="s">
        <v>276</v>
      </c>
      <c r="CF2" s="834" t="s">
        <v>277</v>
      </c>
      <c r="CG2" s="835" t="s">
        <v>251</v>
      </c>
      <c r="CH2" s="835" t="s">
        <v>252</v>
      </c>
      <c r="CI2" s="834" t="s">
        <v>1031</v>
      </c>
      <c r="CJ2" s="833" t="s">
        <v>253</v>
      </c>
      <c r="CK2" s="836" t="s">
        <v>254</v>
      </c>
      <c r="CL2" s="560" t="s">
        <v>977</v>
      </c>
      <c r="CM2" s="534" t="s">
        <v>1162</v>
      </c>
      <c r="CN2" s="536" t="s">
        <v>1040</v>
      </c>
    </row>
    <row r="3" spans="1:92" ht="52.5" customHeight="1" thickBot="1" x14ac:dyDescent="0.3">
      <c r="A3" s="560"/>
      <c r="B3" s="560"/>
      <c r="C3" s="564"/>
      <c r="D3" s="534"/>
      <c r="E3" s="534"/>
      <c r="F3" s="534"/>
      <c r="G3" s="534"/>
      <c r="H3" s="534"/>
      <c r="I3" s="534"/>
      <c r="J3" s="534"/>
      <c r="K3" s="62" t="s">
        <v>431</v>
      </c>
      <c r="L3" s="62" t="s">
        <v>286</v>
      </c>
      <c r="M3" s="62" t="s">
        <v>432</v>
      </c>
      <c r="N3" s="62" t="s">
        <v>287</v>
      </c>
      <c r="O3" s="62" t="s">
        <v>433</v>
      </c>
      <c r="P3" s="62" t="s">
        <v>288</v>
      </c>
      <c r="Q3" s="62" t="s">
        <v>289</v>
      </c>
      <c r="R3" s="535"/>
      <c r="S3" s="535"/>
      <c r="T3" s="537"/>
      <c r="U3" s="539"/>
      <c r="V3" s="539"/>
      <c r="W3" s="535"/>
      <c r="X3" s="535"/>
      <c r="Y3" s="535"/>
      <c r="Z3" s="535"/>
      <c r="AA3" s="537"/>
      <c r="AB3" s="539"/>
      <c r="AC3" s="539"/>
      <c r="AD3" s="535"/>
      <c r="AE3" s="535"/>
      <c r="AF3" s="535"/>
      <c r="AG3" s="535"/>
      <c r="AH3" s="537"/>
      <c r="AI3" s="539"/>
      <c r="AJ3" s="539"/>
      <c r="AK3" s="535"/>
      <c r="AL3" s="535"/>
      <c r="AM3" s="535"/>
      <c r="AN3" s="535"/>
      <c r="AO3" s="537"/>
      <c r="AP3" s="539"/>
      <c r="AQ3" s="539"/>
      <c r="AR3" s="535"/>
      <c r="AS3" s="535"/>
      <c r="AT3" s="535"/>
      <c r="AU3" s="535"/>
      <c r="AV3" s="537"/>
      <c r="AW3" s="539"/>
      <c r="AX3" s="539"/>
      <c r="AY3" s="535"/>
      <c r="AZ3" s="535"/>
      <c r="BA3" s="535"/>
      <c r="BB3" s="535"/>
      <c r="BC3" s="537"/>
      <c r="BD3" s="539"/>
      <c r="BE3" s="539"/>
      <c r="BF3" s="535"/>
      <c r="BG3" s="535"/>
      <c r="BH3" s="657"/>
      <c r="BI3" s="657"/>
      <c r="BJ3" s="659"/>
      <c r="BK3" s="661"/>
      <c r="BL3" s="661"/>
      <c r="BM3" s="657"/>
      <c r="BN3" s="657"/>
      <c r="BO3" s="535"/>
      <c r="BP3" s="535"/>
      <c r="BQ3" s="537"/>
      <c r="BR3" s="539"/>
      <c r="BS3" s="539"/>
      <c r="BT3" s="535"/>
      <c r="BU3" s="535"/>
      <c r="BV3" s="535"/>
      <c r="BW3" s="535"/>
      <c r="BX3" s="537"/>
      <c r="BY3" s="539"/>
      <c r="BZ3" s="539"/>
      <c r="CA3" s="537"/>
      <c r="CB3" s="540"/>
      <c r="CC3" s="657"/>
      <c r="CD3" s="837"/>
      <c r="CE3" s="837"/>
      <c r="CF3" s="838"/>
      <c r="CG3" s="839"/>
      <c r="CH3" s="839"/>
      <c r="CI3" s="838"/>
      <c r="CJ3" s="840"/>
      <c r="CK3" s="841"/>
      <c r="CL3" s="534"/>
      <c r="CM3" s="535"/>
      <c r="CN3" s="537"/>
    </row>
    <row r="4" spans="1:92" ht="386.25" customHeight="1" x14ac:dyDescent="0.25">
      <c r="A4" s="562" t="s">
        <v>9</v>
      </c>
      <c r="B4" s="550" t="s">
        <v>10</v>
      </c>
      <c r="C4" s="552">
        <v>0</v>
      </c>
      <c r="D4" s="548" t="s">
        <v>457</v>
      </c>
      <c r="E4" s="445" t="s">
        <v>11</v>
      </c>
      <c r="F4" s="47" t="s">
        <v>12</v>
      </c>
      <c r="G4" s="47" t="s">
        <v>13</v>
      </c>
      <c r="H4" s="224" t="s">
        <v>991</v>
      </c>
      <c r="I4" s="47" t="s">
        <v>14</v>
      </c>
      <c r="J4" s="279">
        <v>12</v>
      </c>
      <c r="K4" s="549" t="s">
        <v>291</v>
      </c>
      <c r="L4" s="549" t="s">
        <v>366</v>
      </c>
      <c r="M4" s="549" t="s">
        <v>293</v>
      </c>
      <c r="N4" s="549" t="s">
        <v>423</v>
      </c>
      <c r="O4" s="549" t="s">
        <v>293</v>
      </c>
      <c r="P4" s="549" t="s">
        <v>294</v>
      </c>
      <c r="Q4" s="280">
        <v>12</v>
      </c>
      <c r="R4" s="281">
        <v>3</v>
      </c>
      <c r="S4" s="578"/>
      <c r="T4" s="578">
        <v>0</v>
      </c>
      <c r="U4" s="578"/>
      <c r="V4" s="578" t="s">
        <v>493</v>
      </c>
      <c r="W4" s="549" t="s">
        <v>255</v>
      </c>
      <c r="X4" s="282" t="s">
        <v>494</v>
      </c>
      <c r="Y4" s="281">
        <v>3</v>
      </c>
      <c r="Z4" s="283">
        <v>3</v>
      </c>
      <c r="AA4" s="33">
        <f>Z4/Y4</f>
        <v>1</v>
      </c>
      <c r="AB4" s="284"/>
      <c r="AC4" s="272"/>
      <c r="AD4" s="549" t="s">
        <v>255</v>
      </c>
      <c r="AE4" s="285" t="s">
        <v>663</v>
      </c>
      <c r="AF4" s="286">
        <v>5</v>
      </c>
      <c r="AG4" s="278">
        <v>2</v>
      </c>
      <c r="AH4" s="33">
        <f>AG4/AF4</f>
        <v>0.4</v>
      </c>
      <c r="AI4" s="613" t="s">
        <v>694</v>
      </c>
      <c r="AJ4" s="613" t="s">
        <v>695</v>
      </c>
      <c r="AK4" s="549" t="s">
        <v>255</v>
      </c>
      <c r="AL4" s="287" t="s">
        <v>727</v>
      </c>
      <c r="AM4" s="288">
        <v>7</v>
      </c>
      <c r="AN4" s="289">
        <v>2</v>
      </c>
      <c r="AO4" s="33">
        <f>AN4/AM4</f>
        <v>0.2857142857142857</v>
      </c>
      <c r="AP4" s="614" t="s">
        <v>780</v>
      </c>
      <c r="AQ4" s="614" t="s">
        <v>781</v>
      </c>
      <c r="AR4" s="549" t="s">
        <v>255</v>
      </c>
      <c r="AS4" s="290" t="s">
        <v>810</v>
      </c>
      <c r="AT4" s="291">
        <v>10</v>
      </c>
      <c r="AU4" s="292">
        <v>5</v>
      </c>
      <c r="AV4" s="33">
        <f>AU4/AT4</f>
        <v>0.5</v>
      </c>
      <c r="AW4" s="776">
        <v>25000000</v>
      </c>
      <c r="AX4" s="776">
        <v>23993333</v>
      </c>
      <c r="AY4" s="549" t="s">
        <v>255</v>
      </c>
      <c r="AZ4" s="293" t="s">
        <v>859</v>
      </c>
      <c r="BA4" s="288">
        <v>12</v>
      </c>
      <c r="BB4" s="292">
        <v>7</v>
      </c>
      <c r="BC4" s="33">
        <f>BB4/BA4</f>
        <v>0.58333333333333337</v>
      </c>
      <c r="BD4" s="613">
        <v>32000000</v>
      </c>
      <c r="BE4" s="613">
        <v>31440300</v>
      </c>
      <c r="BF4" s="549" t="s">
        <v>255</v>
      </c>
      <c r="BG4" s="293" t="s">
        <v>931</v>
      </c>
      <c r="BH4" s="288">
        <v>9</v>
      </c>
      <c r="BI4" s="289">
        <v>8</v>
      </c>
      <c r="BJ4" s="71">
        <f>(BI4/BH4)*1</f>
        <v>0.88888888888888884</v>
      </c>
      <c r="BK4" s="294" t="s">
        <v>503</v>
      </c>
      <c r="BL4" s="294">
        <v>6400000</v>
      </c>
      <c r="BM4" s="622" t="s">
        <v>255</v>
      </c>
      <c r="BN4" s="293" t="s">
        <v>504</v>
      </c>
      <c r="BO4" s="295">
        <v>9</v>
      </c>
      <c r="BP4" s="296">
        <v>8</v>
      </c>
      <c r="BQ4" s="33">
        <f>BP4/BO4</f>
        <v>0.88888888888888884</v>
      </c>
      <c r="BR4" s="297">
        <v>8655000</v>
      </c>
      <c r="BS4" s="272">
        <v>8655000</v>
      </c>
      <c r="BT4" s="549" t="s">
        <v>255</v>
      </c>
      <c r="BU4" s="298" t="s">
        <v>582</v>
      </c>
      <c r="BV4" s="289">
        <v>10</v>
      </c>
      <c r="BW4" s="296">
        <v>9</v>
      </c>
      <c r="BX4" s="33">
        <f>BW4/BV4</f>
        <v>0.9</v>
      </c>
      <c r="BY4" s="284">
        <f>34620000+26400000</f>
        <v>61020000</v>
      </c>
      <c r="BZ4" s="272">
        <v>28850000</v>
      </c>
      <c r="CA4" s="33">
        <f>BZ4/BY4</f>
        <v>0.47279580465421173</v>
      </c>
      <c r="CB4" s="299" t="s">
        <v>991</v>
      </c>
      <c r="CC4" s="300" t="s">
        <v>1042</v>
      </c>
      <c r="CD4" s="289">
        <v>12</v>
      </c>
      <c r="CE4" s="32">
        <v>9</v>
      </c>
      <c r="CF4" s="31">
        <f>CE4/CD4</f>
        <v>0.75</v>
      </c>
      <c r="CG4" s="272">
        <f>28850000+700000+714286+124337067</f>
        <v>154601353</v>
      </c>
      <c r="CH4" s="429">
        <f>34620000+26400000+700000+714286+40697760</f>
        <v>103132046</v>
      </c>
      <c r="CI4" s="31">
        <f>CH4/CG4</f>
        <v>0.66708372209394573</v>
      </c>
      <c r="CJ4" s="224" t="s">
        <v>991</v>
      </c>
      <c r="CK4" s="842" t="s">
        <v>1156</v>
      </c>
      <c r="CL4" s="47">
        <v>12</v>
      </c>
      <c r="CM4" s="204">
        <v>9</v>
      </c>
      <c r="CN4" s="31">
        <f>CM4/CL4</f>
        <v>0.75</v>
      </c>
    </row>
    <row r="5" spans="1:92" ht="174.75" customHeight="1" x14ac:dyDescent="0.25">
      <c r="A5" s="563"/>
      <c r="B5" s="551"/>
      <c r="C5" s="553"/>
      <c r="D5" s="548"/>
      <c r="E5" s="445"/>
      <c r="F5" s="47" t="s">
        <v>15</v>
      </c>
      <c r="G5" s="47" t="s">
        <v>424</v>
      </c>
      <c r="H5" s="85" t="s">
        <v>992</v>
      </c>
      <c r="I5" s="47">
        <v>0</v>
      </c>
      <c r="J5" s="279">
        <v>12</v>
      </c>
      <c r="K5" s="549"/>
      <c r="L5" s="549"/>
      <c r="M5" s="549"/>
      <c r="N5" s="549"/>
      <c r="O5" s="549"/>
      <c r="P5" s="549"/>
      <c r="Q5" s="280">
        <v>12</v>
      </c>
      <c r="R5" s="281">
        <v>0</v>
      </c>
      <c r="S5" s="578"/>
      <c r="T5" s="578"/>
      <c r="U5" s="578"/>
      <c r="V5" s="578"/>
      <c r="W5" s="549"/>
      <c r="X5" s="282" t="s">
        <v>495</v>
      </c>
      <c r="Y5" s="281">
        <v>0</v>
      </c>
      <c r="Z5" s="283">
        <v>0</v>
      </c>
      <c r="AA5" s="33">
        <v>1</v>
      </c>
      <c r="AB5" s="284"/>
      <c r="AC5" s="272"/>
      <c r="AD5" s="549"/>
      <c r="AE5" s="285" t="s">
        <v>664</v>
      </c>
      <c r="AF5" s="286">
        <v>4</v>
      </c>
      <c r="AG5" s="278">
        <v>2</v>
      </c>
      <c r="AH5" s="33">
        <v>1</v>
      </c>
      <c r="AI5" s="613"/>
      <c r="AJ5" s="613"/>
      <c r="AK5" s="549"/>
      <c r="AL5" s="287" t="s">
        <v>728</v>
      </c>
      <c r="AM5" s="288">
        <v>4</v>
      </c>
      <c r="AN5" s="289">
        <v>4</v>
      </c>
      <c r="AO5" s="33">
        <v>1</v>
      </c>
      <c r="AP5" s="614"/>
      <c r="AQ5" s="614"/>
      <c r="AR5" s="549"/>
      <c r="AS5" s="290" t="s">
        <v>811</v>
      </c>
      <c r="AT5" s="291">
        <v>4</v>
      </c>
      <c r="AU5" s="292">
        <v>8</v>
      </c>
      <c r="AV5" s="33">
        <v>1</v>
      </c>
      <c r="AW5" s="640"/>
      <c r="AX5" s="640"/>
      <c r="AY5" s="549"/>
      <c r="AZ5" s="290" t="s">
        <v>860</v>
      </c>
      <c r="BA5" s="288">
        <v>8</v>
      </c>
      <c r="BB5" s="292">
        <v>8</v>
      </c>
      <c r="BC5" s="33">
        <v>1</v>
      </c>
      <c r="BD5" s="613"/>
      <c r="BE5" s="613"/>
      <c r="BF5" s="549"/>
      <c r="BG5" s="290" t="s">
        <v>860</v>
      </c>
      <c r="BH5" s="288">
        <v>8</v>
      </c>
      <c r="BI5" s="289">
        <v>7</v>
      </c>
      <c r="BJ5" s="71">
        <f t="shared" ref="BJ5:BJ8" si="0">(BI5/BH5)*1</f>
        <v>0.875</v>
      </c>
      <c r="BK5" s="294" t="s">
        <v>505</v>
      </c>
      <c r="BL5" s="294" t="s">
        <v>506</v>
      </c>
      <c r="BM5" s="622"/>
      <c r="BN5" s="301" t="s">
        <v>507</v>
      </c>
      <c r="BO5" s="295">
        <v>12</v>
      </c>
      <c r="BP5" s="296">
        <v>12</v>
      </c>
      <c r="BQ5" s="33">
        <v>1</v>
      </c>
      <c r="BR5" s="272">
        <v>8655000</v>
      </c>
      <c r="BS5" s="272">
        <v>8655000</v>
      </c>
      <c r="BT5" s="549"/>
      <c r="BU5" s="302" t="s">
        <v>583</v>
      </c>
      <c r="BV5" s="289">
        <v>10</v>
      </c>
      <c r="BW5" s="296">
        <v>0</v>
      </c>
      <c r="BX5" s="33">
        <f>BW5/BV5</f>
        <v>0</v>
      </c>
      <c r="BY5" s="303">
        <v>34620000</v>
      </c>
      <c r="BZ5" s="272">
        <f>28850000+6600000</f>
        <v>35450000</v>
      </c>
      <c r="CA5" s="33">
        <v>1</v>
      </c>
      <c r="CB5" s="278" t="s">
        <v>992</v>
      </c>
      <c r="CC5" s="304" t="s">
        <v>1094</v>
      </c>
      <c r="CD5" s="289">
        <v>12</v>
      </c>
      <c r="CE5" s="32">
        <v>0</v>
      </c>
      <c r="CF5" s="31">
        <f>CE5/CD5</f>
        <v>0</v>
      </c>
      <c r="CG5" s="272">
        <f>28850000+6600000+124337067</f>
        <v>159787067</v>
      </c>
      <c r="CH5" s="431">
        <f>34620000+40697760</f>
        <v>75317760</v>
      </c>
      <c r="CI5" s="31">
        <f t="shared" ref="CI5:CI6" si="1">CH5/CG5</f>
        <v>0.47136330501641915</v>
      </c>
      <c r="CJ5" s="85" t="s">
        <v>992</v>
      </c>
      <c r="CK5" s="420" t="s">
        <v>1157</v>
      </c>
      <c r="CL5" s="47">
        <v>12</v>
      </c>
      <c r="CM5" s="32">
        <v>0</v>
      </c>
      <c r="CN5" s="31">
        <f>CM5/CL5</f>
        <v>0</v>
      </c>
    </row>
    <row r="6" spans="1:92" ht="185.25" customHeight="1" x14ac:dyDescent="0.25">
      <c r="A6" s="563"/>
      <c r="B6" s="551"/>
      <c r="C6" s="553"/>
      <c r="D6" s="548"/>
      <c r="E6" s="445"/>
      <c r="F6" s="47" t="s">
        <v>425</v>
      </c>
      <c r="G6" s="47" t="s">
        <v>16</v>
      </c>
      <c r="H6" s="85" t="s">
        <v>993</v>
      </c>
      <c r="I6" s="47" t="s">
        <v>426</v>
      </c>
      <c r="J6" s="305">
        <v>1</v>
      </c>
      <c r="K6" s="549"/>
      <c r="L6" s="549"/>
      <c r="M6" s="549"/>
      <c r="N6" s="549"/>
      <c r="O6" s="549"/>
      <c r="P6" s="549"/>
      <c r="Q6" s="306">
        <v>1</v>
      </c>
      <c r="R6" s="307">
        <v>0.01</v>
      </c>
      <c r="S6" s="578"/>
      <c r="T6" s="578"/>
      <c r="U6" s="578"/>
      <c r="V6" s="578"/>
      <c r="W6" s="549"/>
      <c r="X6" s="282" t="s">
        <v>496</v>
      </c>
      <c r="Y6" s="307">
        <v>0.01</v>
      </c>
      <c r="Z6" s="308">
        <v>0.05</v>
      </c>
      <c r="AA6" s="33">
        <f t="shared" ref="AA6:AA8" si="2">(Z6/Y6)*1</f>
        <v>5</v>
      </c>
      <c r="AB6" s="284"/>
      <c r="AC6" s="272"/>
      <c r="AD6" s="549"/>
      <c r="AE6" s="285" t="s">
        <v>664</v>
      </c>
      <c r="AF6" s="286">
        <v>5</v>
      </c>
      <c r="AG6" s="278">
        <v>5</v>
      </c>
      <c r="AH6" s="33">
        <f t="shared" ref="AH6:AH8" si="3">(AG6/AF6)*1</f>
        <v>1</v>
      </c>
      <c r="AI6" s="613"/>
      <c r="AJ6" s="613"/>
      <c r="AK6" s="549"/>
      <c r="AL6" s="287" t="s">
        <v>729</v>
      </c>
      <c r="AM6" s="309">
        <v>1</v>
      </c>
      <c r="AN6" s="310">
        <v>1</v>
      </c>
      <c r="AO6" s="33">
        <f t="shared" ref="AO6:AO8" si="4">(AN6/AM6)*1</f>
        <v>1</v>
      </c>
      <c r="AP6" s="614"/>
      <c r="AQ6" s="614"/>
      <c r="AR6" s="549"/>
      <c r="AS6" s="311" t="s">
        <v>812</v>
      </c>
      <c r="AT6" s="291">
        <v>100</v>
      </c>
      <c r="AU6" s="292">
        <v>100</v>
      </c>
      <c r="AV6" s="33">
        <f t="shared" ref="AV6:AV8" si="5">(AU6/AT6)*1</f>
        <v>1</v>
      </c>
      <c r="AW6" s="640"/>
      <c r="AX6" s="640"/>
      <c r="AY6" s="549"/>
      <c r="AZ6" s="311" t="s">
        <v>861</v>
      </c>
      <c r="BA6" s="309">
        <v>1</v>
      </c>
      <c r="BB6" s="312">
        <v>0.75</v>
      </c>
      <c r="BC6" s="33">
        <f t="shared" ref="BC6:BC8" si="6">(BB6/BA6)*1</f>
        <v>0.75</v>
      </c>
      <c r="BD6" s="613"/>
      <c r="BE6" s="613"/>
      <c r="BF6" s="549"/>
      <c r="BG6" s="306" t="s">
        <v>932</v>
      </c>
      <c r="BH6" s="179">
        <v>1</v>
      </c>
      <c r="BI6" s="71">
        <v>1</v>
      </c>
      <c r="BJ6" s="71">
        <f t="shared" si="0"/>
        <v>1</v>
      </c>
      <c r="BK6" s="14"/>
      <c r="BL6" s="294"/>
      <c r="BM6" s="622"/>
      <c r="BN6" s="313" t="s">
        <v>508</v>
      </c>
      <c r="BO6" s="314">
        <v>1</v>
      </c>
      <c r="BP6" s="33">
        <v>1</v>
      </c>
      <c r="BQ6" s="33">
        <f t="shared" ref="BQ6:BQ8" si="7">(BP6/BO6)*1</f>
        <v>1</v>
      </c>
      <c r="BR6" s="315">
        <v>8655000</v>
      </c>
      <c r="BS6" s="272">
        <v>8655000</v>
      </c>
      <c r="BT6" s="549"/>
      <c r="BU6" s="316" t="s">
        <v>584</v>
      </c>
      <c r="BV6" s="310">
        <v>1</v>
      </c>
      <c r="BW6" s="33">
        <v>1</v>
      </c>
      <c r="BX6" s="33">
        <f t="shared" ref="BX6:BX7" si="8">(BW6/BV6)*1</f>
        <v>1</v>
      </c>
      <c r="BY6" s="284">
        <v>34620000</v>
      </c>
      <c r="BZ6" s="272">
        <v>28850000</v>
      </c>
      <c r="CA6" s="33">
        <f>BZ6/BY6</f>
        <v>0.83333333333333337</v>
      </c>
      <c r="CB6" s="278" t="s">
        <v>993</v>
      </c>
      <c r="CC6" s="317" t="s">
        <v>1043</v>
      </c>
      <c r="CD6" s="318">
        <v>1</v>
      </c>
      <c r="CE6" s="33">
        <v>1</v>
      </c>
      <c r="CF6" s="34">
        <f t="shared" ref="CF6:CF7" si="9">(CE6/CD6)*1</f>
        <v>1</v>
      </c>
      <c r="CG6" s="272">
        <f>28850000+124337067</f>
        <v>153187067</v>
      </c>
      <c r="CH6" s="429">
        <f>34620000+40697760</f>
        <v>75317760</v>
      </c>
      <c r="CI6" s="31">
        <f t="shared" si="1"/>
        <v>0.49167179367694269</v>
      </c>
      <c r="CJ6" s="85" t="s">
        <v>993</v>
      </c>
      <c r="CK6" s="271" t="s">
        <v>1158</v>
      </c>
      <c r="CL6" s="61">
        <v>1</v>
      </c>
      <c r="CM6" s="33">
        <v>1</v>
      </c>
      <c r="CN6" s="34">
        <f>CM6/CL6</f>
        <v>1</v>
      </c>
    </row>
    <row r="7" spans="1:92" ht="64.5" customHeight="1" x14ac:dyDescent="0.25">
      <c r="A7" s="563"/>
      <c r="B7" s="551"/>
      <c r="C7" s="553"/>
      <c r="D7" s="548" t="s">
        <v>17</v>
      </c>
      <c r="E7" s="445" t="s">
        <v>18</v>
      </c>
      <c r="F7" s="47" t="s">
        <v>19</v>
      </c>
      <c r="G7" s="47" t="s">
        <v>427</v>
      </c>
      <c r="H7" s="85" t="s">
        <v>994</v>
      </c>
      <c r="I7" s="47">
        <v>0</v>
      </c>
      <c r="J7" s="279">
        <v>1</v>
      </c>
      <c r="K7" s="549"/>
      <c r="L7" s="549"/>
      <c r="M7" s="549"/>
      <c r="N7" s="549"/>
      <c r="O7" s="549"/>
      <c r="P7" s="549"/>
      <c r="Q7" s="319">
        <v>1</v>
      </c>
      <c r="R7" s="281">
        <v>1</v>
      </c>
      <c r="S7" s="578"/>
      <c r="T7" s="578"/>
      <c r="U7" s="578"/>
      <c r="V7" s="578"/>
      <c r="W7" s="549" t="s">
        <v>255</v>
      </c>
      <c r="X7" s="282" t="s">
        <v>497</v>
      </c>
      <c r="Y7" s="281">
        <v>1</v>
      </c>
      <c r="Z7" s="283">
        <v>1</v>
      </c>
      <c r="AA7" s="33">
        <f t="shared" si="2"/>
        <v>1</v>
      </c>
      <c r="AB7" s="575"/>
      <c r="AC7" s="575"/>
      <c r="AD7" s="549" t="s">
        <v>255</v>
      </c>
      <c r="AE7" s="285" t="s">
        <v>665</v>
      </c>
      <c r="AF7" s="286">
        <v>1</v>
      </c>
      <c r="AG7" s="278">
        <v>1</v>
      </c>
      <c r="AH7" s="33">
        <f t="shared" si="3"/>
        <v>1</v>
      </c>
      <c r="AI7" s="613" t="s">
        <v>694</v>
      </c>
      <c r="AJ7" s="613" t="s">
        <v>695</v>
      </c>
      <c r="AK7" s="549" t="s">
        <v>255</v>
      </c>
      <c r="AL7" s="287" t="s">
        <v>730</v>
      </c>
      <c r="AM7" s="288">
        <v>1</v>
      </c>
      <c r="AN7" s="289">
        <v>1</v>
      </c>
      <c r="AO7" s="33">
        <f t="shared" si="4"/>
        <v>1</v>
      </c>
      <c r="AP7" s="614" t="s">
        <v>782</v>
      </c>
      <c r="AQ7" s="614" t="s">
        <v>783</v>
      </c>
      <c r="AR7" s="549" t="s">
        <v>255</v>
      </c>
      <c r="AS7" s="290" t="s">
        <v>813</v>
      </c>
      <c r="AT7" s="291">
        <v>1</v>
      </c>
      <c r="AU7" s="292">
        <v>1</v>
      </c>
      <c r="AV7" s="33">
        <f t="shared" si="5"/>
        <v>1</v>
      </c>
      <c r="AW7" s="643">
        <v>25000000</v>
      </c>
      <c r="AX7" s="776">
        <v>23933333</v>
      </c>
      <c r="AY7" s="549" t="s">
        <v>255</v>
      </c>
      <c r="AZ7" s="290" t="s">
        <v>862</v>
      </c>
      <c r="BA7" s="288">
        <v>1</v>
      </c>
      <c r="BB7" s="292">
        <v>1</v>
      </c>
      <c r="BC7" s="33">
        <f t="shared" si="6"/>
        <v>1</v>
      </c>
      <c r="BD7" s="613"/>
      <c r="BE7" s="613"/>
      <c r="BF7" s="549" t="s">
        <v>255</v>
      </c>
      <c r="BG7" s="290" t="s">
        <v>933</v>
      </c>
      <c r="BH7" s="320">
        <v>1</v>
      </c>
      <c r="BI7" s="72">
        <v>1</v>
      </c>
      <c r="BJ7" s="71">
        <f t="shared" si="0"/>
        <v>1</v>
      </c>
      <c r="BK7" s="613"/>
      <c r="BL7" s="613"/>
      <c r="BM7" s="622" t="s">
        <v>255</v>
      </c>
      <c r="BN7" s="648" t="s">
        <v>509</v>
      </c>
      <c r="BO7" s="321">
        <v>1</v>
      </c>
      <c r="BP7" s="35">
        <v>1</v>
      </c>
      <c r="BQ7" s="33">
        <f t="shared" si="7"/>
        <v>1</v>
      </c>
      <c r="BR7" s="575">
        <v>8655000</v>
      </c>
      <c r="BS7" s="575">
        <v>8655000</v>
      </c>
      <c r="BT7" s="549" t="s">
        <v>255</v>
      </c>
      <c r="BU7" s="298" t="s">
        <v>585</v>
      </c>
      <c r="BV7" s="278">
        <v>1</v>
      </c>
      <c r="BW7" s="35">
        <v>1</v>
      </c>
      <c r="BX7" s="33">
        <f t="shared" si="8"/>
        <v>1</v>
      </c>
      <c r="BY7" s="464">
        <v>0</v>
      </c>
      <c r="BZ7" s="464">
        <v>0</v>
      </c>
      <c r="CA7" s="33">
        <v>0</v>
      </c>
      <c r="CB7" s="278" t="s">
        <v>994</v>
      </c>
      <c r="CC7" s="300" t="s">
        <v>1044</v>
      </c>
      <c r="CD7" s="289">
        <v>1</v>
      </c>
      <c r="CE7" s="35">
        <v>1</v>
      </c>
      <c r="CF7" s="34">
        <f t="shared" si="9"/>
        <v>1</v>
      </c>
      <c r="CG7" s="464">
        <f>714286+124337067</f>
        <v>125051353</v>
      </c>
      <c r="CH7" s="450">
        <f>714286+40697760</f>
        <v>41412046</v>
      </c>
      <c r="CI7" s="546">
        <f>CH7/CG7</f>
        <v>0.33116031939294571</v>
      </c>
      <c r="CJ7" s="85" t="s">
        <v>994</v>
      </c>
      <c r="CK7" s="270" t="s">
        <v>1104</v>
      </c>
      <c r="CL7" s="47">
        <v>1</v>
      </c>
      <c r="CM7" s="35">
        <v>1</v>
      </c>
      <c r="CN7" s="34">
        <f>CM7/CL7</f>
        <v>1</v>
      </c>
    </row>
    <row r="8" spans="1:92" ht="282" customHeight="1" x14ac:dyDescent="0.25">
      <c r="A8" s="563"/>
      <c r="B8" s="551"/>
      <c r="C8" s="553"/>
      <c r="D8" s="548"/>
      <c r="E8" s="445"/>
      <c r="F8" s="47" t="s">
        <v>20</v>
      </c>
      <c r="G8" s="47" t="s">
        <v>21</v>
      </c>
      <c r="H8" s="85" t="s">
        <v>991</v>
      </c>
      <c r="I8" s="47" t="s">
        <v>994</v>
      </c>
      <c r="J8" s="279">
        <v>12</v>
      </c>
      <c r="K8" s="549"/>
      <c r="L8" s="549"/>
      <c r="M8" s="549"/>
      <c r="N8" s="549"/>
      <c r="O8" s="549"/>
      <c r="P8" s="549"/>
      <c r="Q8" s="280">
        <v>12</v>
      </c>
      <c r="R8" s="744">
        <v>3</v>
      </c>
      <c r="S8" s="578"/>
      <c r="T8" s="578"/>
      <c r="U8" s="578"/>
      <c r="V8" s="578"/>
      <c r="W8" s="549"/>
      <c r="X8" s="583" t="s">
        <v>498</v>
      </c>
      <c r="Y8" s="744">
        <v>3</v>
      </c>
      <c r="Z8" s="283">
        <v>2</v>
      </c>
      <c r="AA8" s="33">
        <f t="shared" si="2"/>
        <v>0.66666666666666663</v>
      </c>
      <c r="AB8" s="575"/>
      <c r="AC8" s="575"/>
      <c r="AD8" s="549"/>
      <c r="AE8" s="285" t="s">
        <v>666</v>
      </c>
      <c r="AF8" s="286">
        <v>12</v>
      </c>
      <c r="AG8" s="278">
        <v>12</v>
      </c>
      <c r="AH8" s="33">
        <f t="shared" si="3"/>
        <v>1</v>
      </c>
      <c r="AI8" s="613"/>
      <c r="AJ8" s="613"/>
      <c r="AK8" s="549"/>
      <c r="AL8" s="287" t="s">
        <v>731</v>
      </c>
      <c r="AM8" s="288">
        <v>12</v>
      </c>
      <c r="AN8" s="289">
        <v>12</v>
      </c>
      <c r="AO8" s="33">
        <f t="shared" si="4"/>
        <v>1</v>
      </c>
      <c r="AP8" s="614"/>
      <c r="AQ8" s="614"/>
      <c r="AR8" s="549"/>
      <c r="AS8" s="290" t="s">
        <v>814</v>
      </c>
      <c r="AT8" s="291">
        <v>12</v>
      </c>
      <c r="AU8" s="292">
        <v>12</v>
      </c>
      <c r="AV8" s="33">
        <f t="shared" si="5"/>
        <v>1</v>
      </c>
      <c r="AW8" s="643"/>
      <c r="AX8" s="640"/>
      <c r="AY8" s="549"/>
      <c r="AZ8" s="290" t="s">
        <v>863</v>
      </c>
      <c r="BA8" s="288">
        <v>12</v>
      </c>
      <c r="BB8" s="292">
        <v>12</v>
      </c>
      <c r="BC8" s="33">
        <f t="shared" si="6"/>
        <v>1</v>
      </c>
      <c r="BD8" s="613"/>
      <c r="BE8" s="613"/>
      <c r="BF8" s="549"/>
      <c r="BG8" s="290" t="s">
        <v>863</v>
      </c>
      <c r="BH8" s="288">
        <v>12</v>
      </c>
      <c r="BI8" s="289">
        <v>11</v>
      </c>
      <c r="BJ8" s="71">
        <f t="shared" si="0"/>
        <v>0.91666666666666663</v>
      </c>
      <c r="BK8" s="613"/>
      <c r="BL8" s="613"/>
      <c r="BM8" s="622"/>
      <c r="BN8" s="648"/>
      <c r="BO8" s="295">
        <v>11</v>
      </c>
      <c r="BP8" s="296">
        <v>11</v>
      </c>
      <c r="BQ8" s="33">
        <f t="shared" si="7"/>
        <v>1</v>
      </c>
      <c r="BR8" s="575"/>
      <c r="BS8" s="575"/>
      <c r="BT8" s="549"/>
      <c r="BU8" s="298" t="s">
        <v>586</v>
      </c>
      <c r="BV8" s="289">
        <v>11</v>
      </c>
      <c r="BW8" s="296">
        <v>11</v>
      </c>
      <c r="BX8" s="33">
        <v>1</v>
      </c>
      <c r="BY8" s="465"/>
      <c r="BZ8" s="465"/>
      <c r="CA8" s="33">
        <v>0</v>
      </c>
      <c r="CB8" s="278" t="s">
        <v>991</v>
      </c>
      <c r="CC8" s="322" t="s">
        <v>1045</v>
      </c>
      <c r="CD8" s="289">
        <v>12</v>
      </c>
      <c r="CE8" s="32">
        <v>12</v>
      </c>
      <c r="CF8" s="34">
        <v>1</v>
      </c>
      <c r="CG8" s="465"/>
      <c r="CH8" s="452"/>
      <c r="CI8" s="547"/>
      <c r="CJ8" s="85" t="s">
        <v>991</v>
      </c>
      <c r="CK8" s="435" t="s">
        <v>1142</v>
      </c>
      <c r="CL8" s="47">
        <v>12</v>
      </c>
      <c r="CM8" s="32">
        <v>12</v>
      </c>
      <c r="CN8" s="239">
        <f>CM8/CL8</f>
        <v>1</v>
      </c>
    </row>
    <row r="9" spans="1:92" ht="47.25" customHeight="1" x14ac:dyDescent="0.25">
      <c r="A9" s="563"/>
      <c r="B9" s="551"/>
      <c r="C9" s="553"/>
      <c r="D9" s="548" t="s">
        <v>22</v>
      </c>
      <c r="E9" s="445" t="s">
        <v>23</v>
      </c>
      <c r="F9" s="516" t="s">
        <v>24</v>
      </c>
      <c r="G9" s="516" t="s">
        <v>25</v>
      </c>
      <c r="H9" s="543" t="s">
        <v>995</v>
      </c>
      <c r="I9" s="445">
        <v>0</v>
      </c>
      <c r="J9" s="559">
        <v>0.35</v>
      </c>
      <c r="K9" s="549" t="s">
        <v>295</v>
      </c>
      <c r="L9" s="549" t="s">
        <v>379</v>
      </c>
      <c r="M9" s="549" t="s">
        <v>367</v>
      </c>
      <c r="N9" s="549" t="s">
        <v>450</v>
      </c>
      <c r="O9" s="549" t="s">
        <v>368</v>
      </c>
      <c r="P9" s="549" t="s">
        <v>399</v>
      </c>
      <c r="Q9" s="581">
        <v>0.35</v>
      </c>
      <c r="R9" s="744"/>
      <c r="S9" s="579"/>
      <c r="T9" s="579"/>
      <c r="U9" s="579"/>
      <c r="V9" s="579"/>
      <c r="W9" s="549" t="s">
        <v>279</v>
      </c>
      <c r="X9" s="583"/>
      <c r="Y9" s="744"/>
      <c r="Z9" s="308">
        <v>0.03</v>
      </c>
      <c r="AA9" s="488">
        <v>0</v>
      </c>
      <c r="AB9" s="575"/>
      <c r="AC9" s="575"/>
      <c r="AD9" s="549" t="s">
        <v>279</v>
      </c>
      <c r="AE9" s="285" t="s">
        <v>667</v>
      </c>
      <c r="AF9" s="603">
        <v>0.13</v>
      </c>
      <c r="AG9" s="615">
        <v>0.13</v>
      </c>
      <c r="AH9" s="488">
        <v>0</v>
      </c>
      <c r="AI9" s="613" t="s">
        <v>696</v>
      </c>
      <c r="AJ9" s="613" t="s">
        <v>697</v>
      </c>
      <c r="AK9" s="549" t="s">
        <v>279</v>
      </c>
      <c r="AL9" s="616" t="s">
        <v>732</v>
      </c>
      <c r="AM9" s="617">
        <v>0.13</v>
      </c>
      <c r="AN9" s="508">
        <v>0</v>
      </c>
      <c r="AO9" s="488">
        <v>0</v>
      </c>
      <c r="AP9" s="613" t="s">
        <v>784</v>
      </c>
      <c r="AQ9" s="613" t="s">
        <v>785</v>
      </c>
      <c r="AR9" s="549" t="s">
        <v>279</v>
      </c>
      <c r="AS9" s="612" t="s">
        <v>815</v>
      </c>
      <c r="AT9" s="637">
        <v>0.15</v>
      </c>
      <c r="AU9" s="639">
        <v>0.15</v>
      </c>
      <c r="AV9" s="488">
        <v>0</v>
      </c>
      <c r="AW9" s="641" t="s">
        <v>855</v>
      </c>
      <c r="AX9" s="642" t="s">
        <v>856</v>
      </c>
      <c r="AY9" s="549" t="s">
        <v>279</v>
      </c>
      <c r="AZ9" s="612" t="s">
        <v>864</v>
      </c>
      <c r="BA9" s="621">
        <v>1</v>
      </c>
      <c r="BB9" s="622" t="s">
        <v>915</v>
      </c>
      <c r="BC9" s="488">
        <v>0</v>
      </c>
      <c r="BD9" s="613">
        <v>34750000</v>
      </c>
      <c r="BE9" s="613">
        <v>25081000</v>
      </c>
      <c r="BF9" s="549" t="s">
        <v>279</v>
      </c>
      <c r="BG9" s="616" t="s">
        <v>934</v>
      </c>
      <c r="BH9" s="666">
        <v>8.7499999999999994E-2</v>
      </c>
      <c r="BI9" s="622">
        <v>0</v>
      </c>
      <c r="BJ9" s="663">
        <v>0</v>
      </c>
      <c r="BK9" s="613"/>
      <c r="BL9" s="613"/>
      <c r="BM9" s="622" t="s">
        <v>279</v>
      </c>
      <c r="BN9" s="648" t="s">
        <v>510</v>
      </c>
      <c r="BO9" s="667">
        <v>8.7499999999999994E-2</v>
      </c>
      <c r="BP9" s="549">
        <v>0</v>
      </c>
      <c r="BQ9" s="488">
        <v>0</v>
      </c>
      <c r="BR9" s="575" t="s">
        <v>587</v>
      </c>
      <c r="BS9" s="575" t="s">
        <v>588</v>
      </c>
      <c r="BT9" s="549" t="s">
        <v>279</v>
      </c>
      <c r="BU9" s="662" t="s">
        <v>589</v>
      </c>
      <c r="BV9" s="508" t="s">
        <v>978</v>
      </c>
      <c r="BW9" s="549">
        <v>0</v>
      </c>
      <c r="BX9" s="488">
        <v>0</v>
      </c>
      <c r="BY9" s="464">
        <v>0</v>
      </c>
      <c r="BZ9" s="464">
        <v>0</v>
      </c>
      <c r="CA9" s="706">
        <v>0</v>
      </c>
      <c r="CB9" s="622" t="s">
        <v>995</v>
      </c>
      <c r="CC9" s="702" t="s">
        <v>1079</v>
      </c>
      <c r="CD9" s="508" t="s">
        <v>978</v>
      </c>
      <c r="CE9" s="516">
        <v>0</v>
      </c>
      <c r="CF9" s="514">
        <v>0</v>
      </c>
      <c r="CG9" s="470">
        <v>0</v>
      </c>
      <c r="CH9" s="470">
        <v>124337067</v>
      </c>
      <c r="CI9" s="503">
        <v>0</v>
      </c>
      <c r="CJ9" s="543" t="s">
        <v>995</v>
      </c>
      <c r="CK9" s="506" t="s">
        <v>1105</v>
      </c>
      <c r="CL9" s="481">
        <v>0.35</v>
      </c>
      <c r="CM9" s="808">
        <v>0</v>
      </c>
      <c r="CN9" s="514">
        <v>0</v>
      </c>
    </row>
    <row r="10" spans="1:92" ht="57.75" customHeight="1" x14ac:dyDescent="0.25">
      <c r="A10" s="563"/>
      <c r="B10" s="551"/>
      <c r="C10" s="553"/>
      <c r="D10" s="548"/>
      <c r="E10" s="445"/>
      <c r="F10" s="516"/>
      <c r="G10" s="516"/>
      <c r="H10" s="543"/>
      <c r="I10" s="445"/>
      <c r="J10" s="559"/>
      <c r="K10" s="549"/>
      <c r="L10" s="549"/>
      <c r="M10" s="549"/>
      <c r="N10" s="549"/>
      <c r="O10" s="549"/>
      <c r="P10" s="549"/>
      <c r="Q10" s="581"/>
      <c r="R10" s="281">
        <v>0</v>
      </c>
      <c r="S10" s="584"/>
      <c r="T10" s="584"/>
      <c r="U10" s="584"/>
      <c r="V10" s="584"/>
      <c r="W10" s="549"/>
      <c r="X10" s="282"/>
      <c r="Y10" s="281">
        <v>0</v>
      </c>
      <c r="Z10" s="283"/>
      <c r="AA10" s="488"/>
      <c r="AB10" s="575"/>
      <c r="AC10" s="575"/>
      <c r="AD10" s="549"/>
      <c r="AE10" s="285" t="s">
        <v>668</v>
      </c>
      <c r="AF10" s="603"/>
      <c r="AG10" s="615"/>
      <c r="AH10" s="488"/>
      <c r="AI10" s="613"/>
      <c r="AJ10" s="613"/>
      <c r="AK10" s="549"/>
      <c r="AL10" s="616"/>
      <c r="AM10" s="618"/>
      <c r="AN10" s="508"/>
      <c r="AO10" s="488"/>
      <c r="AP10" s="614" t="s">
        <v>786</v>
      </c>
      <c r="AQ10" s="614" t="s">
        <v>787</v>
      </c>
      <c r="AR10" s="549"/>
      <c r="AS10" s="612" t="s">
        <v>816</v>
      </c>
      <c r="AT10" s="638"/>
      <c r="AU10" s="640"/>
      <c r="AV10" s="488"/>
      <c r="AW10" s="640"/>
      <c r="AX10" s="643"/>
      <c r="AY10" s="549"/>
      <c r="AZ10" s="612" t="s">
        <v>816</v>
      </c>
      <c r="BA10" s="621"/>
      <c r="BB10" s="622"/>
      <c r="BC10" s="488"/>
      <c r="BD10" s="613"/>
      <c r="BE10" s="613"/>
      <c r="BF10" s="549"/>
      <c r="BG10" s="616"/>
      <c r="BH10" s="666"/>
      <c r="BI10" s="622"/>
      <c r="BJ10" s="663"/>
      <c r="BK10" s="613"/>
      <c r="BL10" s="613"/>
      <c r="BM10" s="622"/>
      <c r="BN10" s="648"/>
      <c r="BO10" s="667"/>
      <c r="BP10" s="549"/>
      <c r="BQ10" s="488"/>
      <c r="BR10" s="575"/>
      <c r="BS10" s="575"/>
      <c r="BT10" s="549"/>
      <c r="BU10" s="662"/>
      <c r="BV10" s="508"/>
      <c r="BW10" s="549"/>
      <c r="BX10" s="488"/>
      <c r="BY10" s="709"/>
      <c r="BZ10" s="709"/>
      <c r="CA10" s="708"/>
      <c r="CB10" s="622"/>
      <c r="CC10" s="711"/>
      <c r="CD10" s="508"/>
      <c r="CE10" s="516"/>
      <c r="CF10" s="514"/>
      <c r="CG10" s="492"/>
      <c r="CH10" s="492"/>
      <c r="CI10" s="541"/>
      <c r="CJ10" s="543"/>
      <c r="CK10" s="484"/>
      <c r="CL10" s="481"/>
      <c r="CM10" s="809"/>
      <c r="CN10" s="514"/>
    </row>
    <row r="11" spans="1:92" ht="101.25" customHeight="1" thickBot="1" x14ac:dyDescent="0.3">
      <c r="A11" s="563"/>
      <c r="B11" s="551"/>
      <c r="C11" s="553"/>
      <c r="D11" s="548"/>
      <c r="E11" s="445"/>
      <c r="F11" s="516"/>
      <c r="G11" s="516"/>
      <c r="H11" s="544"/>
      <c r="I11" s="445"/>
      <c r="J11" s="559"/>
      <c r="K11" s="549"/>
      <c r="L11" s="549"/>
      <c r="M11" s="549"/>
      <c r="N11" s="549"/>
      <c r="O11" s="549"/>
      <c r="P11" s="549"/>
      <c r="Q11" s="581"/>
      <c r="R11" s="281" t="s">
        <v>41</v>
      </c>
      <c r="S11" s="579"/>
      <c r="T11" s="579"/>
      <c r="U11" s="579"/>
      <c r="V11" s="579"/>
      <c r="W11" s="549"/>
      <c r="X11" s="282"/>
      <c r="Y11" s="281" t="s">
        <v>41</v>
      </c>
      <c r="Z11" s="283" t="s">
        <v>37</v>
      </c>
      <c r="AA11" s="488"/>
      <c r="AB11" s="575"/>
      <c r="AC11" s="575"/>
      <c r="AD11" s="549"/>
      <c r="AE11" s="285" t="s">
        <v>668</v>
      </c>
      <c r="AF11" s="603"/>
      <c r="AG11" s="615"/>
      <c r="AH11" s="488"/>
      <c r="AI11" s="613"/>
      <c r="AJ11" s="613"/>
      <c r="AK11" s="549"/>
      <c r="AL11" s="616"/>
      <c r="AM11" s="618"/>
      <c r="AN11" s="508"/>
      <c r="AO11" s="488"/>
      <c r="AP11" s="614" t="s">
        <v>786</v>
      </c>
      <c r="AQ11" s="614" t="s">
        <v>787</v>
      </c>
      <c r="AR11" s="549"/>
      <c r="AS11" s="612" t="s">
        <v>816</v>
      </c>
      <c r="AT11" s="638"/>
      <c r="AU11" s="640"/>
      <c r="AV11" s="488"/>
      <c r="AW11" s="640"/>
      <c r="AX11" s="643"/>
      <c r="AY11" s="549"/>
      <c r="AZ11" s="612" t="s">
        <v>816</v>
      </c>
      <c r="BA11" s="621"/>
      <c r="BB11" s="622"/>
      <c r="BC11" s="488"/>
      <c r="BD11" s="613"/>
      <c r="BE11" s="613"/>
      <c r="BF11" s="549"/>
      <c r="BG11" s="616"/>
      <c r="BH11" s="666"/>
      <c r="BI11" s="622"/>
      <c r="BJ11" s="663"/>
      <c r="BK11" s="613"/>
      <c r="BL11" s="613"/>
      <c r="BM11" s="622"/>
      <c r="BN11" s="648"/>
      <c r="BO11" s="667"/>
      <c r="BP11" s="549"/>
      <c r="BQ11" s="488"/>
      <c r="BR11" s="575"/>
      <c r="BS11" s="575"/>
      <c r="BT11" s="549"/>
      <c r="BU11" s="662"/>
      <c r="BV11" s="508"/>
      <c r="BW11" s="549"/>
      <c r="BX11" s="488"/>
      <c r="BY11" s="709"/>
      <c r="BZ11" s="709"/>
      <c r="CA11" s="819"/>
      <c r="CB11" s="710"/>
      <c r="CC11" s="712"/>
      <c r="CD11" s="508"/>
      <c r="CE11" s="516"/>
      <c r="CF11" s="514"/>
      <c r="CG11" s="492"/>
      <c r="CH11" s="492"/>
      <c r="CI11" s="542"/>
      <c r="CJ11" s="544"/>
      <c r="CK11" s="545"/>
      <c r="CL11" s="481"/>
      <c r="CM11" s="810"/>
      <c r="CN11" s="514"/>
    </row>
    <row r="12" spans="1:92" ht="232.5" customHeight="1" x14ac:dyDescent="0.25">
      <c r="A12" s="561" t="s">
        <v>26</v>
      </c>
      <c r="B12" s="445" t="s">
        <v>27</v>
      </c>
      <c r="C12" s="558" t="s">
        <v>28</v>
      </c>
      <c r="D12" s="111" t="s">
        <v>29</v>
      </c>
      <c r="E12" s="47" t="s">
        <v>30</v>
      </c>
      <c r="F12" s="47" t="s">
        <v>31</v>
      </c>
      <c r="G12" s="47" t="s">
        <v>32</v>
      </c>
      <c r="H12" s="224" t="s">
        <v>996</v>
      </c>
      <c r="I12" s="47" t="s">
        <v>33</v>
      </c>
      <c r="J12" s="279" t="s">
        <v>34</v>
      </c>
      <c r="K12" s="279" t="s">
        <v>295</v>
      </c>
      <c r="L12" s="279" t="s">
        <v>380</v>
      </c>
      <c r="M12" s="279" t="s">
        <v>296</v>
      </c>
      <c r="N12" s="279" t="s">
        <v>428</v>
      </c>
      <c r="O12" s="279" t="s">
        <v>297</v>
      </c>
      <c r="P12" s="279" t="s">
        <v>398</v>
      </c>
      <c r="Q12" s="280" t="s">
        <v>34</v>
      </c>
      <c r="R12" s="307" t="s">
        <v>41</v>
      </c>
      <c r="S12" s="579"/>
      <c r="T12" s="579"/>
      <c r="U12" s="579"/>
      <c r="V12" s="579"/>
      <c r="W12" s="549" t="s">
        <v>278</v>
      </c>
      <c r="X12" s="323"/>
      <c r="Y12" s="307" t="s">
        <v>41</v>
      </c>
      <c r="Z12" s="308" t="s">
        <v>37</v>
      </c>
      <c r="AA12" s="256">
        <v>0.77</v>
      </c>
      <c r="AB12" s="272"/>
      <c r="AC12" s="272"/>
      <c r="AD12" s="549" t="s">
        <v>278</v>
      </c>
      <c r="AE12" s="324" t="s">
        <v>669</v>
      </c>
      <c r="AF12" s="325">
        <v>0.125</v>
      </c>
      <c r="AG12" s="318">
        <v>0.22</v>
      </c>
      <c r="AH12" s="256">
        <v>0.64449999999999996</v>
      </c>
      <c r="AI12" s="613" t="s">
        <v>698</v>
      </c>
      <c r="AJ12" s="613" t="s">
        <v>699</v>
      </c>
      <c r="AK12" s="549" t="s">
        <v>278</v>
      </c>
      <c r="AL12" s="287" t="s">
        <v>733</v>
      </c>
      <c r="AM12" s="326">
        <v>0.12</v>
      </c>
      <c r="AN12" s="327">
        <v>0.22</v>
      </c>
      <c r="AO12" s="256">
        <v>0.77</v>
      </c>
      <c r="AP12" s="613" t="s">
        <v>788</v>
      </c>
      <c r="AQ12" s="613" t="s">
        <v>789</v>
      </c>
      <c r="AR12" s="549" t="s">
        <v>278</v>
      </c>
      <c r="AS12" s="750" t="s">
        <v>817</v>
      </c>
      <c r="AT12" s="328">
        <v>0.11700000000000001</v>
      </c>
      <c r="AU12" s="329">
        <v>0.18</v>
      </c>
      <c r="AV12" s="256">
        <v>0.64449999999999996</v>
      </c>
      <c r="AW12" s="330" t="s">
        <v>856</v>
      </c>
      <c r="AX12" s="330" t="s">
        <v>856</v>
      </c>
      <c r="AY12" s="549" t="s">
        <v>278</v>
      </c>
      <c r="AZ12" s="331" t="s">
        <v>865</v>
      </c>
      <c r="BA12" s="325">
        <v>0.17499999999999999</v>
      </c>
      <c r="BB12" s="318">
        <v>0.21</v>
      </c>
      <c r="BC12" s="256">
        <v>0.77</v>
      </c>
      <c r="BD12" s="613" t="s">
        <v>921</v>
      </c>
      <c r="BE12" s="613" t="s">
        <v>922</v>
      </c>
      <c r="BF12" s="549" t="s">
        <v>278</v>
      </c>
      <c r="BG12" s="332" t="s">
        <v>935</v>
      </c>
      <c r="BH12" s="325" t="s">
        <v>403</v>
      </c>
      <c r="BI12" s="333">
        <v>35.299999999999997</v>
      </c>
      <c r="BJ12" s="14">
        <v>0</v>
      </c>
      <c r="BK12" s="294"/>
      <c r="BL12" s="294"/>
      <c r="BM12" s="622" t="s">
        <v>278</v>
      </c>
      <c r="BN12" s="301" t="s">
        <v>511</v>
      </c>
      <c r="BO12" s="334" t="s">
        <v>403</v>
      </c>
      <c r="BP12" s="335" t="s">
        <v>421</v>
      </c>
      <c r="BQ12" s="256">
        <v>0.64449999999999996</v>
      </c>
      <c r="BR12" s="272">
        <v>0</v>
      </c>
      <c r="BS12" s="272">
        <v>0</v>
      </c>
      <c r="BT12" s="549" t="s">
        <v>278</v>
      </c>
      <c r="BU12" s="336" t="s">
        <v>590</v>
      </c>
      <c r="BV12" s="310">
        <v>0.13</v>
      </c>
      <c r="BW12" s="335" t="s">
        <v>463</v>
      </c>
      <c r="BX12" s="256">
        <v>0.4</v>
      </c>
      <c r="BY12" s="272">
        <f>8380975+175942526+66232642475</f>
        <v>66416965976</v>
      </c>
      <c r="BZ12" s="272">
        <f>6285731+
140457526+66232642475</f>
        <v>66379385732</v>
      </c>
      <c r="CA12" s="337">
        <f>BZ12/BY12</f>
        <v>0.9994341770442573</v>
      </c>
      <c r="CB12" s="299" t="s">
        <v>996</v>
      </c>
      <c r="CC12" s="338" t="s">
        <v>1080</v>
      </c>
      <c r="CD12" s="289" t="s">
        <v>1101</v>
      </c>
      <c r="CE12" s="38">
        <v>0.20499999999999999</v>
      </c>
      <c r="CF12" s="264">
        <v>0.33300000000000002</v>
      </c>
      <c r="CG12" s="55">
        <f>358000000+8380975+175942526+66232642475+240328965+358000000+1724800+11200000</f>
        <v>67386219741</v>
      </c>
      <c r="CH12" s="429">
        <f>6285731+358000000+1724800+11200000+
140457526+66232642475+387567781</f>
        <v>67137878313</v>
      </c>
      <c r="CI12" s="231">
        <f>CH12/CG12</f>
        <v>0.99631465559346544</v>
      </c>
      <c r="CJ12" s="224" t="s">
        <v>996</v>
      </c>
      <c r="CK12" s="436" t="s">
        <v>1143</v>
      </c>
      <c r="CL12" s="47" t="s">
        <v>34</v>
      </c>
      <c r="CM12" s="434">
        <v>0.20499999999999999</v>
      </c>
      <c r="CN12" s="264">
        <v>0.3</v>
      </c>
    </row>
    <row r="13" spans="1:92" s="2" customFormat="1" ht="201.75" customHeight="1" x14ac:dyDescent="0.25">
      <c r="A13" s="561"/>
      <c r="B13" s="445"/>
      <c r="C13" s="558"/>
      <c r="D13" s="112" t="s">
        <v>35</v>
      </c>
      <c r="E13" s="57" t="s">
        <v>36</v>
      </c>
      <c r="F13" s="57" t="s">
        <v>429</v>
      </c>
      <c r="G13" s="57" t="s">
        <v>430</v>
      </c>
      <c r="H13" s="85" t="s">
        <v>997</v>
      </c>
      <c r="I13" s="57" t="s">
        <v>37</v>
      </c>
      <c r="J13" s="279">
        <f>100*10*3</f>
        <v>3000</v>
      </c>
      <c r="K13" s="279" t="s">
        <v>295</v>
      </c>
      <c r="L13" s="279" t="s">
        <v>451</v>
      </c>
      <c r="M13" s="279" t="s">
        <v>369</v>
      </c>
      <c r="N13" s="279" t="s">
        <v>393</v>
      </c>
      <c r="O13" s="279" t="s">
        <v>370</v>
      </c>
      <c r="P13" s="279" t="s">
        <v>394</v>
      </c>
      <c r="Q13" s="280">
        <f>100*10*3</f>
        <v>3000</v>
      </c>
      <c r="R13" s="281" t="s">
        <v>41</v>
      </c>
      <c r="S13" s="579"/>
      <c r="T13" s="579"/>
      <c r="U13" s="579"/>
      <c r="V13" s="579"/>
      <c r="W13" s="549"/>
      <c r="X13" s="323"/>
      <c r="Y13" s="281" t="s">
        <v>41</v>
      </c>
      <c r="Z13" s="283" t="s">
        <v>37</v>
      </c>
      <c r="AA13" s="256">
        <v>0.33</v>
      </c>
      <c r="AB13" s="272"/>
      <c r="AC13" s="272"/>
      <c r="AD13" s="549"/>
      <c r="AE13" s="324" t="s">
        <v>670</v>
      </c>
      <c r="AF13" s="286">
        <v>300</v>
      </c>
      <c r="AG13" s="278">
        <v>714</v>
      </c>
      <c r="AH13" s="256">
        <v>0.33</v>
      </c>
      <c r="AI13" s="613"/>
      <c r="AJ13" s="613"/>
      <c r="AK13" s="549"/>
      <c r="AL13" s="287" t="s">
        <v>734</v>
      </c>
      <c r="AM13" s="288">
        <v>300</v>
      </c>
      <c r="AN13" s="289">
        <v>65</v>
      </c>
      <c r="AO13" s="256">
        <v>0.33</v>
      </c>
      <c r="AP13" s="614"/>
      <c r="AQ13" s="614"/>
      <c r="AR13" s="549"/>
      <c r="AS13" s="750"/>
      <c r="AT13" s="339">
        <v>3</v>
      </c>
      <c r="AU13" s="340">
        <v>3</v>
      </c>
      <c r="AV13" s="256">
        <v>0.33</v>
      </c>
      <c r="AW13" s="330" t="s">
        <v>856</v>
      </c>
      <c r="AX13" s="330" t="s">
        <v>856</v>
      </c>
      <c r="AY13" s="549"/>
      <c r="AZ13" s="341" t="s">
        <v>866</v>
      </c>
      <c r="BA13" s="286">
        <v>3</v>
      </c>
      <c r="BB13" s="278" t="s">
        <v>916</v>
      </c>
      <c r="BC13" s="256">
        <v>0.33</v>
      </c>
      <c r="BD13" s="613"/>
      <c r="BE13" s="613"/>
      <c r="BF13" s="549"/>
      <c r="BG13" s="332" t="s">
        <v>936</v>
      </c>
      <c r="BH13" s="286">
        <v>0</v>
      </c>
      <c r="BI13" s="278">
        <v>0</v>
      </c>
      <c r="BJ13" s="14">
        <v>1</v>
      </c>
      <c r="BK13" s="294"/>
      <c r="BL13" s="294"/>
      <c r="BM13" s="622"/>
      <c r="BN13" s="293" t="s">
        <v>512</v>
      </c>
      <c r="BO13" s="342">
        <v>0</v>
      </c>
      <c r="BP13" s="279">
        <v>0</v>
      </c>
      <c r="BQ13" s="256">
        <v>1</v>
      </c>
      <c r="BR13" s="272">
        <v>225000000</v>
      </c>
      <c r="BS13" s="272" t="s">
        <v>591</v>
      </c>
      <c r="BT13" s="549"/>
      <c r="BU13" s="298" t="s">
        <v>592</v>
      </c>
      <c r="BV13" s="289">
        <v>205</v>
      </c>
      <c r="BW13" s="279">
        <v>193</v>
      </c>
      <c r="BX13" s="256">
        <v>0.94099999999999995</v>
      </c>
      <c r="BY13" s="272">
        <f>8380975
+264860887+
1463333+3690000</f>
        <v>278395195</v>
      </c>
      <c r="BZ13" s="284">
        <f>3331245+196405887+630000+3960000</f>
        <v>204327132</v>
      </c>
      <c r="CA13" s="256">
        <f>BZ13/BY13</f>
        <v>0.73394633122170083</v>
      </c>
      <c r="CB13" s="278" t="s">
        <v>997</v>
      </c>
      <c r="CC13" s="300" t="s">
        <v>1093</v>
      </c>
      <c r="CD13" s="289">
        <v>205</v>
      </c>
      <c r="CE13" s="57">
        <f>193+8</f>
        <v>201</v>
      </c>
      <c r="CF13" s="56">
        <v>0.94099999999999995</v>
      </c>
      <c r="CG13" s="55">
        <f>8380975+1724800+18000000
+264860887+
1463333+3690000</f>
        <v>298119995</v>
      </c>
      <c r="CH13" s="429">
        <f>3331245+196405887+630000+3960000+1724800+8000000</f>
        <v>214051932</v>
      </c>
      <c r="CI13" s="56">
        <f>CH13/CG13</f>
        <v>0.71800595595743255</v>
      </c>
      <c r="CJ13" s="85" t="s">
        <v>997</v>
      </c>
      <c r="CK13" s="419" t="s">
        <v>1144</v>
      </c>
      <c r="CL13" s="57">
        <f>100*10*3</f>
        <v>3000</v>
      </c>
      <c r="CM13" s="276">
        <f>981.5+8+201</f>
        <v>1190.5</v>
      </c>
      <c r="CN13" s="257">
        <f>CM13/CL13</f>
        <v>0.39683333333333332</v>
      </c>
    </row>
    <row r="14" spans="1:92" ht="93.75" customHeight="1" x14ac:dyDescent="0.25">
      <c r="A14" s="561"/>
      <c r="B14" s="445"/>
      <c r="C14" s="558"/>
      <c r="D14" s="548" t="s">
        <v>38</v>
      </c>
      <c r="E14" s="445" t="s">
        <v>39</v>
      </c>
      <c r="F14" s="445" t="s">
        <v>434</v>
      </c>
      <c r="G14" s="445" t="s">
        <v>40</v>
      </c>
      <c r="H14" s="454" t="s">
        <v>998</v>
      </c>
      <c r="I14" s="516" t="s">
        <v>37</v>
      </c>
      <c r="J14" s="549" t="s">
        <v>41</v>
      </c>
      <c r="K14" s="549" t="s">
        <v>291</v>
      </c>
      <c r="L14" s="549" t="s">
        <v>381</v>
      </c>
      <c r="M14" s="549" t="s">
        <v>371</v>
      </c>
      <c r="N14" s="549" t="s">
        <v>386</v>
      </c>
      <c r="O14" s="549" t="s">
        <v>372</v>
      </c>
      <c r="P14" s="549" t="s">
        <v>395</v>
      </c>
      <c r="Q14" s="582" t="s">
        <v>41</v>
      </c>
      <c r="R14" s="281" t="s">
        <v>41</v>
      </c>
      <c r="S14" s="579"/>
      <c r="T14" s="579"/>
      <c r="U14" s="579"/>
      <c r="V14" s="579"/>
      <c r="W14" s="549"/>
      <c r="X14" s="323"/>
      <c r="Y14" s="281" t="s">
        <v>41</v>
      </c>
      <c r="Z14" s="283" t="s">
        <v>37</v>
      </c>
      <c r="AA14" s="488">
        <v>0</v>
      </c>
      <c r="AB14" s="580"/>
      <c r="AC14" s="580"/>
      <c r="AD14" s="549"/>
      <c r="AE14" s="324" t="s">
        <v>670</v>
      </c>
      <c r="AF14" s="343">
        <v>0.06</v>
      </c>
      <c r="AG14" s="318">
        <v>0.06</v>
      </c>
      <c r="AH14" s="488">
        <v>0</v>
      </c>
      <c r="AI14" s="613"/>
      <c r="AJ14" s="613"/>
      <c r="AK14" s="549"/>
      <c r="AL14" s="311" t="s">
        <v>735</v>
      </c>
      <c r="AM14" s="309">
        <v>0.06</v>
      </c>
      <c r="AN14" s="289">
        <v>0</v>
      </c>
      <c r="AO14" s="488">
        <v>0</v>
      </c>
      <c r="AP14" s="614"/>
      <c r="AQ14" s="614"/>
      <c r="AR14" s="549"/>
      <c r="AS14" s="750"/>
      <c r="AT14" s="344">
        <v>0.06</v>
      </c>
      <c r="AU14" s="312">
        <v>0.04</v>
      </c>
      <c r="AV14" s="488">
        <v>0</v>
      </c>
      <c r="AW14" s="330" t="s">
        <v>856</v>
      </c>
      <c r="AX14" s="330" t="s">
        <v>856</v>
      </c>
      <c r="AY14" s="549"/>
      <c r="AZ14" s="345" t="s">
        <v>867</v>
      </c>
      <c r="BA14" s="621">
        <v>12</v>
      </c>
      <c r="BB14" s="622" t="s">
        <v>917</v>
      </c>
      <c r="BC14" s="488">
        <v>0</v>
      </c>
      <c r="BD14" s="613"/>
      <c r="BE14" s="613"/>
      <c r="BF14" s="549"/>
      <c r="BG14" s="647" t="s">
        <v>937</v>
      </c>
      <c r="BH14" s="603">
        <v>0.1</v>
      </c>
      <c r="BI14" s="622">
        <v>0</v>
      </c>
      <c r="BJ14" s="663">
        <v>0</v>
      </c>
      <c r="BK14" s="613"/>
      <c r="BL14" s="613"/>
      <c r="BM14" s="622"/>
      <c r="BN14" s="648" t="s">
        <v>513</v>
      </c>
      <c r="BO14" s="664">
        <v>0.1</v>
      </c>
      <c r="BP14" s="549">
        <v>0</v>
      </c>
      <c r="BQ14" s="488">
        <v>0</v>
      </c>
      <c r="BR14" s="580" t="s">
        <v>593</v>
      </c>
      <c r="BS14" s="580" t="s">
        <v>594</v>
      </c>
      <c r="BT14" s="549"/>
      <c r="BU14" s="662" t="s">
        <v>595</v>
      </c>
      <c r="BV14" s="507">
        <v>0.1</v>
      </c>
      <c r="BW14" s="549">
        <v>0</v>
      </c>
      <c r="BX14" s="488">
        <v>0</v>
      </c>
      <c r="BY14" s="700">
        <v>30000000</v>
      </c>
      <c r="BZ14" s="700">
        <v>30000000</v>
      </c>
      <c r="CA14" s="706">
        <f>BZ14/BY14</f>
        <v>1</v>
      </c>
      <c r="CB14" s="494" t="s">
        <v>998</v>
      </c>
      <c r="CC14" s="702" t="s">
        <v>1046</v>
      </c>
      <c r="CD14" s="507">
        <v>0.1</v>
      </c>
      <c r="CE14" s="516">
        <v>0</v>
      </c>
      <c r="CF14" s="514">
        <v>0</v>
      </c>
      <c r="CG14" s="798">
        <v>30000000</v>
      </c>
      <c r="CH14" s="800">
        <v>30000000</v>
      </c>
      <c r="CI14" s="503">
        <f>CH14/CG14</f>
        <v>1</v>
      </c>
      <c r="CJ14" s="454" t="s">
        <v>998</v>
      </c>
      <c r="CK14" s="457" t="s">
        <v>1159</v>
      </c>
      <c r="CL14" s="516">
        <v>0</v>
      </c>
      <c r="CM14" s="808">
        <v>0</v>
      </c>
      <c r="CN14" s="514">
        <v>0</v>
      </c>
    </row>
    <row r="15" spans="1:92" ht="73.5" customHeight="1" x14ac:dyDescent="0.25">
      <c r="A15" s="561"/>
      <c r="B15" s="445"/>
      <c r="C15" s="558"/>
      <c r="D15" s="548"/>
      <c r="E15" s="445"/>
      <c r="F15" s="445"/>
      <c r="G15" s="445"/>
      <c r="H15" s="477"/>
      <c r="I15" s="516"/>
      <c r="J15" s="549"/>
      <c r="K15" s="549"/>
      <c r="L15" s="549"/>
      <c r="M15" s="549"/>
      <c r="N15" s="549"/>
      <c r="O15" s="549"/>
      <c r="P15" s="549"/>
      <c r="Q15" s="582"/>
      <c r="R15" s="281" t="s">
        <v>41</v>
      </c>
      <c r="S15" s="579"/>
      <c r="T15" s="579"/>
      <c r="U15" s="579"/>
      <c r="V15" s="579"/>
      <c r="W15" s="549"/>
      <c r="X15" s="323"/>
      <c r="Y15" s="281" t="s">
        <v>41</v>
      </c>
      <c r="Z15" s="283" t="s">
        <v>37</v>
      </c>
      <c r="AA15" s="488"/>
      <c r="AB15" s="580"/>
      <c r="AC15" s="580"/>
      <c r="AD15" s="549"/>
      <c r="AE15" s="324" t="s">
        <v>670</v>
      </c>
      <c r="AF15" s="286" t="s">
        <v>691</v>
      </c>
      <c r="AG15" s="278" t="s">
        <v>691</v>
      </c>
      <c r="AH15" s="488"/>
      <c r="AI15" s="294" t="s">
        <v>700</v>
      </c>
      <c r="AJ15" s="294" t="s">
        <v>700</v>
      </c>
      <c r="AK15" s="549"/>
      <c r="AL15" s="612" t="s">
        <v>736</v>
      </c>
      <c r="AM15" s="286" t="s">
        <v>691</v>
      </c>
      <c r="AN15" s="278" t="s">
        <v>691</v>
      </c>
      <c r="AO15" s="488"/>
      <c r="AP15" s="294" t="s">
        <v>700</v>
      </c>
      <c r="AQ15" s="294" t="s">
        <v>700</v>
      </c>
      <c r="AR15" s="549"/>
      <c r="AS15" s="616" t="s">
        <v>818</v>
      </c>
      <c r="AT15" s="346">
        <v>649</v>
      </c>
      <c r="AU15" s="292">
        <v>649</v>
      </c>
      <c r="AV15" s="488"/>
      <c r="AW15" s="330" t="s">
        <v>856</v>
      </c>
      <c r="AX15" s="330" t="s">
        <v>856</v>
      </c>
      <c r="AY15" s="549"/>
      <c r="AZ15" s="779" t="s">
        <v>868</v>
      </c>
      <c r="BA15" s="621"/>
      <c r="BB15" s="622"/>
      <c r="BC15" s="488"/>
      <c r="BD15" s="613"/>
      <c r="BE15" s="613"/>
      <c r="BF15" s="549"/>
      <c r="BG15" s="647"/>
      <c r="BH15" s="621"/>
      <c r="BI15" s="622"/>
      <c r="BJ15" s="663"/>
      <c r="BK15" s="613"/>
      <c r="BL15" s="613"/>
      <c r="BM15" s="622"/>
      <c r="BN15" s="648"/>
      <c r="BO15" s="665"/>
      <c r="BP15" s="549"/>
      <c r="BQ15" s="488"/>
      <c r="BR15" s="580"/>
      <c r="BS15" s="580"/>
      <c r="BT15" s="549"/>
      <c r="BU15" s="662"/>
      <c r="BV15" s="508"/>
      <c r="BW15" s="549"/>
      <c r="BX15" s="488"/>
      <c r="BY15" s="701"/>
      <c r="BZ15" s="701"/>
      <c r="CA15" s="707"/>
      <c r="CB15" s="495"/>
      <c r="CC15" s="703"/>
      <c r="CD15" s="508"/>
      <c r="CE15" s="516"/>
      <c r="CF15" s="514"/>
      <c r="CG15" s="799"/>
      <c r="CH15" s="801"/>
      <c r="CI15" s="504"/>
      <c r="CJ15" s="477"/>
      <c r="CK15" s="493"/>
      <c r="CL15" s="516"/>
      <c r="CM15" s="811"/>
      <c r="CN15" s="514"/>
    </row>
    <row r="16" spans="1:92" ht="107.25" customHeight="1" x14ac:dyDescent="0.25">
      <c r="A16" s="561"/>
      <c r="B16" s="445"/>
      <c r="C16" s="558"/>
      <c r="D16" s="111" t="s">
        <v>42</v>
      </c>
      <c r="E16" s="57" t="s">
        <v>43</v>
      </c>
      <c r="F16" s="57" t="s">
        <v>44</v>
      </c>
      <c r="G16" s="57" t="s">
        <v>45</v>
      </c>
      <c r="H16" s="85" t="s">
        <v>999</v>
      </c>
      <c r="I16" s="59">
        <v>0.8</v>
      </c>
      <c r="J16" s="279" t="s">
        <v>435</v>
      </c>
      <c r="K16" s="549" t="s">
        <v>295</v>
      </c>
      <c r="L16" s="549" t="s">
        <v>298</v>
      </c>
      <c r="M16" s="549">
        <v>3602018</v>
      </c>
      <c r="N16" s="549" t="s">
        <v>299</v>
      </c>
      <c r="O16" s="549">
        <v>360201800</v>
      </c>
      <c r="P16" s="549" t="s">
        <v>300</v>
      </c>
      <c r="Q16" s="280" t="s">
        <v>435</v>
      </c>
      <c r="R16" s="281" t="s">
        <v>41</v>
      </c>
      <c r="S16" s="579"/>
      <c r="T16" s="579"/>
      <c r="U16" s="579"/>
      <c r="V16" s="579"/>
      <c r="W16" s="549" t="s">
        <v>452</v>
      </c>
      <c r="X16" s="323"/>
      <c r="Y16" s="281" t="s">
        <v>41</v>
      </c>
      <c r="Z16" s="283" t="s">
        <v>37</v>
      </c>
      <c r="AA16" s="256" t="e">
        <f>Z16/Y16</f>
        <v>#VALUE!</v>
      </c>
      <c r="AB16" s="575"/>
      <c r="AC16" s="575"/>
      <c r="AD16" s="549" t="s">
        <v>452</v>
      </c>
      <c r="AE16" s="324" t="s">
        <v>670</v>
      </c>
      <c r="AF16" s="286" t="s">
        <v>691</v>
      </c>
      <c r="AG16" s="278" t="s">
        <v>691</v>
      </c>
      <c r="AH16" s="256" t="e">
        <f>AG16/AF16</f>
        <v>#VALUE!</v>
      </c>
      <c r="AI16" s="294" t="s">
        <v>700</v>
      </c>
      <c r="AJ16" s="294" t="s">
        <v>700</v>
      </c>
      <c r="AK16" s="549" t="s">
        <v>452</v>
      </c>
      <c r="AL16" s="612"/>
      <c r="AM16" s="286" t="s">
        <v>691</v>
      </c>
      <c r="AN16" s="278" t="s">
        <v>691</v>
      </c>
      <c r="AO16" s="256" t="e">
        <f>AN16/AM16</f>
        <v>#VALUE!</v>
      </c>
      <c r="AP16" s="294" t="s">
        <v>700</v>
      </c>
      <c r="AQ16" s="294" t="s">
        <v>700</v>
      </c>
      <c r="AR16" s="549" t="s">
        <v>452</v>
      </c>
      <c r="AS16" s="616"/>
      <c r="AT16" s="291">
        <v>155</v>
      </c>
      <c r="AU16" s="292">
        <v>155</v>
      </c>
      <c r="AV16" s="256">
        <f>AU16/AT16</f>
        <v>1</v>
      </c>
      <c r="AW16" s="330" t="s">
        <v>856</v>
      </c>
      <c r="AX16" s="330" t="s">
        <v>856</v>
      </c>
      <c r="AY16" s="549" t="s">
        <v>452</v>
      </c>
      <c r="AZ16" s="779"/>
      <c r="BA16" s="286">
        <v>253</v>
      </c>
      <c r="BB16" s="278">
        <v>253</v>
      </c>
      <c r="BC16" s="256">
        <f>BB16/BA16</f>
        <v>1</v>
      </c>
      <c r="BD16" s="613">
        <v>150000000</v>
      </c>
      <c r="BE16" s="613">
        <v>150000000</v>
      </c>
      <c r="BF16" s="549" t="s">
        <v>452</v>
      </c>
      <c r="BG16" s="644" t="s">
        <v>938</v>
      </c>
      <c r="BH16" s="286">
        <v>1741</v>
      </c>
      <c r="BI16" s="278">
        <v>1741</v>
      </c>
      <c r="BJ16" s="14">
        <v>1</v>
      </c>
      <c r="BK16" s="613"/>
      <c r="BL16" s="613"/>
      <c r="BM16" s="622" t="s">
        <v>514</v>
      </c>
      <c r="BN16" s="644" t="s">
        <v>515</v>
      </c>
      <c r="BO16" s="342">
        <v>1741</v>
      </c>
      <c r="BP16" s="279">
        <v>1523</v>
      </c>
      <c r="BQ16" s="256">
        <f>BP16/BO16</f>
        <v>0.87478460654796097</v>
      </c>
      <c r="BR16" s="575"/>
      <c r="BS16" s="575"/>
      <c r="BT16" s="549" t="s">
        <v>452</v>
      </c>
      <c r="BU16" s="668" t="s">
        <v>596</v>
      </c>
      <c r="BV16" s="289">
        <v>1741</v>
      </c>
      <c r="BW16" s="279">
        <v>1925</v>
      </c>
      <c r="BX16" s="256">
        <v>1</v>
      </c>
      <c r="BY16" s="464">
        <v>0</v>
      </c>
      <c r="BZ16" s="464">
        <v>0</v>
      </c>
      <c r="CA16" s="267">
        <v>0</v>
      </c>
      <c r="CB16" s="278" t="s">
        <v>999</v>
      </c>
      <c r="CC16" s="704" t="s">
        <v>1047</v>
      </c>
      <c r="CD16" s="289">
        <v>1741</v>
      </c>
      <c r="CE16" s="57">
        <v>1925</v>
      </c>
      <c r="CF16" s="221">
        <v>1</v>
      </c>
      <c r="CG16" s="470">
        <v>0</v>
      </c>
      <c r="CH16" s="470">
        <v>0</v>
      </c>
      <c r="CI16" s="206">
        <v>0</v>
      </c>
      <c r="CJ16" s="85" t="s">
        <v>999</v>
      </c>
      <c r="CK16" s="518" t="s">
        <v>1106</v>
      </c>
      <c r="CL16" s="47" t="s">
        <v>435</v>
      </c>
      <c r="CM16" s="205">
        <v>5959</v>
      </c>
      <c r="CN16" s="60">
        <v>1</v>
      </c>
    </row>
    <row r="17" spans="1:92" ht="71.25" customHeight="1" x14ac:dyDescent="0.25">
      <c r="A17" s="561"/>
      <c r="B17" s="445"/>
      <c r="C17" s="558"/>
      <c r="D17" s="111" t="s">
        <v>46</v>
      </c>
      <c r="E17" s="57" t="s">
        <v>47</v>
      </c>
      <c r="F17" s="57" t="s">
        <v>48</v>
      </c>
      <c r="G17" s="57" t="s">
        <v>45</v>
      </c>
      <c r="H17" s="85" t="s">
        <v>999</v>
      </c>
      <c r="I17" s="57" t="s">
        <v>37</v>
      </c>
      <c r="J17" s="279" t="s">
        <v>435</v>
      </c>
      <c r="K17" s="549"/>
      <c r="L17" s="549"/>
      <c r="M17" s="549"/>
      <c r="N17" s="549"/>
      <c r="O17" s="549"/>
      <c r="P17" s="549"/>
      <c r="Q17" s="280" t="s">
        <v>435</v>
      </c>
      <c r="R17" s="307" t="s">
        <v>41</v>
      </c>
      <c r="S17" s="579"/>
      <c r="T17" s="579"/>
      <c r="U17" s="579"/>
      <c r="V17" s="579"/>
      <c r="W17" s="549"/>
      <c r="X17" s="323"/>
      <c r="Y17" s="307" t="s">
        <v>41</v>
      </c>
      <c r="Z17" s="308">
        <v>0.01</v>
      </c>
      <c r="AA17" s="256" t="e">
        <f>Z17/Y17</f>
        <v>#VALUE!</v>
      </c>
      <c r="AB17" s="575"/>
      <c r="AC17" s="575"/>
      <c r="AD17" s="549"/>
      <c r="AE17" s="324" t="s">
        <v>671</v>
      </c>
      <c r="AF17" s="325">
        <v>4.0000000000000001E-3</v>
      </c>
      <c r="AG17" s="318">
        <v>4.0000000000000001E-3</v>
      </c>
      <c r="AH17" s="256">
        <f>AG17/AF17</f>
        <v>1</v>
      </c>
      <c r="AI17" s="613">
        <v>16500000</v>
      </c>
      <c r="AJ17" s="613">
        <v>16500000</v>
      </c>
      <c r="AK17" s="549"/>
      <c r="AL17" s="612" t="s">
        <v>737</v>
      </c>
      <c r="AM17" s="347">
        <v>4.0000000000000001E-3</v>
      </c>
      <c r="AN17" s="348" t="s">
        <v>41</v>
      </c>
      <c r="AO17" s="256" t="e">
        <f>AN17/AM17</f>
        <v>#VALUE!</v>
      </c>
      <c r="AP17" s="614" t="s">
        <v>790</v>
      </c>
      <c r="AQ17" s="614" t="s">
        <v>700</v>
      </c>
      <c r="AR17" s="549"/>
      <c r="AS17" s="751" t="s">
        <v>819</v>
      </c>
      <c r="AT17" s="349">
        <v>4.0000000000000001E-3</v>
      </c>
      <c r="AU17" s="350">
        <v>3.5000000000000001E-3</v>
      </c>
      <c r="AV17" s="256">
        <f>AU17/AT17</f>
        <v>0.875</v>
      </c>
      <c r="AW17" s="643" t="s">
        <v>856</v>
      </c>
      <c r="AX17" s="643" t="s">
        <v>856</v>
      </c>
      <c r="AY17" s="549"/>
      <c r="AZ17" s="646" t="s">
        <v>869</v>
      </c>
      <c r="BA17" s="286">
        <v>253</v>
      </c>
      <c r="BB17" s="278">
        <v>253</v>
      </c>
      <c r="BC17" s="256">
        <f>BB17/BA17</f>
        <v>1</v>
      </c>
      <c r="BD17" s="613"/>
      <c r="BE17" s="613"/>
      <c r="BF17" s="549"/>
      <c r="BG17" s="644"/>
      <c r="BH17" s="286">
        <v>1741</v>
      </c>
      <c r="BI17" s="278">
        <v>1741</v>
      </c>
      <c r="BJ17" s="14">
        <v>1</v>
      </c>
      <c r="BK17" s="613"/>
      <c r="BL17" s="613"/>
      <c r="BM17" s="622"/>
      <c r="BN17" s="644"/>
      <c r="BO17" s="342">
        <v>1741</v>
      </c>
      <c r="BP17" s="279">
        <v>1523</v>
      </c>
      <c r="BQ17" s="256">
        <f>BP17/BO17</f>
        <v>0.87478460654796097</v>
      </c>
      <c r="BR17" s="575"/>
      <c r="BS17" s="575"/>
      <c r="BT17" s="549"/>
      <c r="BU17" s="668"/>
      <c r="BV17" s="289">
        <v>1741</v>
      </c>
      <c r="BW17" s="279">
        <v>1925</v>
      </c>
      <c r="BX17" s="256">
        <v>1</v>
      </c>
      <c r="BY17" s="465"/>
      <c r="BZ17" s="465"/>
      <c r="CA17" s="267">
        <v>0</v>
      </c>
      <c r="CB17" s="278" t="s">
        <v>999</v>
      </c>
      <c r="CC17" s="705"/>
      <c r="CD17" s="289">
        <v>1741</v>
      </c>
      <c r="CE17" s="57">
        <v>1925</v>
      </c>
      <c r="CF17" s="221">
        <v>1</v>
      </c>
      <c r="CG17" s="471"/>
      <c r="CH17" s="471"/>
      <c r="CI17" s="206">
        <v>0</v>
      </c>
      <c r="CJ17" s="85" t="s">
        <v>999</v>
      </c>
      <c r="CK17" s="520"/>
      <c r="CL17" s="47" t="s">
        <v>435</v>
      </c>
      <c r="CM17" s="205">
        <v>5959</v>
      </c>
      <c r="CN17" s="221">
        <v>1</v>
      </c>
    </row>
    <row r="18" spans="1:92" ht="86.25" customHeight="1" x14ac:dyDescent="0.25">
      <c r="A18" s="561"/>
      <c r="B18" s="445"/>
      <c r="C18" s="558"/>
      <c r="D18" s="548" t="s">
        <v>49</v>
      </c>
      <c r="E18" s="516" t="s">
        <v>50</v>
      </c>
      <c r="F18" s="57" t="s">
        <v>51</v>
      </c>
      <c r="G18" s="57" t="s">
        <v>52</v>
      </c>
      <c r="H18" s="85" t="s">
        <v>1000</v>
      </c>
      <c r="I18" s="57" t="s">
        <v>53</v>
      </c>
      <c r="J18" s="279" t="s">
        <v>54</v>
      </c>
      <c r="K18" s="549" t="s">
        <v>436</v>
      </c>
      <c r="L18" s="549" t="s">
        <v>382</v>
      </c>
      <c r="M18" s="549" t="s">
        <v>301</v>
      </c>
      <c r="N18" s="549" t="s">
        <v>437</v>
      </c>
      <c r="O18" s="549" t="s">
        <v>302</v>
      </c>
      <c r="P18" s="549" t="s">
        <v>396</v>
      </c>
      <c r="Q18" s="280" t="s">
        <v>54</v>
      </c>
      <c r="R18" s="307" t="s">
        <v>41</v>
      </c>
      <c r="S18" s="579"/>
      <c r="T18" s="579"/>
      <c r="U18" s="579"/>
      <c r="V18" s="579"/>
      <c r="W18" s="549" t="s">
        <v>280</v>
      </c>
      <c r="X18" s="323"/>
      <c r="Y18" s="307" t="s">
        <v>41</v>
      </c>
      <c r="Z18" s="308">
        <v>0.05</v>
      </c>
      <c r="AA18" s="256">
        <v>1</v>
      </c>
      <c r="AB18" s="604"/>
      <c r="AC18" s="604"/>
      <c r="AD18" s="549" t="s">
        <v>280</v>
      </c>
      <c r="AE18" s="324" t="s">
        <v>670</v>
      </c>
      <c r="AF18" s="669">
        <v>7.0000000000000001E-3</v>
      </c>
      <c r="AG18" s="625">
        <v>0.109</v>
      </c>
      <c r="AH18" s="256">
        <v>1</v>
      </c>
      <c r="AI18" s="613"/>
      <c r="AJ18" s="613"/>
      <c r="AK18" s="549" t="s">
        <v>280</v>
      </c>
      <c r="AL18" s="612"/>
      <c r="AM18" s="619">
        <v>7.0000000000000001E-3</v>
      </c>
      <c r="AN18" s="620" t="s">
        <v>41</v>
      </c>
      <c r="AO18" s="256">
        <v>1</v>
      </c>
      <c r="AP18" s="614"/>
      <c r="AQ18" s="614"/>
      <c r="AR18" s="549" t="s">
        <v>280</v>
      </c>
      <c r="AS18" s="751"/>
      <c r="AT18" s="758">
        <v>0.1</v>
      </c>
      <c r="AU18" s="759">
        <v>0.08</v>
      </c>
      <c r="AV18" s="256">
        <v>1</v>
      </c>
      <c r="AW18" s="643"/>
      <c r="AX18" s="643"/>
      <c r="AY18" s="549" t="s">
        <v>280</v>
      </c>
      <c r="AZ18" s="646"/>
      <c r="BA18" s="325">
        <v>4.0000000000000001E-3</v>
      </c>
      <c r="BB18" s="351">
        <v>4.3999999999999997E-2</v>
      </c>
      <c r="BC18" s="256">
        <v>1</v>
      </c>
      <c r="BD18" s="645">
        <v>115272000</v>
      </c>
      <c r="BE18" s="645">
        <v>57636000</v>
      </c>
      <c r="BF18" s="549" t="s">
        <v>280</v>
      </c>
      <c r="BG18" s="646"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669" t="s">
        <v>401</v>
      </c>
      <c r="BI18" s="351">
        <v>0.03</v>
      </c>
      <c r="BJ18" s="14">
        <v>1</v>
      </c>
      <c r="BK18" s="670" t="s">
        <v>516</v>
      </c>
      <c r="BL18" s="670">
        <v>1980000</v>
      </c>
      <c r="BM18" s="622" t="s">
        <v>280</v>
      </c>
      <c r="BN18" s="671" t="s">
        <v>517</v>
      </c>
      <c r="BO18" s="673" t="s">
        <v>401</v>
      </c>
      <c r="BP18" s="352">
        <v>0.03</v>
      </c>
      <c r="BQ18" s="256">
        <v>1</v>
      </c>
      <c r="BR18" s="604" t="s">
        <v>465</v>
      </c>
      <c r="BS18" s="604" t="s">
        <v>466</v>
      </c>
      <c r="BT18" s="549" t="s">
        <v>280</v>
      </c>
      <c r="BU18" s="674" t="s">
        <v>597</v>
      </c>
      <c r="BV18" s="353" t="s">
        <v>979</v>
      </c>
      <c r="BW18" s="352">
        <v>0.03</v>
      </c>
      <c r="BX18" s="256">
        <v>1</v>
      </c>
      <c r="BY18" s="718">
        <f>163000000+
31500000</f>
        <v>194500000</v>
      </c>
      <c r="BZ18" s="718">
        <f>163000000+63000000</f>
        <v>226000000</v>
      </c>
      <c r="CA18" s="708">
        <v>1</v>
      </c>
      <c r="CB18" s="278" t="s">
        <v>1000</v>
      </c>
      <c r="CC18" s="721" t="s">
        <v>1048</v>
      </c>
      <c r="CD18" s="289" t="s">
        <v>1102</v>
      </c>
      <c r="CE18" s="37">
        <v>0.03</v>
      </c>
      <c r="CF18" s="40">
        <v>1</v>
      </c>
      <c r="CG18" s="718">
        <f>163000000+63000000+121344300+13571428</f>
        <v>360915728</v>
      </c>
      <c r="CH18" s="470">
        <f>163000000+13571428+
31500000+33093900</f>
        <v>241165328</v>
      </c>
      <c r="CI18" s="524">
        <f>CH18/CG18</f>
        <v>0.66820398583461016</v>
      </c>
      <c r="CJ18" s="85" t="s">
        <v>1000</v>
      </c>
      <c r="CK18" s="528" t="s">
        <v>1160</v>
      </c>
      <c r="CL18" s="47" t="s">
        <v>54</v>
      </c>
      <c r="CM18" s="37">
        <v>0.03</v>
      </c>
      <c r="CN18" s="232">
        <v>1</v>
      </c>
    </row>
    <row r="19" spans="1:92" ht="93.75" customHeight="1" x14ac:dyDescent="0.25">
      <c r="A19" s="561"/>
      <c r="B19" s="445"/>
      <c r="C19" s="558"/>
      <c r="D19" s="548"/>
      <c r="E19" s="516"/>
      <c r="F19" s="516" t="s">
        <v>55</v>
      </c>
      <c r="G19" s="516" t="s">
        <v>52</v>
      </c>
      <c r="H19" s="454" t="s">
        <v>1001</v>
      </c>
      <c r="I19" s="516" t="s">
        <v>56</v>
      </c>
      <c r="J19" s="549" t="s">
        <v>57</v>
      </c>
      <c r="K19" s="549"/>
      <c r="L19" s="549"/>
      <c r="M19" s="549"/>
      <c r="N19" s="549"/>
      <c r="O19" s="549"/>
      <c r="P19" s="549"/>
      <c r="Q19" s="582" t="s">
        <v>57</v>
      </c>
      <c r="R19" s="281" t="s">
        <v>41</v>
      </c>
      <c r="S19" s="579"/>
      <c r="T19" s="579"/>
      <c r="U19" s="579"/>
      <c r="V19" s="579"/>
      <c r="W19" s="549"/>
      <c r="X19" s="282"/>
      <c r="Y19" s="281" t="s">
        <v>41</v>
      </c>
      <c r="Z19" s="283">
        <v>1</v>
      </c>
      <c r="AA19" s="488">
        <v>0.97219999999999995</v>
      </c>
      <c r="AB19" s="604"/>
      <c r="AC19" s="604"/>
      <c r="AD19" s="549"/>
      <c r="AE19" s="285" t="s">
        <v>672</v>
      </c>
      <c r="AF19" s="669"/>
      <c r="AG19" s="625"/>
      <c r="AH19" s="488">
        <v>0.97219999999999995</v>
      </c>
      <c r="AI19" s="613"/>
      <c r="AJ19" s="613"/>
      <c r="AK19" s="549"/>
      <c r="AL19" s="612"/>
      <c r="AM19" s="619"/>
      <c r="AN19" s="620"/>
      <c r="AO19" s="488">
        <v>0.97219999999999995</v>
      </c>
      <c r="AP19" s="614"/>
      <c r="AQ19" s="614"/>
      <c r="AR19" s="549"/>
      <c r="AS19" s="751"/>
      <c r="AT19" s="758"/>
      <c r="AU19" s="759"/>
      <c r="AV19" s="488">
        <v>0.97219999999999995</v>
      </c>
      <c r="AW19" s="643"/>
      <c r="AX19" s="643"/>
      <c r="AY19" s="549"/>
      <c r="AZ19" s="646"/>
      <c r="BA19" s="669">
        <v>7.0000000000000001E-3</v>
      </c>
      <c r="BB19" s="625">
        <v>8.6999999999999994E-2</v>
      </c>
      <c r="BC19" s="488">
        <v>0.97219999999999995</v>
      </c>
      <c r="BD19" s="645"/>
      <c r="BE19" s="645"/>
      <c r="BF19" s="549"/>
      <c r="BG19" s="646"/>
      <c r="BH19" s="669"/>
      <c r="BI19" s="625" t="s">
        <v>412</v>
      </c>
      <c r="BJ19" s="663">
        <v>0.97219999999999995</v>
      </c>
      <c r="BK19" s="670"/>
      <c r="BL19" s="670"/>
      <c r="BM19" s="622"/>
      <c r="BN19" s="672"/>
      <c r="BO19" s="673"/>
      <c r="BP19" s="675" t="s">
        <v>412</v>
      </c>
      <c r="BQ19" s="488">
        <v>0.97219999999999995</v>
      </c>
      <c r="BR19" s="604"/>
      <c r="BS19" s="604"/>
      <c r="BT19" s="549"/>
      <c r="BU19" s="674"/>
      <c r="BV19" s="526">
        <v>7.0000000000000007E-2</v>
      </c>
      <c r="BW19" s="675" t="s">
        <v>412</v>
      </c>
      <c r="BX19" s="488">
        <v>0.97219999999999995</v>
      </c>
      <c r="BY19" s="719"/>
      <c r="BZ19" s="719"/>
      <c r="CA19" s="708"/>
      <c r="CB19" s="494" t="s">
        <v>1001</v>
      </c>
      <c r="CC19" s="722"/>
      <c r="CD19" s="526">
        <v>7.0000000000000007E-2</v>
      </c>
      <c r="CE19" s="515" t="s">
        <v>412</v>
      </c>
      <c r="CF19" s="514">
        <v>1</v>
      </c>
      <c r="CG19" s="719"/>
      <c r="CH19" s="492"/>
      <c r="CI19" s="524"/>
      <c r="CJ19" s="454" t="s">
        <v>1001</v>
      </c>
      <c r="CK19" s="529"/>
      <c r="CL19" s="445" t="s">
        <v>57</v>
      </c>
      <c r="CM19" s="521" t="s">
        <v>412</v>
      </c>
      <c r="CN19" s="797">
        <v>1</v>
      </c>
    </row>
    <row r="20" spans="1:92" ht="67.5" customHeight="1" x14ac:dyDescent="0.25">
      <c r="A20" s="561"/>
      <c r="B20" s="445"/>
      <c r="C20" s="558"/>
      <c r="D20" s="548"/>
      <c r="E20" s="516"/>
      <c r="F20" s="516"/>
      <c r="G20" s="516"/>
      <c r="H20" s="477"/>
      <c r="I20" s="516"/>
      <c r="J20" s="549"/>
      <c r="K20" s="549"/>
      <c r="L20" s="549"/>
      <c r="M20" s="549"/>
      <c r="N20" s="549"/>
      <c r="O20" s="549"/>
      <c r="P20" s="549"/>
      <c r="Q20" s="582"/>
      <c r="R20" s="281" t="s">
        <v>41</v>
      </c>
      <c r="S20" s="584"/>
      <c r="T20" s="584"/>
      <c r="U20" s="584"/>
      <c r="V20" s="584"/>
      <c r="W20" s="549"/>
      <c r="X20" s="583"/>
      <c r="Y20" s="281" t="s">
        <v>41</v>
      </c>
      <c r="Z20" s="283" t="s">
        <v>661</v>
      </c>
      <c r="AA20" s="488"/>
      <c r="AB20" s="604"/>
      <c r="AC20" s="604"/>
      <c r="AD20" s="549"/>
      <c r="AE20" s="745" t="s">
        <v>673</v>
      </c>
      <c r="AF20" s="603">
        <v>0.04</v>
      </c>
      <c r="AG20" s="615">
        <v>0.04</v>
      </c>
      <c r="AH20" s="488"/>
      <c r="AI20" s="613">
        <v>10000000</v>
      </c>
      <c r="AJ20" s="613">
        <v>10000000</v>
      </c>
      <c r="AK20" s="549"/>
      <c r="AL20" s="612" t="s">
        <v>738</v>
      </c>
      <c r="AM20" s="617">
        <v>0.05</v>
      </c>
      <c r="AN20" s="507">
        <v>0.05</v>
      </c>
      <c r="AO20" s="488"/>
      <c r="AP20" s="613" t="s">
        <v>791</v>
      </c>
      <c r="AQ20" s="613" t="s">
        <v>792</v>
      </c>
      <c r="AR20" s="549"/>
      <c r="AS20" s="616" t="s">
        <v>820</v>
      </c>
      <c r="AT20" s="637">
        <v>0.06</v>
      </c>
      <c r="AU20" s="639">
        <v>0.06</v>
      </c>
      <c r="AV20" s="488"/>
      <c r="AW20" s="642" t="s">
        <v>856</v>
      </c>
      <c r="AX20" s="642" t="s">
        <v>856</v>
      </c>
      <c r="AY20" s="549"/>
      <c r="AZ20" s="780" t="s">
        <v>870</v>
      </c>
      <c r="BA20" s="669"/>
      <c r="BB20" s="625"/>
      <c r="BC20" s="488"/>
      <c r="BD20" s="645"/>
      <c r="BE20" s="645"/>
      <c r="BF20" s="549"/>
      <c r="BG20" s="646"/>
      <c r="BH20" s="669"/>
      <c r="BI20" s="625"/>
      <c r="BJ20" s="663"/>
      <c r="BK20" s="670"/>
      <c r="BL20" s="670"/>
      <c r="BM20" s="622"/>
      <c r="BN20" s="672"/>
      <c r="BO20" s="673"/>
      <c r="BP20" s="675"/>
      <c r="BQ20" s="488"/>
      <c r="BR20" s="604"/>
      <c r="BS20" s="604"/>
      <c r="BT20" s="549"/>
      <c r="BU20" s="674"/>
      <c r="BV20" s="527"/>
      <c r="BW20" s="675"/>
      <c r="BX20" s="488"/>
      <c r="BY20" s="720"/>
      <c r="BZ20" s="720"/>
      <c r="CA20" s="707"/>
      <c r="CB20" s="495"/>
      <c r="CC20" s="723"/>
      <c r="CD20" s="527"/>
      <c r="CE20" s="515"/>
      <c r="CF20" s="514"/>
      <c r="CG20" s="720"/>
      <c r="CH20" s="471"/>
      <c r="CI20" s="525"/>
      <c r="CJ20" s="477"/>
      <c r="CK20" s="530"/>
      <c r="CL20" s="445"/>
      <c r="CM20" s="522"/>
      <c r="CN20" s="797"/>
    </row>
    <row r="21" spans="1:92" ht="15" customHeight="1" x14ac:dyDescent="0.25">
      <c r="A21" s="561"/>
      <c r="B21" s="445"/>
      <c r="C21" s="558"/>
      <c r="D21" s="548" t="s">
        <v>58</v>
      </c>
      <c r="E21" s="516" t="s">
        <v>59</v>
      </c>
      <c r="F21" s="516" t="s">
        <v>453</v>
      </c>
      <c r="G21" s="516" t="s">
        <v>60</v>
      </c>
      <c r="H21" s="454" t="s">
        <v>1002</v>
      </c>
      <c r="I21" s="516" t="s">
        <v>37</v>
      </c>
      <c r="J21" s="559">
        <v>0.1</v>
      </c>
      <c r="K21" s="549" t="s">
        <v>291</v>
      </c>
      <c r="L21" s="549" t="s">
        <v>303</v>
      </c>
      <c r="M21" s="549">
        <v>4103059</v>
      </c>
      <c r="N21" s="549" t="s">
        <v>304</v>
      </c>
      <c r="O21" s="549">
        <v>410305900</v>
      </c>
      <c r="P21" s="549" t="s">
        <v>305</v>
      </c>
      <c r="Q21" s="581">
        <v>0.1</v>
      </c>
      <c r="R21" s="281" t="s">
        <v>41</v>
      </c>
      <c r="S21" s="579"/>
      <c r="T21" s="579"/>
      <c r="U21" s="579"/>
      <c r="V21" s="579"/>
      <c r="W21" s="549" t="s">
        <v>458</v>
      </c>
      <c r="X21" s="583"/>
      <c r="Y21" s="281" t="s">
        <v>41</v>
      </c>
      <c r="Z21" s="283" t="s">
        <v>661</v>
      </c>
      <c r="AA21" s="488">
        <v>1</v>
      </c>
      <c r="AB21" s="575"/>
      <c r="AC21" s="575"/>
      <c r="AD21" s="549" t="s">
        <v>458</v>
      </c>
      <c r="AE21" s="745"/>
      <c r="AF21" s="603"/>
      <c r="AG21" s="615"/>
      <c r="AH21" s="488">
        <v>1</v>
      </c>
      <c r="AI21" s="613"/>
      <c r="AJ21" s="613"/>
      <c r="AK21" s="549" t="s">
        <v>458</v>
      </c>
      <c r="AL21" s="612"/>
      <c r="AM21" s="617"/>
      <c r="AN21" s="508"/>
      <c r="AO21" s="488">
        <v>1</v>
      </c>
      <c r="AP21" s="613"/>
      <c r="AQ21" s="613"/>
      <c r="AR21" s="549" t="s">
        <v>458</v>
      </c>
      <c r="AS21" s="616"/>
      <c r="AT21" s="637"/>
      <c r="AU21" s="639"/>
      <c r="AV21" s="488">
        <v>1</v>
      </c>
      <c r="AW21" s="642"/>
      <c r="AX21" s="642"/>
      <c r="AY21" s="549" t="s">
        <v>458</v>
      </c>
      <c r="AZ21" s="780"/>
      <c r="BA21" s="621">
        <v>200</v>
      </c>
      <c r="BB21" s="622">
        <v>200</v>
      </c>
      <c r="BC21" s="488">
        <v>1</v>
      </c>
      <c r="BD21" s="613">
        <v>30000000</v>
      </c>
      <c r="BE21" s="613">
        <v>15245000</v>
      </c>
      <c r="BF21" s="549" t="s">
        <v>458</v>
      </c>
      <c r="BG21" s="612" t="s">
        <v>939</v>
      </c>
      <c r="BH21" s="603">
        <v>0</v>
      </c>
      <c r="BI21" s="622">
        <v>0</v>
      </c>
      <c r="BJ21" s="663">
        <v>1</v>
      </c>
      <c r="BK21" s="613"/>
      <c r="BL21" s="613"/>
      <c r="BM21" s="622" t="s">
        <v>518</v>
      </c>
      <c r="BN21" s="644" t="s">
        <v>519</v>
      </c>
      <c r="BO21" s="676">
        <v>10</v>
      </c>
      <c r="BP21" s="549">
        <v>55</v>
      </c>
      <c r="BQ21" s="488">
        <v>1</v>
      </c>
      <c r="BR21" s="575" t="s">
        <v>467</v>
      </c>
      <c r="BS21" s="575" t="s">
        <v>598</v>
      </c>
      <c r="BT21" s="549" t="s">
        <v>458</v>
      </c>
      <c r="BU21" s="668" t="s">
        <v>599</v>
      </c>
      <c r="BV21" s="620">
        <v>0.1336</v>
      </c>
      <c r="BW21" s="675">
        <v>0.1336</v>
      </c>
      <c r="BX21" s="488">
        <v>1</v>
      </c>
      <c r="BY21" s="724">
        <f>70000000+45000000+
363237526+363237526+264860887+163000000</f>
        <v>1269335939</v>
      </c>
      <c r="BZ21" s="725">
        <f>34620000+
30000000+
7000000+171202526+264860887+163000000</f>
        <v>670683413</v>
      </c>
      <c r="CA21" s="706">
        <v>1</v>
      </c>
      <c r="CB21" s="494" t="s">
        <v>1002</v>
      </c>
      <c r="CC21" s="704" t="s">
        <v>1081</v>
      </c>
      <c r="CD21" s="507">
        <v>0.03</v>
      </c>
      <c r="CE21" s="515">
        <v>0.1336</v>
      </c>
      <c r="CF21" s="446">
        <v>1</v>
      </c>
      <c r="CG21" s="517">
        <f>121344300+70000000+45000000+5000000+646800+500000+
363237526+363237526+264860887+163000000</f>
        <v>1396827039</v>
      </c>
      <c r="CH21" s="500">
        <f>121344300+34620000+1250000+646800+2500000+
30000000+
7000000+171202526+264860887+163000000</f>
        <v>796424513</v>
      </c>
      <c r="CI21" s="440">
        <v>1</v>
      </c>
      <c r="CJ21" s="454" t="s">
        <v>1002</v>
      </c>
      <c r="CK21" s="518" t="s">
        <v>1107</v>
      </c>
      <c r="CL21" s="481">
        <v>0.1</v>
      </c>
      <c r="CM21" s="521">
        <v>0.1336</v>
      </c>
      <c r="CN21" s="440">
        <v>1</v>
      </c>
    </row>
    <row r="22" spans="1:92" ht="16.5" x14ac:dyDescent="0.25">
      <c r="A22" s="561"/>
      <c r="B22" s="445"/>
      <c r="C22" s="558"/>
      <c r="D22" s="548"/>
      <c r="E22" s="516"/>
      <c r="F22" s="516"/>
      <c r="G22" s="516"/>
      <c r="H22" s="455"/>
      <c r="I22" s="516"/>
      <c r="J22" s="559"/>
      <c r="K22" s="549"/>
      <c r="L22" s="549"/>
      <c r="M22" s="549"/>
      <c r="N22" s="549"/>
      <c r="O22" s="549"/>
      <c r="P22" s="549"/>
      <c r="Q22" s="581"/>
      <c r="R22" s="281" t="s">
        <v>41</v>
      </c>
      <c r="S22" s="579"/>
      <c r="T22" s="579"/>
      <c r="U22" s="579"/>
      <c r="V22" s="579"/>
      <c r="W22" s="549"/>
      <c r="X22" s="282"/>
      <c r="Y22" s="281" t="s">
        <v>41</v>
      </c>
      <c r="Z22" s="283" t="s">
        <v>661</v>
      </c>
      <c r="AA22" s="488"/>
      <c r="AB22" s="575"/>
      <c r="AC22" s="575"/>
      <c r="AD22" s="549"/>
      <c r="AE22" s="285" t="s">
        <v>674</v>
      </c>
      <c r="AF22" s="603"/>
      <c r="AG22" s="615"/>
      <c r="AH22" s="488"/>
      <c r="AI22" s="613"/>
      <c r="AJ22" s="613"/>
      <c r="AK22" s="549"/>
      <c r="AL22" s="612"/>
      <c r="AM22" s="617"/>
      <c r="AN22" s="508"/>
      <c r="AO22" s="488"/>
      <c r="AP22" s="613"/>
      <c r="AQ22" s="613"/>
      <c r="AR22" s="549"/>
      <c r="AS22" s="616"/>
      <c r="AT22" s="638">
        <v>400</v>
      </c>
      <c r="AU22" s="640">
        <v>437</v>
      </c>
      <c r="AV22" s="488"/>
      <c r="AW22" s="643" t="s">
        <v>856</v>
      </c>
      <c r="AX22" s="643" t="s">
        <v>856</v>
      </c>
      <c r="AY22" s="549"/>
      <c r="AZ22" s="779" t="s">
        <v>871</v>
      </c>
      <c r="BA22" s="621"/>
      <c r="BB22" s="622"/>
      <c r="BC22" s="488"/>
      <c r="BD22" s="613"/>
      <c r="BE22" s="613"/>
      <c r="BF22" s="549"/>
      <c r="BG22" s="612"/>
      <c r="BH22" s="621"/>
      <c r="BI22" s="622"/>
      <c r="BJ22" s="663"/>
      <c r="BK22" s="613"/>
      <c r="BL22" s="613"/>
      <c r="BM22" s="622"/>
      <c r="BN22" s="644"/>
      <c r="BO22" s="676"/>
      <c r="BP22" s="549"/>
      <c r="BQ22" s="488"/>
      <c r="BR22" s="575"/>
      <c r="BS22" s="575"/>
      <c r="BT22" s="549"/>
      <c r="BU22" s="668"/>
      <c r="BV22" s="620"/>
      <c r="BW22" s="549"/>
      <c r="BX22" s="488"/>
      <c r="BY22" s="724"/>
      <c r="BZ22" s="725"/>
      <c r="CA22" s="708"/>
      <c r="CB22" s="713"/>
      <c r="CC22" s="726"/>
      <c r="CD22" s="508"/>
      <c r="CE22" s="516"/>
      <c r="CF22" s="446"/>
      <c r="CG22" s="517"/>
      <c r="CH22" s="500"/>
      <c r="CI22" s="441"/>
      <c r="CJ22" s="455"/>
      <c r="CK22" s="519"/>
      <c r="CL22" s="481"/>
      <c r="CM22" s="809"/>
      <c r="CN22" s="441"/>
    </row>
    <row r="23" spans="1:92" ht="51.75" customHeight="1" x14ac:dyDescent="0.25">
      <c r="A23" s="561"/>
      <c r="B23" s="445"/>
      <c r="C23" s="558"/>
      <c r="D23" s="548"/>
      <c r="E23" s="516"/>
      <c r="F23" s="516"/>
      <c r="G23" s="516"/>
      <c r="H23" s="455"/>
      <c r="I23" s="516"/>
      <c r="J23" s="559"/>
      <c r="K23" s="549"/>
      <c r="L23" s="549"/>
      <c r="M23" s="549"/>
      <c r="N23" s="549"/>
      <c r="O23" s="549"/>
      <c r="P23" s="549"/>
      <c r="Q23" s="581"/>
      <c r="R23" s="281" t="s">
        <v>41</v>
      </c>
      <c r="S23" s="579"/>
      <c r="T23" s="579"/>
      <c r="U23" s="579"/>
      <c r="V23" s="579"/>
      <c r="W23" s="549"/>
      <c r="X23" s="282"/>
      <c r="Y23" s="281" t="s">
        <v>41</v>
      </c>
      <c r="Z23" s="283" t="s">
        <v>661</v>
      </c>
      <c r="AA23" s="488"/>
      <c r="AB23" s="575"/>
      <c r="AC23" s="575"/>
      <c r="AD23" s="549"/>
      <c r="AE23" s="285" t="s">
        <v>675</v>
      </c>
      <c r="AF23" s="603"/>
      <c r="AG23" s="615"/>
      <c r="AH23" s="488"/>
      <c r="AI23" s="613"/>
      <c r="AJ23" s="613"/>
      <c r="AK23" s="549"/>
      <c r="AL23" s="612"/>
      <c r="AM23" s="617"/>
      <c r="AN23" s="508"/>
      <c r="AO23" s="488"/>
      <c r="AP23" s="613"/>
      <c r="AQ23" s="613"/>
      <c r="AR23" s="549"/>
      <c r="AS23" s="616"/>
      <c r="AT23" s="638"/>
      <c r="AU23" s="640"/>
      <c r="AV23" s="488"/>
      <c r="AW23" s="643"/>
      <c r="AX23" s="643"/>
      <c r="AY23" s="549"/>
      <c r="AZ23" s="779"/>
      <c r="BA23" s="621"/>
      <c r="BB23" s="622"/>
      <c r="BC23" s="488"/>
      <c r="BD23" s="613"/>
      <c r="BE23" s="613"/>
      <c r="BF23" s="549"/>
      <c r="BG23" s="612"/>
      <c r="BH23" s="621"/>
      <c r="BI23" s="622"/>
      <c r="BJ23" s="663"/>
      <c r="BK23" s="613"/>
      <c r="BL23" s="613"/>
      <c r="BM23" s="622"/>
      <c r="BN23" s="644"/>
      <c r="BO23" s="676"/>
      <c r="BP23" s="549"/>
      <c r="BQ23" s="488"/>
      <c r="BR23" s="575"/>
      <c r="BS23" s="575"/>
      <c r="BT23" s="549"/>
      <c r="BU23" s="668"/>
      <c r="BV23" s="620"/>
      <c r="BW23" s="549"/>
      <c r="BX23" s="488"/>
      <c r="BY23" s="724"/>
      <c r="BZ23" s="725"/>
      <c r="CA23" s="708"/>
      <c r="CB23" s="713"/>
      <c r="CC23" s="726"/>
      <c r="CD23" s="508"/>
      <c r="CE23" s="516"/>
      <c r="CF23" s="446"/>
      <c r="CG23" s="517"/>
      <c r="CH23" s="500"/>
      <c r="CI23" s="441"/>
      <c r="CJ23" s="455"/>
      <c r="CK23" s="519"/>
      <c r="CL23" s="481"/>
      <c r="CM23" s="809"/>
      <c r="CN23" s="441"/>
    </row>
    <row r="24" spans="1:92" ht="121.5" customHeight="1" x14ac:dyDescent="0.25">
      <c r="A24" s="561"/>
      <c r="B24" s="445"/>
      <c r="C24" s="558"/>
      <c r="D24" s="548"/>
      <c r="E24" s="516"/>
      <c r="F24" s="516"/>
      <c r="G24" s="516"/>
      <c r="H24" s="477"/>
      <c r="I24" s="516"/>
      <c r="J24" s="559"/>
      <c r="K24" s="549"/>
      <c r="L24" s="549"/>
      <c r="M24" s="549"/>
      <c r="N24" s="549"/>
      <c r="O24" s="549"/>
      <c r="P24" s="549"/>
      <c r="Q24" s="581"/>
      <c r="R24" s="281" t="s">
        <v>41</v>
      </c>
      <c r="S24" s="579"/>
      <c r="T24" s="579"/>
      <c r="U24" s="579"/>
      <c r="V24" s="579"/>
      <c r="W24" s="549"/>
      <c r="X24" s="282"/>
      <c r="Y24" s="281" t="s">
        <v>41</v>
      </c>
      <c r="Z24" s="283" t="s">
        <v>661</v>
      </c>
      <c r="AA24" s="488"/>
      <c r="AB24" s="575"/>
      <c r="AC24" s="575"/>
      <c r="AD24" s="549"/>
      <c r="AE24" s="285" t="s">
        <v>676</v>
      </c>
      <c r="AF24" s="343">
        <v>0.15</v>
      </c>
      <c r="AG24" s="318">
        <v>0.15</v>
      </c>
      <c r="AH24" s="488"/>
      <c r="AI24" s="294">
        <v>2338933220</v>
      </c>
      <c r="AJ24" s="294">
        <v>2338933220</v>
      </c>
      <c r="AK24" s="549"/>
      <c r="AL24" s="354" t="s">
        <v>739</v>
      </c>
      <c r="AM24" s="309">
        <v>0.23</v>
      </c>
      <c r="AN24" s="310" t="s">
        <v>700</v>
      </c>
      <c r="AO24" s="488"/>
      <c r="AP24" s="182">
        <f>27500000+48300000</f>
        <v>75800000</v>
      </c>
      <c r="AQ24" s="182">
        <v>17340000</v>
      </c>
      <c r="AR24" s="549"/>
      <c r="AS24" s="311" t="s">
        <v>821</v>
      </c>
      <c r="AT24" s="344">
        <v>0.28000000000000003</v>
      </c>
      <c r="AU24" s="292">
        <v>0.25</v>
      </c>
      <c r="AV24" s="488"/>
      <c r="AW24" s="330" t="s">
        <v>856</v>
      </c>
      <c r="AX24" s="330" t="s">
        <v>856</v>
      </c>
      <c r="AY24" s="549"/>
      <c r="AZ24" s="355" t="s">
        <v>872</v>
      </c>
      <c r="BA24" s="621"/>
      <c r="BB24" s="622"/>
      <c r="BC24" s="488"/>
      <c r="BD24" s="613"/>
      <c r="BE24" s="613"/>
      <c r="BF24" s="549"/>
      <c r="BG24" s="612"/>
      <c r="BH24" s="621"/>
      <c r="BI24" s="622"/>
      <c r="BJ24" s="663"/>
      <c r="BK24" s="613"/>
      <c r="BL24" s="613"/>
      <c r="BM24" s="622"/>
      <c r="BN24" s="644"/>
      <c r="BO24" s="676"/>
      <c r="BP24" s="549"/>
      <c r="BQ24" s="488"/>
      <c r="BR24" s="575"/>
      <c r="BS24" s="575"/>
      <c r="BT24" s="549"/>
      <c r="BU24" s="668"/>
      <c r="BV24" s="620"/>
      <c r="BW24" s="549"/>
      <c r="BX24" s="488"/>
      <c r="BY24" s="724"/>
      <c r="BZ24" s="725"/>
      <c r="CA24" s="707"/>
      <c r="CB24" s="495"/>
      <c r="CC24" s="705"/>
      <c r="CD24" s="508"/>
      <c r="CE24" s="516"/>
      <c r="CF24" s="446"/>
      <c r="CG24" s="517"/>
      <c r="CH24" s="500"/>
      <c r="CI24" s="453"/>
      <c r="CJ24" s="477"/>
      <c r="CK24" s="520"/>
      <c r="CL24" s="481"/>
      <c r="CM24" s="811"/>
      <c r="CN24" s="453"/>
    </row>
    <row r="25" spans="1:92" ht="179.45" customHeight="1" x14ac:dyDescent="0.25">
      <c r="A25" s="561"/>
      <c r="B25" s="445"/>
      <c r="C25" s="558"/>
      <c r="D25" s="111" t="s">
        <v>61</v>
      </c>
      <c r="E25" s="57" t="s">
        <v>62</v>
      </c>
      <c r="F25" s="57" t="s">
        <v>63</v>
      </c>
      <c r="G25" s="57" t="s">
        <v>438</v>
      </c>
      <c r="H25" s="85" t="s">
        <v>1003</v>
      </c>
      <c r="I25" s="57" t="s">
        <v>37</v>
      </c>
      <c r="J25" s="305">
        <v>0.6</v>
      </c>
      <c r="K25" s="279" t="s">
        <v>295</v>
      </c>
      <c r="L25" s="279" t="s">
        <v>383</v>
      </c>
      <c r="M25" s="279" t="s">
        <v>373</v>
      </c>
      <c r="N25" s="279" t="s">
        <v>387</v>
      </c>
      <c r="O25" s="279" t="s">
        <v>374</v>
      </c>
      <c r="P25" s="279" t="s">
        <v>389</v>
      </c>
      <c r="Q25" s="306">
        <v>0.6</v>
      </c>
      <c r="R25" s="281" t="s">
        <v>41</v>
      </c>
      <c r="S25" s="579"/>
      <c r="T25" s="579"/>
      <c r="U25" s="579"/>
      <c r="V25" s="579"/>
      <c r="W25" s="279" t="s">
        <v>256</v>
      </c>
      <c r="X25" s="282"/>
      <c r="Y25" s="281" t="s">
        <v>41</v>
      </c>
      <c r="Z25" s="283" t="s">
        <v>661</v>
      </c>
      <c r="AA25" s="256">
        <v>0.5</v>
      </c>
      <c r="AB25" s="272"/>
      <c r="AC25" s="272"/>
      <c r="AD25" s="279" t="s">
        <v>256</v>
      </c>
      <c r="AE25" s="285" t="s">
        <v>677</v>
      </c>
      <c r="AF25" s="286">
        <v>1</v>
      </c>
      <c r="AG25" s="278">
        <v>1</v>
      </c>
      <c r="AH25" s="256">
        <v>0.5</v>
      </c>
      <c r="AI25" s="294">
        <v>54450000</v>
      </c>
      <c r="AJ25" s="294">
        <v>54450000</v>
      </c>
      <c r="AK25" s="279" t="s">
        <v>256</v>
      </c>
      <c r="AL25" s="287" t="s">
        <v>740</v>
      </c>
      <c r="AM25" s="288">
        <v>4</v>
      </c>
      <c r="AN25" s="289">
        <v>4</v>
      </c>
      <c r="AO25" s="256">
        <v>0.5</v>
      </c>
      <c r="AP25" s="182">
        <f>33000000+20140000</f>
        <v>53140000</v>
      </c>
      <c r="AQ25" s="182">
        <v>31540000</v>
      </c>
      <c r="AR25" s="279" t="s">
        <v>256</v>
      </c>
      <c r="AS25" s="290" t="s">
        <v>822</v>
      </c>
      <c r="AT25" s="291">
        <v>5</v>
      </c>
      <c r="AU25" s="292">
        <v>4.05</v>
      </c>
      <c r="AV25" s="256">
        <v>0.5</v>
      </c>
      <c r="AW25" s="330" t="s">
        <v>856</v>
      </c>
      <c r="AX25" s="330" t="s">
        <v>856</v>
      </c>
      <c r="AY25" s="279" t="s">
        <v>256</v>
      </c>
      <c r="AZ25" s="355" t="s">
        <v>873</v>
      </c>
      <c r="BA25" s="286">
        <v>3</v>
      </c>
      <c r="BB25" s="278" t="s">
        <v>164</v>
      </c>
      <c r="BC25" s="256">
        <v>0.5</v>
      </c>
      <c r="BD25" s="294">
        <v>28800000</v>
      </c>
      <c r="BE25" s="294">
        <v>25081000</v>
      </c>
      <c r="BF25" s="279" t="s">
        <v>256</v>
      </c>
      <c r="BG25" s="354" t="s">
        <v>940</v>
      </c>
      <c r="BH25" s="343">
        <v>0.1</v>
      </c>
      <c r="BI25" s="318">
        <v>0.05</v>
      </c>
      <c r="BJ25" s="14">
        <v>0.5</v>
      </c>
      <c r="BK25" s="294"/>
      <c r="BL25" s="294"/>
      <c r="BM25" s="278" t="s">
        <v>256</v>
      </c>
      <c r="BN25" s="313" t="s">
        <v>520</v>
      </c>
      <c r="BO25" s="356">
        <v>0.1</v>
      </c>
      <c r="BP25" s="305">
        <v>0.05</v>
      </c>
      <c r="BQ25" s="256">
        <v>0.5</v>
      </c>
      <c r="BR25" s="272" t="s">
        <v>600</v>
      </c>
      <c r="BS25" s="272" t="s">
        <v>601</v>
      </c>
      <c r="BT25" s="279" t="s">
        <v>256</v>
      </c>
      <c r="BU25" s="316" t="s">
        <v>602</v>
      </c>
      <c r="BV25" s="310">
        <v>0.5</v>
      </c>
      <c r="BW25" s="305">
        <v>0.58099999999999996</v>
      </c>
      <c r="BX25" s="256">
        <v>1</v>
      </c>
      <c r="BY25" s="274">
        <f>918000000+79914452</f>
        <v>997914452</v>
      </c>
      <c r="BZ25" s="274">
        <v>79914452</v>
      </c>
      <c r="CA25" s="256">
        <f>BZ25/BY25</f>
        <v>8.0081465740712607E-2</v>
      </c>
      <c r="CB25" s="278" t="s">
        <v>1003</v>
      </c>
      <c r="CC25" s="317" t="s">
        <v>1082</v>
      </c>
      <c r="CD25" s="310">
        <v>0.1</v>
      </c>
      <c r="CE25" s="59">
        <v>0.58099999999999996</v>
      </c>
      <c r="CF25" s="60">
        <v>1</v>
      </c>
      <c r="CG25" s="241">
        <f>918000000+79914452</f>
        <v>997914452</v>
      </c>
      <c r="CH25" s="426">
        <v>79914452</v>
      </c>
      <c r="CI25" s="60">
        <f>CH25/CG25</f>
        <v>8.0081465740712607E-2</v>
      </c>
      <c r="CJ25" s="85" t="s">
        <v>1003</v>
      </c>
      <c r="CK25" s="437" t="s">
        <v>1108</v>
      </c>
      <c r="CL25" s="59">
        <v>0.6</v>
      </c>
      <c r="CM25" s="59">
        <v>0.58099999999999996</v>
      </c>
      <c r="CN25" s="60">
        <f>CM25/CL25</f>
        <v>0.96833333333333327</v>
      </c>
    </row>
    <row r="26" spans="1:92" ht="173.45" customHeight="1" x14ac:dyDescent="0.25">
      <c r="A26" s="561"/>
      <c r="B26" s="445"/>
      <c r="C26" s="558"/>
      <c r="D26" s="111" t="s">
        <v>64</v>
      </c>
      <c r="E26" s="47" t="s">
        <v>456</v>
      </c>
      <c r="F26" s="47" t="s">
        <v>65</v>
      </c>
      <c r="G26" s="47" t="s">
        <v>66</v>
      </c>
      <c r="H26" s="85" t="s">
        <v>1004</v>
      </c>
      <c r="I26" s="47">
        <v>1</v>
      </c>
      <c r="J26" s="279">
        <v>5</v>
      </c>
      <c r="K26" s="279" t="s">
        <v>295</v>
      </c>
      <c r="L26" s="279" t="s">
        <v>306</v>
      </c>
      <c r="M26" s="279">
        <v>3502017</v>
      </c>
      <c r="N26" s="279" t="s">
        <v>307</v>
      </c>
      <c r="O26" s="279">
        <v>350201701</v>
      </c>
      <c r="P26" s="279" t="s">
        <v>308</v>
      </c>
      <c r="Q26" s="280">
        <v>5</v>
      </c>
      <c r="R26" s="281" t="s">
        <v>41</v>
      </c>
      <c r="S26" s="579"/>
      <c r="T26" s="579"/>
      <c r="U26" s="579"/>
      <c r="V26" s="579"/>
      <c r="W26" s="279" t="s">
        <v>281</v>
      </c>
      <c r="X26" s="323"/>
      <c r="Y26" s="281" t="s">
        <v>41</v>
      </c>
      <c r="Z26" s="283" t="s">
        <v>661</v>
      </c>
      <c r="AA26" s="256" t="e">
        <f>(Z26/Y26)*1</f>
        <v>#VALUE!</v>
      </c>
      <c r="AB26" s="272"/>
      <c r="AC26" s="272"/>
      <c r="AD26" s="279" t="s">
        <v>281</v>
      </c>
      <c r="AE26" s="324" t="s">
        <v>670</v>
      </c>
      <c r="AF26" s="343">
        <v>0.85</v>
      </c>
      <c r="AG26" s="318">
        <v>0.63</v>
      </c>
      <c r="AH26" s="256">
        <f>(AG26/AF26)*1</f>
        <v>0.74117647058823533</v>
      </c>
      <c r="AI26" s="613">
        <v>7595374483</v>
      </c>
      <c r="AJ26" s="613">
        <v>4950478143</v>
      </c>
      <c r="AK26" s="279" t="s">
        <v>281</v>
      </c>
      <c r="AL26" s="287" t="s">
        <v>741</v>
      </c>
      <c r="AM26" s="286" t="s">
        <v>777</v>
      </c>
      <c r="AN26" s="318">
        <v>0.63</v>
      </c>
      <c r="AO26" s="256" t="e">
        <f>(AN26/AM26)*1</f>
        <v>#VALUE!</v>
      </c>
      <c r="AP26" s="613">
        <v>16187350279</v>
      </c>
      <c r="AQ26" s="613">
        <v>13135040761</v>
      </c>
      <c r="AR26" s="279" t="s">
        <v>281</v>
      </c>
      <c r="AS26" s="616" t="s">
        <v>823</v>
      </c>
      <c r="AT26" s="637">
        <v>0.85</v>
      </c>
      <c r="AU26" s="760">
        <v>0.69599999999999995</v>
      </c>
      <c r="AV26" s="256">
        <f>(AU26/AT26)*1</f>
        <v>0.81882352941176462</v>
      </c>
      <c r="AW26" s="643" t="s">
        <v>856</v>
      </c>
      <c r="AX26" s="643" t="s">
        <v>856</v>
      </c>
      <c r="AY26" s="279" t="s">
        <v>281</v>
      </c>
      <c r="AZ26" s="779" t="s">
        <v>874</v>
      </c>
      <c r="BA26" s="286">
        <v>1</v>
      </c>
      <c r="BB26" s="278" t="s">
        <v>918</v>
      </c>
      <c r="BC26" s="256" t="e">
        <f>(BB26/BA26)*1</f>
        <v>#VALUE!</v>
      </c>
      <c r="BD26" s="294">
        <v>70900000</v>
      </c>
      <c r="BE26" s="294">
        <v>27980000</v>
      </c>
      <c r="BF26" s="279" t="s">
        <v>281</v>
      </c>
      <c r="BG26" s="301" t="s">
        <v>941</v>
      </c>
      <c r="BH26" s="286">
        <v>1</v>
      </c>
      <c r="BI26" s="278">
        <v>0</v>
      </c>
      <c r="BJ26" s="14">
        <f>(BI26/BH26)*1</f>
        <v>0</v>
      </c>
      <c r="BK26" s="294"/>
      <c r="BL26" s="294"/>
      <c r="BM26" s="278" t="s">
        <v>281</v>
      </c>
      <c r="BN26" s="357" t="s">
        <v>521</v>
      </c>
      <c r="BO26" s="342">
        <v>1</v>
      </c>
      <c r="BP26" s="279">
        <v>0</v>
      </c>
      <c r="BQ26" s="256">
        <f>(BP26/BO26)*1</f>
        <v>0</v>
      </c>
      <c r="BR26" s="272">
        <v>0</v>
      </c>
      <c r="BS26" s="272">
        <v>0</v>
      </c>
      <c r="BT26" s="279" t="s">
        <v>281</v>
      </c>
      <c r="BU26" s="302" t="s">
        <v>603</v>
      </c>
      <c r="BV26" s="289">
        <v>1</v>
      </c>
      <c r="BW26" s="279">
        <v>1</v>
      </c>
      <c r="BX26" s="256">
        <f>(BW26/BV26)*1</f>
        <v>1</v>
      </c>
      <c r="BY26" s="274">
        <v>0</v>
      </c>
      <c r="BZ26" s="274">
        <v>0</v>
      </c>
      <c r="CA26" s="268">
        <v>0</v>
      </c>
      <c r="CB26" s="278" t="s">
        <v>1004</v>
      </c>
      <c r="CC26" s="358" t="s">
        <v>1091</v>
      </c>
      <c r="CD26" s="289">
        <v>1</v>
      </c>
      <c r="CE26" s="57">
        <v>1</v>
      </c>
      <c r="CF26" s="54">
        <f>(CE26/CD26)*1</f>
        <v>1</v>
      </c>
      <c r="CG26" s="241">
        <v>0</v>
      </c>
      <c r="CH26" s="426">
        <v>0</v>
      </c>
      <c r="CI26" s="209">
        <v>0</v>
      </c>
      <c r="CJ26" s="85" t="s">
        <v>1004</v>
      </c>
      <c r="CK26" s="435" t="s">
        <v>1109</v>
      </c>
      <c r="CL26" s="47">
        <v>5</v>
      </c>
      <c r="CM26" s="211">
        <v>1</v>
      </c>
      <c r="CN26" s="258">
        <f>CM26/CL26</f>
        <v>0.2</v>
      </c>
    </row>
    <row r="27" spans="1:92" ht="68.25" customHeight="1" x14ac:dyDescent="0.25">
      <c r="A27" s="561"/>
      <c r="B27" s="445" t="s">
        <v>67</v>
      </c>
      <c r="C27" s="558" t="s">
        <v>68</v>
      </c>
      <c r="D27" s="548" t="s">
        <v>69</v>
      </c>
      <c r="E27" s="445" t="s">
        <v>70</v>
      </c>
      <c r="F27" s="47" t="s">
        <v>71</v>
      </c>
      <c r="G27" s="47" t="s">
        <v>72</v>
      </c>
      <c r="H27" s="222" t="s">
        <v>1005</v>
      </c>
      <c r="I27" s="183" t="s">
        <v>73</v>
      </c>
      <c r="J27" s="279" t="s">
        <v>74</v>
      </c>
      <c r="K27" s="549" t="s">
        <v>291</v>
      </c>
      <c r="L27" s="549" t="s">
        <v>309</v>
      </c>
      <c r="M27" s="549" t="s">
        <v>376</v>
      </c>
      <c r="N27" s="549" t="s">
        <v>375</v>
      </c>
      <c r="O27" s="549" t="s">
        <v>377</v>
      </c>
      <c r="P27" s="549" t="s">
        <v>378</v>
      </c>
      <c r="Q27" s="280" t="s">
        <v>74</v>
      </c>
      <c r="R27" s="281" t="s">
        <v>41</v>
      </c>
      <c r="S27" s="584"/>
      <c r="T27" s="584"/>
      <c r="U27" s="584"/>
      <c r="V27" s="584"/>
      <c r="W27" s="549" t="s">
        <v>257</v>
      </c>
      <c r="X27" s="583"/>
      <c r="Y27" s="281" t="s">
        <v>41</v>
      </c>
      <c r="Z27" s="283" t="s">
        <v>661</v>
      </c>
      <c r="AA27" s="256" t="e">
        <f>Z27/Y27</f>
        <v>#VALUE!</v>
      </c>
      <c r="AB27" s="575"/>
      <c r="AC27" s="575"/>
      <c r="AD27" s="549" t="s">
        <v>257</v>
      </c>
      <c r="AE27" s="745" t="s">
        <v>678</v>
      </c>
      <c r="AF27" s="603">
        <v>0.5</v>
      </c>
      <c r="AG27" s="615">
        <v>0.41</v>
      </c>
      <c r="AH27" s="256">
        <f>AG27/AF27</f>
        <v>0.82</v>
      </c>
      <c r="AI27" s="613"/>
      <c r="AJ27" s="613"/>
      <c r="AK27" s="549" t="s">
        <v>257</v>
      </c>
      <c r="AL27" s="616" t="s">
        <v>742</v>
      </c>
      <c r="AM27" s="621" t="s">
        <v>83</v>
      </c>
      <c r="AN27" s="615">
        <v>0.41</v>
      </c>
      <c r="AO27" s="256" t="e">
        <f>AN27/AM27</f>
        <v>#VALUE!</v>
      </c>
      <c r="AP27" s="613"/>
      <c r="AQ27" s="613"/>
      <c r="AR27" s="549" t="s">
        <v>257</v>
      </c>
      <c r="AS27" s="616"/>
      <c r="AT27" s="637"/>
      <c r="AU27" s="760"/>
      <c r="AV27" s="256" t="e">
        <f>AU27/AT27</f>
        <v>#DIV/0!</v>
      </c>
      <c r="AW27" s="643"/>
      <c r="AX27" s="643"/>
      <c r="AY27" s="549" t="s">
        <v>257</v>
      </c>
      <c r="AZ27" s="779"/>
      <c r="BA27" s="343">
        <v>0.85</v>
      </c>
      <c r="BB27" s="318">
        <v>0.66</v>
      </c>
      <c r="BC27" s="256">
        <f>BB27/BA27</f>
        <v>0.77647058823529413</v>
      </c>
      <c r="BD27" s="613" t="s">
        <v>923</v>
      </c>
      <c r="BE27" s="613" t="s">
        <v>924</v>
      </c>
      <c r="BF27" s="549" t="s">
        <v>257</v>
      </c>
      <c r="BG27" s="616" t="s">
        <v>942</v>
      </c>
      <c r="BH27" s="325">
        <v>0.86699999999999999</v>
      </c>
      <c r="BI27" s="359">
        <v>0.85680000000000001</v>
      </c>
      <c r="BJ27" s="14">
        <f>BI27/BH27</f>
        <v>0.9882352941176471</v>
      </c>
      <c r="BK27" s="613"/>
      <c r="BL27" s="294"/>
      <c r="BM27" s="622" t="s">
        <v>257</v>
      </c>
      <c r="BN27" s="293" t="s">
        <v>522</v>
      </c>
      <c r="BO27" s="334">
        <v>0.878</v>
      </c>
      <c r="BP27" s="352">
        <v>0.76090000000000002</v>
      </c>
      <c r="BQ27" s="256">
        <f>BP27/BO27</f>
        <v>0.86662870159453309</v>
      </c>
      <c r="BR27" s="575">
        <v>0</v>
      </c>
      <c r="BS27" s="575">
        <v>0</v>
      </c>
      <c r="BT27" s="549" t="s">
        <v>257</v>
      </c>
      <c r="BU27" s="298" t="s">
        <v>604</v>
      </c>
      <c r="BV27" s="554">
        <v>0.89900000000000002</v>
      </c>
      <c r="BW27" s="556">
        <v>0.63339999999999996</v>
      </c>
      <c r="BX27" s="256">
        <v>0</v>
      </c>
      <c r="BY27" s="575">
        <f>918000000+359582746+698802400+12000000</f>
        <v>1988385146</v>
      </c>
      <c r="BZ27" s="464">
        <f>107874824+209640720+12000000</f>
        <v>329515544</v>
      </c>
      <c r="CA27" s="706">
        <f>BZ27/BY27</f>
        <v>0.16572017984688767</v>
      </c>
      <c r="CB27" s="360" t="s">
        <v>1005</v>
      </c>
      <c r="CC27" s="300" t="s">
        <v>1049</v>
      </c>
      <c r="CD27" s="486">
        <v>0.9</v>
      </c>
      <c r="CE27" s="521">
        <v>0.63339999999999996</v>
      </c>
      <c r="CF27" s="440">
        <v>0</v>
      </c>
      <c r="CG27" s="476">
        <f>918000000+359582746+698802400+12000000+714286</f>
        <v>1989099432</v>
      </c>
      <c r="CH27" s="470">
        <f>107874824+209640720+12000000+714286</f>
        <v>330229830</v>
      </c>
      <c r="CI27" s="523">
        <f>CH27/CG27</f>
        <v>0.16601976989554537</v>
      </c>
      <c r="CJ27" s="222" t="s">
        <v>1005</v>
      </c>
      <c r="CK27" s="419" t="s">
        <v>1110</v>
      </c>
      <c r="CL27" s="790">
        <v>0.9</v>
      </c>
      <c r="CM27" s="521">
        <v>0.63339999999999996</v>
      </c>
      <c r="CN27" s="440">
        <v>0</v>
      </c>
    </row>
    <row r="28" spans="1:92" ht="15" customHeight="1" x14ac:dyDescent="0.25">
      <c r="A28" s="561"/>
      <c r="B28" s="445"/>
      <c r="C28" s="558"/>
      <c r="D28" s="548"/>
      <c r="E28" s="445"/>
      <c r="F28" s="445" t="s">
        <v>75</v>
      </c>
      <c r="G28" s="445" t="s">
        <v>72</v>
      </c>
      <c r="H28" s="454" t="s">
        <v>1005</v>
      </c>
      <c r="I28" s="511" t="s">
        <v>76</v>
      </c>
      <c r="J28" s="549" t="s">
        <v>77</v>
      </c>
      <c r="K28" s="549"/>
      <c r="L28" s="549"/>
      <c r="M28" s="549"/>
      <c r="N28" s="549"/>
      <c r="O28" s="549"/>
      <c r="P28" s="549"/>
      <c r="Q28" s="582" t="s">
        <v>77</v>
      </c>
      <c r="R28" s="281" t="s">
        <v>41</v>
      </c>
      <c r="S28" s="579"/>
      <c r="T28" s="579"/>
      <c r="U28" s="579"/>
      <c r="V28" s="579"/>
      <c r="W28" s="549"/>
      <c r="X28" s="583"/>
      <c r="Y28" s="281" t="s">
        <v>41</v>
      </c>
      <c r="Z28" s="283" t="s">
        <v>661</v>
      </c>
      <c r="AA28" s="488" t="e">
        <f>Z28/Y28</f>
        <v>#VALUE!</v>
      </c>
      <c r="AB28" s="575"/>
      <c r="AC28" s="575"/>
      <c r="AD28" s="549"/>
      <c r="AE28" s="745"/>
      <c r="AF28" s="603"/>
      <c r="AG28" s="615"/>
      <c r="AH28" s="488" t="e">
        <f>AG28/AF28</f>
        <v>#DIV/0!</v>
      </c>
      <c r="AI28" s="613"/>
      <c r="AJ28" s="613"/>
      <c r="AK28" s="549"/>
      <c r="AL28" s="616"/>
      <c r="AM28" s="621"/>
      <c r="AN28" s="622"/>
      <c r="AO28" s="488" t="e">
        <f>AN28/AM28</f>
        <v>#DIV/0!</v>
      </c>
      <c r="AP28" s="613"/>
      <c r="AQ28" s="613"/>
      <c r="AR28" s="549"/>
      <c r="AS28" s="616"/>
      <c r="AT28" s="173">
        <v>0.5</v>
      </c>
      <c r="AU28" s="361">
        <v>0.61519999999999997</v>
      </c>
      <c r="AV28" s="488">
        <f>AU28/AT28</f>
        <v>1.2303999999999999</v>
      </c>
      <c r="AW28" s="330" t="s">
        <v>856</v>
      </c>
      <c r="AX28" s="330" t="s">
        <v>856</v>
      </c>
      <c r="AY28" s="549"/>
      <c r="AZ28" s="362" t="s">
        <v>875</v>
      </c>
      <c r="BA28" s="603">
        <v>0.55000000000000004</v>
      </c>
      <c r="BB28" s="615">
        <v>0.42</v>
      </c>
      <c r="BC28" s="488">
        <f>BB28/BA28</f>
        <v>0.76363636363636356</v>
      </c>
      <c r="BD28" s="613"/>
      <c r="BE28" s="613"/>
      <c r="BF28" s="549"/>
      <c r="BG28" s="616"/>
      <c r="BH28" s="603">
        <v>0.52</v>
      </c>
      <c r="BI28" s="615">
        <v>0.5091</v>
      </c>
      <c r="BJ28" s="663">
        <f>BI28/BH28*1</f>
        <v>0.97903846153846152</v>
      </c>
      <c r="BK28" s="613"/>
      <c r="BL28" s="294"/>
      <c r="BM28" s="622"/>
      <c r="BN28" s="648" t="s">
        <v>523</v>
      </c>
      <c r="BO28" s="664">
        <v>0.52</v>
      </c>
      <c r="BP28" s="675">
        <v>0.41539999999999999</v>
      </c>
      <c r="BQ28" s="488">
        <f>BP28/BO28</f>
        <v>0.79884615384615376</v>
      </c>
      <c r="BR28" s="575"/>
      <c r="BS28" s="575"/>
      <c r="BT28" s="549"/>
      <c r="BU28" s="662" t="s">
        <v>605</v>
      </c>
      <c r="BV28" s="555"/>
      <c r="BW28" s="557"/>
      <c r="BX28" s="488">
        <v>0</v>
      </c>
      <c r="BY28" s="575"/>
      <c r="BZ28" s="709"/>
      <c r="CA28" s="708"/>
      <c r="CB28" s="494" t="s">
        <v>1005</v>
      </c>
      <c r="CC28" s="702" t="s">
        <v>1050</v>
      </c>
      <c r="CD28" s="487"/>
      <c r="CE28" s="522"/>
      <c r="CF28" s="453"/>
      <c r="CG28" s="476"/>
      <c r="CH28" s="492"/>
      <c r="CI28" s="524"/>
      <c r="CJ28" s="454" t="s">
        <v>1005</v>
      </c>
      <c r="CK28" s="457" t="s">
        <v>1111</v>
      </c>
      <c r="CL28" s="791"/>
      <c r="CM28" s="522"/>
      <c r="CN28" s="441"/>
    </row>
    <row r="29" spans="1:92" ht="95.25" customHeight="1" x14ac:dyDescent="0.25">
      <c r="A29" s="561"/>
      <c r="B29" s="445"/>
      <c r="C29" s="558"/>
      <c r="D29" s="548"/>
      <c r="E29" s="445"/>
      <c r="F29" s="445"/>
      <c r="G29" s="445"/>
      <c r="H29" s="477"/>
      <c r="I29" s="511"/>
      <c r="J29" s="549"/>
      <c r="K29" s="549"/>
      <c r="L29" s="549"/>
      <c r="M29" s="549"/>
      <c r="N29" s="549"/>
      <c r="O29" s="549"/>
      <c r="P29" s="549"/>
      <c r="Q29" s="582"/>
      <c r="R29" s="281" t="s">
        <v>41</v>
      </c>
      <c r="S29" s="579"/>
      <c r="T29" s="579"/>
      <c r="U29" s="579"/>
      <c r="V29" s="579"/>
      <c r="W29" s="549"/>
      <c r="X29" s="583"/>
      <c r="Y29" s="281" t="s">
        <v>41</v>
      </c>
      <c r="Z29" s="283" t="s">
        <v>661</v>
      </c>
      <c r="AA29" s="488"/>
      <c r="AB29" s="575"/>
      <c r="AC29" s="575"/>
      <c r="AD29" s="549"/>
      <c r="AE29" s="745" t="s">
        <v>679</v>
      </c>
      <c r="AF29" s="286">
        <v>5</v>
      </c>
      <c r="AG29" s="278">
        <v>5</v>
      </c>
      <c r="AH29" s="488"/>
      <c r="AI29" s="294" t="s">
        <v>701</v>
      </c>
      <c r="AJ29" s="294" t="s">
        <v>702</v>
      </c>
      <c r="AK29" s="549"/>
      <c r="AL29" s="287" t="s">
        <v>743</v>
      </c>
      <c r="AM29" s="288">
        <v>6</v>
      </c>
      <c r="AN29" s="289">
        <v>3</v>
      </c>
      <c r="AO29" s="488"/>
      <c r="AP29" s="119">
        <v>1186000000</v>
      </c>
      <c r="AQ29" s="363">
        <v>976986480</v>
      </c>
      <c r="AR29" s="549"/>
      <c r="AS29" s="290" t="s">
        <v>824</v>
      </c>
      <c r="AT29" s="638">
        <v>7</v>
      </c>
      <c r="AU29" s="640">
        <v>9</v>
      </c>
      <c r="AV29" s="488"/>
      <c r="AW29" s="642" t="s">
        <v>856</v>
      </c>
      <c r="AX29" s="579" t="s">
        <v>856</v>
      </c>
      <c r="AY29" s="549"/>
      <c r="AZ29" s="781" t="s">
        <v>876</v>
      </c>
      <c r="BA29" s="621"/>
      <c r="BB29" s="622"/>
      <c r="BC29" s="488"/>
      <c r="BD29" s="613"/>
      <c r="BE29" s="613"/>
      <c r="BF29" s="549"/>
      <c r="BG29" s="616"/>
      <c r="BH29" s="603"/>
      <c r="BI29" s="615"/>
      <c r="BJ29" s="663"/>
      <c r="BK29" s="613"/>
      <c r="BL29" s="294"/>
      <c r="BM29" s="622"/>
      <c r="BN29" s="648"/>
      <c r="BO29" s="664"/>
      <c r="BP29" s="675"/>
      <c r="BQ29" s="488"/>
      <c r="BR29" s="575"/>
      <c r="BS29" s="575"/>
      <c r="BT29" s="549"/>
      <c r="BU29" s="662"/>
      <c r="BV29" s="71">
        <v>0.53400000000000003</v>
      </c>
      <c r="BW29" s="256">
        <v>0.36549999999999999</v>
      </c>
      <c r="BX29" s="488"/>
      <c r="BY29" s="575"/>
      <c r="BZ29" s="465"/>
      <c r="CA29" s="707"/>
      <c r="CB29" s="495"/>
      <c r="CC29" s="703"/>
      <c r="CD29" s="289" t="s">
        <v>1103</v>
      </c>
      <c r="CE29" s="56">
        <v>0.36549999999999999</v>
      </c>
      <c r="CF29" s="221">
        <v>0</v>
      </c>
      <c r="CG29" s="476"/>
      <c r="CH29" s="471"/>
      <c r="CI29" s="525"/>
      <c r="CJ29" s="477"/>
      <c r="CK29" s="493"/>
      <c r="CL29" s="245">
        <v>0.55000000000000004</v>
      </c>
      <c r="CM29" s="56">
        <v>0.36549999999999999</v>
      </c>
      <c r="CN29" s="227">
        <v>0</v>
      </c>
    </row>
    <row r="30" spans="1:92" ht="89.25" customHeight="1" x14ac:dyDescent="0.25">
      <c r="A30" s="561"/>
      <c r="B30" s="445"/>
      <c r="C30" s="558"/>
      <c r="D30" s="548" t="s">
        <v>78</v>
      </c>
      <c r="E30" s="47" t="s">
        <v>79</v>
      </c>
      <c r="F30" s="47" t="s">
        <v>439</v>
      </c>
      <c r="G30" s="47" t="s">
        <v>72</v>
      </c>
      <c r="H30" s="85" t="s">
        <v>1005</v>
      </c>
      <c r="I30" s="47">
        <v>4</v>
      </c>
      <c r="J30" s="279">
        <v>8</v>
      </c>
      <c r="K30" s="279" t="s">
        <v>291</v>
      </c>
      <c r="L30" s="279" t="s">
        <v>309</v>
      </c>
      <c r="M30" s="279">
        <v>2201030</v>
      </c>
      <c r="N30" s="279" t="s">
        <v>310</v>
      </c>
      <c r="O30" s="279">
        <v>220103000</v>
      </c>
      <c r="P30" s="279" t="s">
        <v>311</v>
      </c>
      <c r="Q30" s="280">
        <v>8</v>
      </c>
      <c r="R30" s="281" t="s">
        <v>41</v>
      </c>
      <c r="S30" s="579"/>
      <c r="T30" s="579"/>
      <c r="U30" s="579"/>
      <c r="V30" s="579"/>
      <c r="W30" s="279" t="s">
        <v>258</v>
      </c>
      <c r="X30" s="583"/>
      <c r="Y30" s="281" t="s">
        <v>41</v>
      </c>
      <c r="Z30" s="283" t="s">
        <v>661</v>
      </c>
      <c r="AA30" s="256" t="e">
        <f>(Z30/Y30)*1</f>
        <v>#VALUE!</v>
      </c>
      <c r="AB30" s="272"/>
      <c r="AC30" s="272"/>
      <c r="AD30" s="279" t="s">
        <v>258</v>
      </c>
      <c r="AE30" s="745"/>
      <c r="AF30" s="343">
        <v>0.4</v>
      </c>
      <c r="AG30" s="318">
        <v>0.19</v>
      </c>
      <c r="AH30" s="256">
        <f>(AG30/AF30)*1</f>
        <v>0.47499999999999998</v>
      </c>
      <c r="AI30" s="613">
        <v>130000000</v>
      </c>
      <c r="AJ30" s="613">
        <v>988000</v>
      </c>
      <c r="AK30" s="279" t="s">
        <v>258</v>
      </c>
      <c r="AL30" s="287" t="s">
        <v>744</v>
      </c>
      <c r="AM30" s="286" t="s">
        <v>778</v>
      </c>
      <c r="AN30" s="278" t="s">
        <v>41</v>
      </c>
      <c r="AO30" s="256" t="e">
        <f>(AN30/AM30)*1</f>
        <v>#VALUE!</v>
      </c>
      <c r="AP30" s="613" t="s">
        <v>793</v>
      </c>
      <c r="AQ30" s="613">
        <v>67600000</v>
      </c>
      <c r="AR30" s="279" t="s">
        <v>258</v>
      </c>
      <c r="AS30" s="616" t="s">
        <v>825</v>
      </c>
      <c r="AT30" s="638"/>
      <c r="AU30" s="640"/>
      <c r="AV30" s="256" t="e">
        <f>(AU30/AT30)*1</f>
        <v>#DIV/0!</v>
      </c>
      <c r="AW30" s="642"/>
      <c r="AX30" s="579"/>
      <c r="AY30" s="279" t="s">
        <v>258</v>
      </c>
      <c r="AZ30" s="780"/>
      <c r="BA30" s="286">
        <v>8</v>
      </c>
      <c r="BB30" s="278">
        <v>8</v>
      </c>
      <c r="BC30" s="256">
        <f>(BB30/BA30)*1</f>
        <v>1</v>
      </c>
      <c r="BD30" s="294" t="s">
        <v>925</v>
      </c>
      <c r="BE30" s="294" t="s">
        <v>926</v>
      </c>
      <c r="BF30" s="279" t="s">
        <v>258</v>
      </c>
      <c r="BG30" s="287" t="s">
        <v>943</v>
      </c>
      <c r="BH30" s="364">
        <v>8</v>
      </c>
      <c r="BI30" s="278">
        <v>8</v>
      </c>
      <c r="BJ30" s="14">
        <f>(BI30/BH30)*1</f>
        <v>1</v>
      </c>
      <c r="BK30" s="294"/>
      <c r="BL30" s="294"/>
      <c r="BM30" s="278" t="s">
        <v>258</v>
      </c>
      <c r="BN30" s="365" t="s">
        <v>524</v>
      </c>
      <c r="BO30" s="366">
        <v>8</v>
      </c>
      <c r="BP30" s="279">
        <v>8</v>
      </c>
      <c r="BQ30" s="256">
        <f>(BP30/BO30)*1</f>
        <v>1</v>
      </c>
      <c r="BR30" s="272"/>
      <c r="BS30" s="272"/>
      <c r="BT30" s="279" t="s">
        <v>258</v>
      </c>
      <c r="BU30" s="367" t="s">
        <v>606</v>
      </c>
      <c r="BV30" s="368">
        <v>8</v>
      </c>
      <c r="BW30" s="188">
        <v>4</v>
      </c>
      <c r="BX30" s="256">
        <f>(BW30/BV30)*1</f>
        <v>0.5</v>
      </c>
      <c r="BY30" s="272">
        <v>0</v>
      </c>
      <c r="BZ30" s="272">
        <v>0</v>
      </c>
      <c r="CA30" s="256">
        <v>0</v>
      </c>
      <c r="CB30" s="278" t="s">
        <v>1005</v>
      </c>
      <c r="CC30" s="369" t="s">
        <v>1092</v>
      </c>
      <c r="CD30" s="368">
        <v>8</v>
      </c>
      <c r="CE30" s="262">
        <v>4</v>
      </c>
      <c r="CF30" s="54">
        <f>(CE30/CD30)*1</f>
        <v>0.5</v>
      </c>
      <c r="CG30" s="55">
        <v>0</v>
      </c>
      <c r="CH30" s="429">
        <v>0</v>
      </c>
      <c r="CI30" s="54">
        <v>0</v>
      </c>
      <c r="CJ30" s="85" t="s">
        <v>1005</v>
      </c>
      <c r="CK30" s="270" t="s">
        <v>1112</v>
      </c>
      <c r="CL30" s="47">
        <v>8</v>
      </c>
      <c r="CM30" s="57">
        <v>4</v>
      </c>
      <c r="CN30" s="60">
        <f>CM30/CL30</f>
        <v>0.5</v>
      </c>
    </row>
    <row r="31" spans="1:92" ht="195.75" customHeight="1" x14ac:dyDescent="0.25">
      <c r="A31" s="561"/>
      <c r="B31" s="445"/>
      <c r="C31" s="558"/>
      <c r="D31" s="548"/>
      <c r="E31" s="47" t="s">
        <v>454</v>
      </c>
      <c r="F31" s="47" t="s">
        <v>80</v>
      </c>
      <c r="G31" s="47" t="s">
        <v>81</v>
      </c>
      <c r="H31" s="85" t="s">
        <v>1006</v>
      </c>
      <c r="I31" s="36" t="s">
        <v>82</v>
      </c>
      <c r="J31" s="279" t="s">
        <v>83</v>
      </c>
      <c r="K31" s="279" t="s">
        <v>291</v>
      </c>
      <c r="L31" s="279" t="s">
        <v>312</v>
      </c>
      <c r="M31" s="279" t="s">
        <v>293</v>
      </c>
      <c r="N31" s="279" t="s">
        <v>313</v>
      </c>
      <c r="O31" s="279" t="s">
        <v>293</v>
      </c>
      <c r="P31" s="279" t="s">
        <v>314</v>
      </c>
      <c r="Q31" s="280" t="s">
        <v>83</v>
      </c>
      <c r="R31" s="281" t="s">
        <v>41</v>
      </c>
      <c r="S31" s="579"/>
      <c r="T31" s="579"/>
      <c r="U31" s="579"/>
      <c r="V31" s="579"/>
      <c r="W31" s="549" t="s">
        <v>259</v>
      </c>
      <c r="X31" s="323"/>
      <c r="Y31" s="281" t="s">
        <v>41</v>
      </c>
      <c r="Z31" s="283" t="s">
        <v>661</v>
      </c>
      <c r="AA31" s="256">
        <v>1</v>
      </c>
      <c r="AB31" s="272"/>
      <c r="AC31" s="272"/>
      <c r="AD31" s="549" t="s">
        <v>259</v>
      </c>
      <c r="AE31" s="324" t="s">
        <v>680</v>
      </c>
      <c r="AF31" s="343">
        <v>0.5</v>
      </c>
      <c r="AG31" s="278" t="s">
        <v>41</v>
      </c>
      <c r="AH31" s="256">
        <v>1</v>
      </c>
      <c r="AI31" s="613"/>
      <c r="AJ31" s="613"/>
      <c r="AK31" s="549" t="s">
        <v>259</v>
      </c>
      <c r="AL31" s="616" t="s">
        <v>745</v>
      </c>
      <c r="AM31" s="343">
        <v>0.5</v>
      </c>
      <c r="AN31" s="318" t="s">
        <v>41</v>
      </c>
      <c r="AO31" s="256">
        <v>1</v>
      </c>
      <c r="AP31" s="613"/>
      <c r="AQ31" s="613"/>
      <c r="AR31" s="549" t="s">
        <v>259</v>
      </c>
      <c r="AS31" s="616"/>
      <c r="AT31" s="344">
        <v>0.24</v>
      </c>
      <c r="AU31" s="312">
        <v>0.44</v>
      </c>
      <c r="AV31" s="256">
        <v>1</v>
      </c>
      <c r="AW31" s="330" t="s">
        <v>856</v>
      </c>
      <c r="AX31" s="330" t="s">
        <v>856</v>
      </c>
      <c r="AY31" s="549" t="s">
        <v>259</v>
      </c>
      <c r="AZ31" s="370" t="s">
        <v>877</v>
      </c>
      <c r="BA31" s="286"/>
      <c r="BB31" s="278"/>
      <c r="BC31" s="256">
        <v>1</v>
      </c>
      <c r="BD31" s="613" t="s">
        <v>927</v>
      </c>
      <c r="BE31" s="613" t="s">
        <v>927</v>
      </c>
      <c r="BF31" s="549" t="s">
        <v>259</v>
      </c>
      <c r="BG31" s="287" t="s">
        <v>944</v>
      </c>
      <c r="BH31" s="371">
        <v>0.4415</v>
      </c>
      <c r="BI31" s="372">
        <v>0.47299999999999998</v>
      </c>
      <c r="BJ31" s="14">
        <v>1</v>
      </c>
      <c r="BK31" s="294" t="s">
        <v>525</v>
      </c>
      <c r="BL31" s="294" t="s">
        <v>526</v>
      </c>
      <c r="BM31" s="622" t="s">
        <v>259</v>
      </c>
      <c r="BN31" s="365" t="s">
        <v>527</v>
      </c>
      <c r="BO31" s="373">
        <v>0.46100000000000002</v>
      </c>
      <c r="BP31" s="266">
        <v>0.47299999999999998</v>
      </c>
      <c r="BQ31" s="256">
        <v>1</v>
      </c>
      <c r="BR31" s="272" t="s">
        <v>468</v>
      </c>
      <c r="BS31" s="272" t="s">
        <v>469</v>
      </c>
      <c r="BT31" s="549" t="s">
        <v>259</v>
      </c>
      <c r="BU31" s="367" t="s">
        <v>607</v>
      </c>
      <c r="BV31" s="310" t="s">
        <v>980</v>
      </c>
      <c r="BW31" s="266">
        <v>0.47299999999999998</v>
      </c>
      <c r="BX31" s="256">
        <v>0.93</v>
      </c>
      <c r="BY31" s="272">
        <f>918000000+
3690000</f>
        <v>921690000</v>
      </c>
      <c r="BZ31" s="273">
        <v>3960000</v>
      </c>
      <c r="CA31" s="256">
        <f>BZ31/BY31</f>
        <v>4.296455424274973E-3</v>
      </c>
      <c r="CB31" s="278" t="s">
        <v>1006</v>
      </c>
      <c r="CC31" s="702" t="s">
        <v>1095</v>
      </c>
      <c r="CD31" s="310">
        <v>0.5</v>
      </c>
      <c r="CE31" s="266">
        <v>0.47299999999999998</v>
      </c>
      <c r="CF31" s="259">
        <v>0.86</v>
      </c>
      <c r="CG31" s="55">
        <f>918000000+
3690000+1700000</f>
        <v>923390000</v>
      </c>
      <c r="CH31" s="425">
        <f>3960000+1700000</f>
        <v>5660000</v>
      </c>
      <c r="CI31" s="54">
        <f>CH31/CG31</f>
        <v>6.1295877148333858E-3</v>
      </c>
      <c r="CJ31" s="85" t="s">
        <v>1006</v>
      </c>
      <c r="CK31" s="506" t="s">
        <v>1113</v>
      </c>
      <c r="CL31" s="47" t="s">
        <v>83</v>
      </c>
      <c r="CM31" s="266">
        <v>0.47299999999999998</v>
      </c>
      <c r="CN31" s="259">
        <v>0.86</v>
      </c>
    </row>
    <row r="32" spans="1:92" ht="108" customHeight="1" x14ac:dyDescent="0.25">
      <c r="A32" s="561"/>
      <c r="B32" s="445"/>
      <c r="C32" s="558"/>
      <c r="D32" s="548" t="s">
        <v>84</v>
      </c>
      <c r="E32" s="47" t="s">
        <v>85</v>
      </c>
      <c r="F32" s="47" t="s">
        <v>86</v>
      </c>
      <c r="G32" s="47" t="s">
        <v>81</v>
      </c>
      <c r="H32" s="85" t="s">
        <v>1006</v>
      </c>
      <c r="I32" s="36" t="s">
        <v>87</v>
      </c>
      <c r="J32" s="279" t="s">
        <v>88</v>
      </c>
      <c r="K32" s="549" t="s">
        <v>291</v>
      </c>
      <c r="L32" s="549" t="s">
        <v>309</v>
      </c>
      <c r="M32" s="549">
        <v>2201033</v>
      </c>
      <c r="N32" s="549" t="s">
        <v>315</v>
      </c>
      <c r="O32" s="549">
        <v>220103300</v>
      </c>
      <c r="P32" s="549" t="s">
        <v>316</v>
      </c>
      <c r="Q32" s="280" t="s">
        <v>88</v>
      </c>
      <c r="R32" s="281" t="s">
        <v>41</v>
      </c>
      <c r="S32" s="579"/>
      <c r="T32" s="579"/>
      <c r="U32" s="579"/>
      <c r="V32" s="579"/>
      <c r="W32" s="549"/>
      <c r="X32" s="583"/>
      <c r="Y32" s="281" t="s">
        <v>41</v>
      </c>
      <c r="Z32" s="283" t="s">
        <v>661</v>
      </c>
      <c r="AA32" s="256">
        <v>0.86550000000000005</v>
      </c>
      <c r="AB32" s="272"/>
      <c r="AC32" s="272"/>
      <c r="AD32" s="549"/>
      <c r="AE32" s="745" t="s">
        <v>681</v>
      </c>
      <c r="AF32" s="343">
        <v>0.1</v>
      </c>
      <c r="AG32" s="351">
        <v>8.7999999999999995E-2</v>
      </c>
      <c r="AH32" s="256">
        <v>0.86550000000000005</v>
      </c>
      <c r="AI32" s="613"/>
      <c r="AJ32" s="613"/>
      <c r="AK32" s="549"/>
      <c r="AL32" s="616"/>
      <c r="AM32" s="309">
        <v>0.09</v>
      </c>
      <c r="AN32" s="310" t="s">
        <v>41</v>
      </c>
      <c r="AO32" s="256">
        <v>0.86550000000000005</v>
      </c>
      <c r="AP32" s="613"/>
      <c r="AQ32" s="613"/>
      <c r="AR32" s="549"/>
      <c r="AS32" s="616"/>
      <c r="AT32" s="344">
        <v>0.48</v>
      </c>
      <c r="AU32" s="312">
        <v>0.42</v>
      </c>
      <c r="AV32" s="256">
        <v>0.86550000000000005</v>
      </c>
      <c r="AW32" s="330" t="s">
        <v>856</v>
      </c>
      <c r="AX32" s="330" t="s">
        <v>856</v>
      </c>
      <c r="AY32" s="549"/>
      <c r="AZ32" s="374" t="s">
        <v>878</v>
      </c>
      <c r="BA32" s="343"/>
      <c r="BB32" s="278"/>
      <c r="BC32" s="256">
        <v>0.86550000000000005</v>
      </c>
      <c r="BD32" s="613"/>
      <c r="BE32" s="613"/>
      <c r="BF32" s="549"/>
      <c r="BG32" s="293" t="s">
        <v>945</v>
      </c>
      <c r="BH32" s="375">
        <v>0.47</v>
      </c>
      <c r="BI32" s="376">
        <v>0.54300000000000004</v>
      </c>
      <c r="BJ32" s="14">
        <v>0</v>
      </c>
      <c r="BK32" s="294">
        <v>71030094</v>
      </c>
      <c r="BL32" s="294">
        <v>56824075</v>
      </c>
      <c r="BM32" s="622"/>
      <c r="BN32" s="293" t="s">
        <v>528</v>
      </c>
      <c r="BO32" s="377">
        <v>0.46800000000000003</v>
      </c>
      <c r="BP32" s="183">
        <v>0.54300000000000004</v>
      </c>
      <c r="BQ32" s="256">
        <v>0.86550000000000005</v>
      </c>
      <c r="BR32" s="272">
        <v>0</v>
      </c>
      <c r="BS32" s="272">
        <v>0</v>
      </c>
      <c r="BT32" s="549"/>
      <c r="BU32" s="298" t="s">
        <v>608</v>
      </c>
      <c r="BV32" s="348" t="s">
        <v>981</v>
      </c>
      <c r="BW32" s="183">
        <v>0.54300000000000004</v>
      </c>
      <c r="BX32" s="256">
        <v>0</v>
      </c>
      <c r="BY32" s="272">
        <v>0</v>
      </c>
      <c r="BZ32" s="272">
        <v>0</v>
      </c>
      <c r="CA32" s="256">
        <v>0</v>
      </c>
      <c r="CB32" s="278" t="s">
        <v>1006</v>
      </c>
      <c r="CC32" s="703"/>
      <c r="CD32" s="318">
        <v>0.45</v>
      </c>
      <c r="CE32" s="58">
        <v>0.54300000000000004</v>
      </c>
      <c r="CF32" s="54">
        <v>0</v>
      </c>
      <c r="CG32" s="55">
        <v>0</v>
      </c>
      <c r="CH32" s="429">
        <v>0</v>
      </c>
      <c r="CI32" s="54">
        <v>0</v>
      </c>
      <c r="CJ32" s="85" t="s">
        <v>1006</v>
      </c>
      <c r="CK32" s="485"/>
      <c r="CL32" s="47" t="s">
        <v>88</v>
      </c>
      <c r="CM32" s="58">
        <v>0.54300000000000004</v>
      </c>
      <c r="CN32" s="60">
        <v>0</v>
      </c>
    </row>
    <row r="33" spans="1:92" ht="183" customHeight="1" x14ac:dyDescent="0.25">
      <c r="A33" s="561"/>
      <c r="B33" s="445"/>
      <c r="C33" s="558"/>
      <c r="D33" s="548"/>
      <c r="E33" s="47" t="s">
        <v>89</v>
      </c>
      <c r="F33" s="47" t="s">
        <v>90</v>
      </c>
      <c r="G33" s="47" t="s">
        <v>81</v>
      </c>
      <c r="H33" s="85" t="s">
        <v>1006</v>
      </c>
      <c r="I33" s="36" t="s">
        <v>91</v>
      </c>
      <c r="J33" s="279" t="s">
        <v>92</v>
      </c>
      <c r="K33" s="549"/>
      <c r="L33" s="549"/>
      <c r="M33" s="549"/>
      <c r="N33" s="549"/>
      <c r="O33" s="549"/>
      <c r="P33" s="549"/>
      <c r="Q33" s="280" t="s">
        <v>92</v>
      </c>
      <c r="R33" s="281" t="s">
        <v>41</v>
      </c>
      <c r="S33" s="579"/>
      <c r="T33" s="579"/>
      <c r="U33" s="579"/>
      <c r="V33" s="579"/>
      <c r="W33" s="549"/>
      <c r="X33" s="583"/>
      <c r="Y33" s="281" t="s">
        <v>41</v>
      </c>
      <c r="Z33" s="283" t="s">
        <v>661</v>
      </c>
      <c r="AA33" s="256">
        <v>1</v>
      </c>
      <c r="AB33" s="272"/>
      <c r="AC33" s="272"/>
      <c r="AD33" s="549"/>
      <c r="AE33" s="745"/>
      <c r="AF33" s="343">
        <v>0.55000000000000004</v>
      </c>
      <c r="AG33" s="318">
        <v>0.51</v>
      </c>
      <c r="AH33" s="256">
        <v>1</v>
      </c>
      <c r="AI33" s="613"/>
      <c r="AJ33" s="613"/>
      <c r="AK33" s="549"/>
      <c r="AL33" s="290" t="s">
        <v>746</v>
      </c>
      <c r="AM33" s="343">
        <v>0.57999999999999996</v>
      </c>
      <c r="AN33" s="318" t="s">
        <v>41</v>
      </c>
      <c r="AO33" s="256">
        <v>1</v>
      </c>
      <c r="AP33" s="613"/>
      <c r="AQ33" s="613"/>
      <c r="AR33" s="549"/>
      <c r="AS33" s="616"/>
      <c r="AT33" s="344">
        <v>0.08</v>
      </c>
      <c r="AU33" s="350">
        <v>8.5000000000000006E-2</v>
      </c>
      <c r="AV33" s="256">
        <v>1</v>
      </c>
      <c r="AW33" s="330" t="s">
        <v>856</v>
      </c>
      <c r="AX33" s="330" t="s">
        <v>856</v>
      </c>
      <c r="AY33" s="549"/>
      <c r="AZ33" s="370" t="s">
        <v>879</v>
      </c>
      <c r="BA33" s="343">
        <v>7.0000000000000007E-2</v>
      </c>
      <c r="BB33" s="351" t="s">
        <v>919</v>
      </c>
      <c r="BC33" s="256">
        <v>1</v>
      </c>
      <c r="BD33" s="613"/>
      <c r="BE33" s="613"/>
      <c r="BF33" s="549"/>
      <c r="BG33" s="293" t="s">
        <v>946</v>
      </c>
      <c r="BH33" s="375">
        <v>8.6800000000000002E-2</v>
      </c>
      <c r="BI33" s="376">
        <v>8.7900000000000006E-2</v>
      </c>
      <c r="BJ33" s="14">
        <v>1</v>
      </c>
      <c r="BK33" s="294" t="s">
        <v>529</v>
      </c>
      <c r="BL33" s="294" t="s">
        <v>529</v>
      </c>
      <c r="BM33" s="622"/>
      <c r="BN33" s="293" t="s">
        <v>530</v>
      </c>
      <c r="BO33" s="377">
        <v>8.1199999999999994E-2</v>
      </c>
      <c r="BP33" s="183">
        <v>8.7900000000000006E-2</v>
      </c>
      <c r="BQ33" s="256">
        <v>1</v>
      </c>
      <c r="BR33" s="272">
        <v>0</v>
      </c>
      <c r="BS33" s="272">
        <v>0</v>
      </c>
      <c r="BT33" s="549"/>
      <c r="BU33" s="298" t="s">
        <v>609</v>
      </c>
      <c r="BV33" s="348" t="s">
        <v>982</v>
      </c>
      <c r="BW33" s="183">
        <v>8.7900000000000006E-2</v>
      </c>
      <c r="BX33" s="256">
        <v>0.75</v>
      </c>
      <c r="BY33" s="272">
        <f>359582000+90000000</f>
        <v>449582000</v>
      </c>
      <c r="BZ33" s="272">
        <f>107874824+90000000</f>
        <v>197874824</v>
      </c>
      <c r="CA33" s="256">
        <f>BZ33/BY33</f>
        <v>0.44013066359418301</v>
      </c>
      <c r="CB33" s="278" t="s">
        <v>1006</v>
      </c>
      <c r="CC33" s="300" t="s">
        <v>1051</v>
      </c>
      <c r="CD33" s="310">
        <v>7.0000000000000007E-2</v>
      </c>
      <c r="CE33" s="183">
        <v>8.7900000000000006E-2</v>
      </c>
      <c r="CF33" s="54">
        <v>0.68</v>
      </c>
      <c r="CG33" s="55">
        <f>359582000+90000000+1700000</f>
        <v>451282000</v>
      </c>
      <c r="CH33" s="429">
        <f>107874824+90000000+1700000</f>
        <v>199574824</v>
      </c>
      <c r="CI33" s="54">
        <f>CH33/CG33</f>
        <v>0.4422397170726951</v>
      </c>
      <c r="CJ33" s="85" t="s">
        <v>1006</v>
      </c>
      <c r="CK33" s="419" t="s">
        <v>1114</v>
      </c>
      <c r="CL33" s="47" t="s">
        <v>92</v>
      </c>
      <c r="CM33" s="183">
        <v>8.7900000000000006E-2</v>
      </c>
      <c r="CN33" s="60">
        <v>0.68</v>
      </c>
    </row>
    <row r="34" spans="1:92" ht="116.25" customHeight="1" x14ac:dyDescent="0.25">
      <c r="A34" s="561"/>
      <c r="B34" s="445"/>
      <c r="C34" s="558"/>
      <c r="D34" s="111" t="s">
        <v>93</v>
      </c>
      <c r="E34" s="47" t="s">
        <v>94</v>
      </c>
      <c r="F34" s="47" t="s">
        <v>95</v>
      </c>
      <c r="G34" s="47" t="s">
        <v>81</v>
      </c>
      <c r="H34" s="85" t="s">
        <v>1006</v>
      </c>
      <c r="I34" s="36" t="s">
        <v>96</v>
      </c>
      <c r="J34" s="279" t="s">
        <v>97</v>
      </c>
      <c r="K34" s="279" t="s">
        <v>291</v>
      </c>
      <c r="L34" s="279" t="s">
        <v>312</v>
      </c>
      <c r="M34" s="279" t="s">
        <v>293</v>
      </c>
      <c r="N34" s="279" t="s">
        <v>313</v>
      </c>
      <c r="O34" s="279" t="s">
        <v>293</v>
      </c>
      <c r="P34" s="279" t="s">
        <v>314</v>
      </c>
      <c r="Q34" s="280" t="s">
        <v>97</v>
      </c>
      <c r="R34" s="281" t="s">
        <v>41</v>
      </c>
      <c r="S34" s="579"/>
      <c r="T34" s="579"/>
      <c r="U34" s="579"/>
      <c r="V34" s="579"/>
      <c r="W34" s="549"/>
      <c r="X34" s="583"/>
      <c r="Y34" s="281" t="s">
        <v>41</v>
      </c>
      <c r="Z34" s="283" t="s">
        <v>661</v>
      </c>
      <c r="AA34" s="256" t="e">
        <f>Z34/Y34</f>
        <v>#VALUE!</v>
      </c>
      <c r="AB34" s="272"/>
      <c r="AC34" s="272"/>
      <c r="AD34" s="549"/>
      <c r="AE34" s="745"/>
      <c r="AF34" s="343">
        <v>0.7</v>
      </c>
      <c r="AG34" s="318">
        <v>0.5</v>
      </c>
      <c r="AH34" s="256">
        <f>AG34/AF34</f>
        <v>0.7142857142857143</v>
      </c>
      <c r="AI34" s="294" t="s">
        <v>703</v>
      </c>
      <c r="AJ34" s="294" t="s">
        <v>704</v>
      </c>
      <c r="AK34" s="549"/>
      <c r="AL34" s="287" t="s">
        <v>747</v>
      </c>
      <c r="AM34" s="309">
        <v>0.7</v>
      </c>
      <c r="AN34" s="310">
        <v>0.5</v>
      </c>
      <c r="AO34" s="256">
        <f>AN34/AM34</f>
        <v>0.7142857142857143</v>
      </c>
      <c r="AP34" s="184">
        <v>25750000</v>
      </c>
      <c r="AQ34" s="378">
        <v>22400000</v>
      </c>
      <c r="AR34" s="549"/>
      <c r="AS34" s="311" t="s">
        <v>826</v>
      </c>
      <c r="AT34" s="344">
        <v>0.6</v>
      </c>
      <c r="AU34" s="312">
        <v>0.56899999999999995</v>
      </c>
      <c r="AV34" s="256">
        <f>AU34/AT34</f>
        <v>0.94833333333333325</v>
      </c>
      <c r="AW34" s="330" t="s">
        <v>856</v>
      </c>
      <c r="AX34" s="330" t="s">
        <v>856</v>
      </c>
      <c r="AY34" s="549"/>
      <c r="AZ34" s="370" t="s">
        <v>880</v>
      </c>
      <c r="BA34" s="343">
        <v>0.71</v>
      </c>
      <c r="BB34" s="318">
        <v>0.63</v>
      </c>
      <c r="BC34" s="256">
        <f>BB34/BA34</f>
        <v>0.88732394366197187</v>
      </c>
      <c r="BD34" s="613"/>
      <c r="BE34" s="613"/>
      <c r="BF34" s="549"/>
      <c r="BG34" s="290" t="s">
        <v>947</v>
      </c>
      <c r="BH34" s="379">
        <v>0.68600000000000005</v>
      </c>
      <c r="BI34" s="380">
        <v>0.623</v>
      </c>
      <c r="BJ34" s="14">
        <f>BI34/BH34</f>
        <v>0.90816326530612235</v>
      </c>
      <c r="BK34" s="294"/>
      <c r="BL34" s="294"/>
      <c r="BM34" s="622"/>
      <c r="BN34" s="301" t="s">
        <v>531</v>
      </c>
      <c r="BO34" s="381">
        <v>0.69020000000000004</v>
      </c>
      <c r="BP34" s="382">
        <v>0.623</v>
      </c>
      <c r="BQ34" s="256">
        <f>BP34/BO34</f>
        <v>0.9026369168356998</v>
      </c>
      <c r="BR34" s="272">
        <v>0</v>
      </c>
      <c r="BS34" s="272">
        <v>0</v>
      </c>
      <c r="BT34" s="549"/>
      <c r="BU34" s="336" t="s">
        <v>610</v>
      </c>
      <c r="BV34" s="310">
        <v>0.70199999999999996</v>
      </c>
      <c r="BW34" s="382">
        <v>0.623</v>
      </c>
      <c r="BX34" s="256">
        <v>0.122</v>
      </c>
      <c r="BY34" s="272">
        <v>0</v>
      </c>
      <c r="BZ34" s="274">
        <v>0</v>
      </c>
      <c r="CA34" s="256">
        <f>BY34/BX34</f>
        <v>0</v>
      </c>
      <c r="CB34" s="278" t="s">
        <v>1006</v>
      </c>
      <c r="CC34" s="383" t="s">
        <v>1052</v>
      </c>
      <c r="CD34" s="310">
        <v>0.71</v>
      </c>
      <c r="CE34" s="39">
        <v>0.623</v>
      </c>
      <c r="CF34" s="54">
        <v>0.122</v>
      </c>
      <c r="CG34" s="55">
        <v>0</v>
      </c>
      <c r="CH34" s="426">
        <v>0</v>
      </c>
      <c r="CI34" s="54">
        <f>CG34/CF34</f>
        <v>0</v>
      </c>
      <c r="CJ34" s="85" t="s">
        <v>1006</v>
      </c>
      <c r="CK34" s="270" t="s">
        <v>1115</v>
      </c>
      <c r="CL34" s="47" t="s">
        <v>97</v>
      </c>
      <c r="CM34" s="39">
        <v>0.623</v>
      </c>
      <c r="CN34" s="60">
        <v>0.122</v>
      </c>
    </row>
    <row r="35" spans="1:92" ht="165.75" customHeight="1" x14ac:dyDescent="0.25">
      <c r="A35" s="561"/>
      <c r="B35" s="445" t="s">
        <v>98</v>
      </c>
      <c r="C35" s="558" t="s">
        <v>99</v>
      </c>
      <c r="D35" s="111" t="s">
        <v>100</v>
      </c>
      <c r="E35" s="47" t="s">
        <v>101</v>
      </c>
      <c r="F35" s="47" t="s">
        <v>102</v>
      </c>
      <c r="G35" s="47" t="s">
        <v>103</v>
      </c>
      <c r="H35" s="1" t="s">
        <v>1007</v>
      </c>
      <c r="I35" s="36" t="s">
        <v>104</v>
      </c>
      <c r="J35" s="305">
        <v>0.8</v>
      </c>
      <c r="K35" s="279" t="s">
        <v>291</v>
      </c>
      <c r="L35" s="279" t="s">
        <v>317</v>
      </c>
      <c r="M35" s="279" t="s">
        <v>293</v>
      </c>
      <c r="N35" s="279" t="s">
        <v>318</v>
      </c>
      <c r="O35" s="279" t="s">
        <v>293</v>
      </c>
      <c r="P35" s="279" t="s">
        <v>319</v>
      </c>
      <c r="Q35" s="306">
        <v>0.8</v>
      </c>
      <c r="R35" s="281" t="s">
        <v>41</v>
      </c>
      <c r="S35" s="579"/>
      <c r="T35" s="579"/>
      <c r="U35" s="579"/>
      <c r="V35" s="579"/>
      <c r="W35" s="279" t="s">
        <v>260</v>
      </c>
      <c r="X35" s="282"/>
      <c r="Y35" s="281" t="s">
        <v>41</v>
      </c>
      <c r="Z35" s="283" t="s">
        <v>661</v>
      </c>
      <c r="AA35" s="256" t="e">
        <f>Z35/Y35</f>
        <v>#VALUE!</v>
      </c>
      <c r="AB35" s="272"/>
      <c r="AC35" s="384"/>
      <c r="AD35" s="279" t="s">
        <v>260</v>
      </c>
      <c r="AE35" s="285" t="s">
        <v>670</v>
      </c>
      <c r="AF35" s="343">
        <v>0.6</v>
      </c>
      <c r="AG35" s="318">
        <v>0.86</v>
      </c>
      <c r="AH35" s="256">
        <f>AG35/AF35</f>
        <v>1.4333333333333333</v>
      </c>
      <c r="AI35" s="294">
        <v>28200000</v>
      </c>
      <c r="AJ35" s="294">
        <v>8167000</v>
      </c>
      <c r="AK35" s="279" t="s">
        <v>260</v>
      </c>
      <c r="AL35" s="287" t="s">
        <v>748</v>
      </c>
      <c r="AM35" s="309">
        <v>0.65</v>
      </c>
      <c r="AN35" s="310">
        <v>0.86</v>
      </c>
      <c r="AO35" s="256">
        <f>AN35/AM35</f>
        <v>1.323076923076923</v>
      </c>
      <c r="AP35" s="185">
        <v>29046000</v>
      </c>
      <c r="AQ35" s="385" t="s">
        <v>700</v>
      </c>
      <c r="AR35" s="279" t="s">
        <v>260</v>
      </c>
      <c r="AS35" s="311" t="s">
        <v>827</v>
      </c>
      <c r="AT35" s="344">
        <v>0.72</v>
      </c>
      <c r="AU35" s="312">
        <v>0.5</v>
      </c>
      <c r="AV35" s="256">
        <f>AU35/AT35</f>
        <v>0.69444444444444442</v>
      </c>
      <c r="AW35" s="330" t="s">
        <v>856</v>
      </c>
      <c r="AX35" s="330" t="s">
        <v>856</v>
      </c>
      <c r="AY35" s="279" t="s">
        <v>260</v>
      </c>
      <c r="AZ35" s="355" t="s">
        <v>881</v>
      </c>
      <c r="BA35" s="286">
        <v>12</v>
      </c>
      <c r="BB35" s="278">
        <v>12</v>
      </c>
      <c r="BC35" s="256">
        <f>BB35/BA35</f>
        <v>1</v>
      </c>
      <c r="BD35" s="294"/>
      <c r="BE35" s="294"/>
      <c r="BF35" s="279" t="s">
        <v>260</v>
      </c>
      <c r="BG35" s="287" t="s">
        <v>948</v>
      </c>
      <c r="BH35" s="343">
        <v>0.56000000000000005</v>
      </c>
      <c r="BI35" s="14">
        <f>5/12</f>
        <v>0.41666666666666669</v>
      </c>
      <c r="BJ35" s="14">
        <f>BI35/BH35</f>
        <v>0.74404761904761896</v>
      </c>
      <c r="BK35" s="294" t="s">
        <v>532</v>
      </c>
      <c r="BL35" s="386">
        <v>900</v>
      </c>
      <c r="BM35" s="278" t="s">
        <v>260</v>
      </c>
      <c r="BN35" s="287" t="s">
        <v>533</v>
      </c>
      <c r="BO35" s="356">
        <v>0.74</v>
      </c>
      <c r="BP35" s="256">
        <f>5/12</f>
        <v>0.41666666666666669</v>
      </c>
      <c r="BQ35" s="256">
        <f>BP35/BO35</f>
        <v>0.56306306306306309</v>
      </c>
      <c r="BR35" s="272" t="s">
        <v>461</v>
      </c>
      <c r="BS35" s="384" t="s">
        <v>460</v>
      </c>
      <c r="BT35" s="279" t="s">
        <v>260</v>
      </c>
      <c r="BU35" s="367" t="s">
        <v>611</v>
      </c>
      <c r="BV35" s="310">
        <v>0.72</v>
      </c>
      <c r="BW35" s="256">
        <f>11/12</f>
        <v>0.91666666666666663</v>
      </c>
      <c r="BX35" s="256">
        <v>1</v>
      </c>
      <c r="BY35" s="387">
        <v>90000000</v>
      </c>
      <c r="BZ35" s="388">
        <v>28753833</v>
      </c>
      <c r="CA35" s="256">
        <f>BZ35/BY35</f>
        <v>0.31948703333333334</v>
      </c>
      <c r="CB35" s="351" t="s">
        <v>1007</v>
      </c>
      <c r="CC35" s="389" t="s">
        <v>1053</v>
      </c>
      <c r="CD35" s="310">
        <v>0.8</v>
      </c>
      <c r="CE35" s="56">
        <f>11/12</f>
        <v>0.91666666666666663</v>
      </c>
      <c r="CF35" s="54">
        <v>1</v>
      </c>
      <c r="CG35" s="246">
        <v>90000000</v>
      </c>
      <c r="CH35" s="426">
        <v>28753833</v>
      </c>
      <c r="CI35" s="54">
        <f>CH35/CG35</f>
        <v>0.31948703333333334</v>
      </c>
      <c r="CJ35" s="1" t="s">
        <v>1007</v>
      </c>
      <c r="CK35" s="277" t="s">
        <v>1116</v>
      </c>
      <c r="CL35" s="61">
        <v>0.8</v>
      </c>
      <c r="CM35" s="56">
        <f>11/12</f>
        <v>0.91666666666666663</v>
      </c>
      <c r="CN35" s="60">
        <v>1</v>
      </c>
    </row>
    <row r="36" spans="1:92" ht="123.75" customHeight="1" x14ac:dyDescent="0.25">
      <c r="A36" s="561"/>
      <c r="B36" s="445"/>
      <c r="C36" s="558"/>
      <c r="D36" s="111" t="s">
        <v>105</v>
      </c>
      <c r="E36" s="47" t="s">
        <v>106</v>
      </c>
      <c r="F36" s="47" t="s">
        <v>107</v>
      </c>
      <c r="G36" s="47" t="s">
        <v>108</v>
      </c>
      <c r="H36" s="85" t="s">
        <v>1008</v>
      </c>
      <c r="I36" s="47" t="s">
        <v>109</v>
      </c>
      <c r="J36" s="305">
        <v>1</v>
      </c>
      <c r="K36" s="279" t="s">
        <v>291</v>
      </c>
      <c r="L36" s="279" t="s">
        <v>320</v>
      </c>
      <c r="M36" s="279">
        <v>1903011</v>
      </c>
      <c r="N36" s="279" t="s">
        <v>321</v>
      </c>
      <c r="O36" s="279">
        <v>190301100</v>
      </c>
      <c r="P36" s="279" t="s">
        <v>322</v>
      </c>
      <c r="Q36" s="306">
        <v>1</v>
      </c>
      <c r="R36" s="281" t="s">
        <v>41</v>
      </c>
      <c r="S36" s="579"/>
      <c r="T36" s="579"/>
      <c r="U36" s="579"/>
      <c r="V36" s="579"/>
      <c r="W36" s="279" t="s">
        <v>261</v>
      </c>
      <c r="X36" s="282"/>
      <c r="Y36" s="281" t="s">
        <v>41</v>
      </c>
      <c r="Z36" s="283" t="s">
        <v>661</v>
      </c>
      <c r="AA36" s="256" t="e">
        <f>Z36/Y36</f>
        <v>#VALUE!</v>
      </c>
      <c r="AB36" s="272"/>
      <c r="AC36" s="272"/>
      <c r="AD36" s="279" t="s">
        <v>261</v>
      </c>
      <c r="AE36" s="285" t="s">
        <v>680</v>
      </c>
      <c r="AF36" s="621">
        <v>13</v>
      </c>
      <c r="AG36" s="622">
        <v>13</v>
      </c>
      <c r="AH36" s="256">
        <f>AG36/AF36</f>
        <v>1</v>
      </c>
      <c r="AI36" s="613" t="s">
        <v>705</v>
      </c>
      <c r="AJ36" s="613" t="s">
        <v>706</v>
      </c>
      <c r="AK36" s="279" t="s">
        <v>261</v>
      </c>
      <c r="AL36" s="616" t="s">
        <v>749</v>
      </c>
      <c r="AM36" s="623">
        <v>15</v>
      </c>
      <c r="AN36" s="624">
        <v>15</v>
      </c>
      <c r="AO36" s="256">
        <f>AN36/AM36</f>
        <v>1</v>
      </c>
      <c r="AP36" s="614">
        <v>405652392</v>
      </c>
      <c r="AQ36" s="614">
        <v>222770997</v>
      </c>
      <c r="AR36" s="279" t="s">
        <v>261</v>
      </c>
      <c r="AS36" s="752" t="s">
        <v>828</v>
      </c>
      <c r="AT36" s="344">
        <v>0.7</v>
      </c>
      <c r="AU36" s="312">
        <v>0.7</v>
      </c>
      <c r="AV36" s="256">
        <f>AU36/AT36</f>
        <v>1</v>
      </c>
      <c r="AW36" s="330" t="s">
        <v>856</v>
      </c>
      <c r="AX36" s="330" t="s">
        <v>856</v>
      </c>
      <c r="AY36" s="279" t="s">
        <v>261</v>
      </c>
      <c r="AZ36" s="355" t="s">
        <v>882</v>
      </c>
      <c r="BA36" s="286">
        <v>12</v>
      </c>
      <c r="BB36" s="278">
        <v>12</v>
      </c>
      <c r="BC36" s="256">
        <f>BB36/BA36</f>
        <v>1</v>
      </c>
      <c r="BD36" s="294"/>
      <c r="BE36" s="294"/>
      <c r="BF36" s="279" t="s">
        <v>261</v>
      </c>
      <c r="BG36" s="287" t="s">
        <v>948</v>
      </c>
      <c r="BH36" s="390">
        <v>0.94769999999999999</v>
      </c>
      <c r="BI36" s="14">
        <v>0.85</v>
      </c>
      <c r="BJ36" s="14">
        <f>BI36/BH36</f>
        <v>0.89690830431571167</v>
      </c>
      <c r="BK36" s="294"/>
      <c r="BL36" s="294"/>
      <c r="BM36" s="278" t="s">
        <v>261</v>
      </c>
      <c r="BN36" s="287" t="s">
        <v>534</v>
      </c>
      <c r="BO36" s="269">
        <v>0.96509999999999996</v>
      </c>
      <c r="BP36" s="256">
        <v>0.85</v>
      </c>
      <c r="BQ36" s="256">
        <f>BP36/BO36</f>
        <v>0.88073774738369082</v>
      </c>
      <c r="BR36" s="272">
        <v>0</v>
      </c>
      <c r="BS36" s="272">
        <v>0</v>
      </c>
      <c r="BT36" s="279" t="s">
        <v>261</v>
      </c>
      <c r="BU36" s="391" t="s">
        <v>612</v>
      </c>
      <c r="BV36" s="348">
        <v>0.98250000000000004</v>
      </c>
      <c r="BW36" s="256">
        <v>0.85</v>
      </c>
      <c r="BX36" s="256">
        <v>0.15379999999999999</v>
      </c>
      <c r="BY36" s="274">
        <v>0</v>
      </c>
      <c r="BZ36" s="274">
        <v>0</v>
      </c>
      <c r="CA36" s="256">
        <v>0</v>
      </c>
      <c r="CB36" s="278" t="s">
        <v>1008</v>
      </c>
      <c r="CC36" s="369" t="s">
        <v>1096</v>
      </c>
      <c r="CD36" s="318">
        <v>1</v>
      </c>
      <c r="CE36" s="56">
        <v>0.85</v>
      </c>
      <c r="CF36" s="54">
        <v>0.15379999999999999</v>
      </c>
      <c r="CG36" s="241">
        <v>0</v>
      </c>
      <c r="CH36" s="426">
        <v>0</v>
      </c>
      <c r="CI36" s="54">
        <v>0</v>
      </c>
      <c r="CJ36" s="85" t="s">
        <v>1008</v>
      </c>
      <c r="CK36" s="270" t="s">
        <v>1117</v>
      </c>
      <c r="CL36" s="61">
        <v>1</v>
      </c>
      <c r="CM36" s="56">
        <v>0.85</v>
      </c>
      <c r="CN36" s="60">
        <v>0.13800000000000001</v>
      </c>
    </row>
    <row r="37" spans="1:92" ht="15" customHeight="1" x14ac:dyDescent="0.25">
      <c r="A37" s="561"/>
      <c r="B37" s="445"/>
      <c r="C37" s="558"/>
      <c r="D37" s="548" t="s">
        <v>110</v>
      </c>
      <c r="E37" s="445" t="s">
        <v>111</v>
      </c>
      <c r="F37" s="445" t="s">
        <v>440</v>
      </c>
      <c r="G37" s="445" t="s">
        <v>112</v>
      </c>
      <c r="H37" s="454" t="s">
        <v>1009</v>
      </c>
      <c r="I37" s="445" t="s">
        <v>37</v>
      </c>
      <c r="J37" s="549" t="s">
        <v>441</v>
      </c>
      <c r="K37" s="549" t="s">
        <v>291</v>
      </c>
      <c r="L37" s="549" t="s">
        <v>323</v>
      </c>
      <c r="M37" s="549">
        <v>4301037</v>
      </c>
      <c r="N37" s="549" t="s">
        <v>324</v>
      </c>
      <c r="O37" s="549">
        <v>430103704</v>
      </c>
      <c r="P37" s="549" t="s">
        <v>325</v>
      </c>
      <c r="Q37" s="582" t="s">
        <v>441</v>
      </c>
      <c r="R37" s="281" t="s">
        <v>41</v>
      </c>
      <c r="S37" s="579"/>
      <c r="T37" s="579"/>
      <c r="U37" s="579"/>
      <c r="V37" s="579"/>
      <c r="W37" s="549" t="s">
        <v>262</v>
      </c>
      <c r="X37" s="607"/>
      <c r="Y37" s="281" t="s">
        <v>41</v>
      </c>
      <c r="Z37" s="283" t="s">
        <v>661</v>
      </c>
      <c r="AA37" s="488">
        <v>1</v>
      </c>
      <c r="AB37" s="575"/>
      <c r="AC37" s="575"/>
      <c r="AD37" s="549" t="s">
        <v>262</v>
      </c>
      <c r="AE37" s="746" t="s">
        <v>670</v>
      </c>
      <c r="AF37" s="621"/>
      <c r="AG37" s="622"/>
      <c r="AH37" s="488">
        <v>1</v>
      </c>
      <c r="AI37" s="613"/>
      <c r="AJ37" s="613"/>
      <c r="AK37" s="549" t="s">
        <v>262</v>
      </c>
      <c r="AL37" s="616"/>
      <c r="AM37" s="623"/>
      <c r="AN37" s="624"/>
      <c r="AO37" s="488">
        <v>1</v>
      </c>
      <c r="AP37" s="614"/>
      <c r="AQ37" s="614"/>
      <c r="AR37" s="549" t="s">
        <v>262</v>
      </c>
      <c r="AS37" s="752"/>
      <c r="AT37" s="638">
        <v>18</v>
      </c>
      <c r="AU37" s="640">
        <v>18</v>
      </c>
      <c r="AV37" s="488">
        <v>1</v>
      </c>
      <c r="AW37" s="642" t="s">
        <v>856</v>
      </c>
      <c r="AX37" s="642" t="s">
        <v>856</v>
      </c>
      <c r="AY37" s="549" t="s">
        <v>262</v>
      </c>
      <c r="AZ37" s="782" t="s">
        <v>883</v>
      </c>
      <c r="BA37" s="621">
        <v>1</v>
      </c>
      <c r="BB37" s="622">
        <v>1</v>
      </c>
      <c r="BC37" s="488">
        <v>1</v>
      </c>
      <c r="BD37" s="613" t="s">
        <v>928</v>
      </c>
      <c r="BE37" s="613">
        <v>120300000</v>
      </c>
      <c r="BF37" s="549" t="s">
        <v>262</v>
      </c>
      <c r="BG37" s="648" t="s">
        <v>949</v>
      </c>
      <c r="BH37" s="679">
        <v>0.21</v>
      </c>
      <c r="BI37" s="663">
        <v>0.75</v>
      </c>
      <c r="BJ37" s="663">
        <v>1</v>
      </c>
      <c r="BK37" s="613" t="s">
        <v>535</v>
      </c>
      <c r="BL37" s="680" t="s">
        <v>536</v>
      </c>
      <c r="BM37" s="622" t="s">
        <v>262</v>
      </c>
      <c r="BN37" s="648" t="s">
        <v>537</v>
      </c>
      <c r="BO37" s="681">
        <v>0.24</v>
      </c>
      <c r="BP37" s="488">
        <v>0.75</v>
      </c>
      <c r="BQ37" s="488">
        <v>1</v>
      </c>
      <c r="BR37" s="575">
        <v>143411000</v>
      </c>
      <c r="BS37" s="575" t="s">
        <v>613</v>
      </c>
      <c r="BT37" s="549" t="s">
        <v>262</v>
      </c>
      <c r="BU37" s="677" t="s">
        <v>614</v>
      </c>
      <c r="BV37" s="507">
        <v>0.27</v>
      </c>
      <c r="BW37" s="488">
        <v>0.75</v>
      </c>
      <c r="BX37" s="488">
        <v>1</v>
      </c>
      <c r="BY37" s="575">
        <f>12894828+14057500+
1253376033+
1405500</f>
        <v>1281733861</v>
      </c>
      <c r="BZ37" s="575">
        <f>12894828+
592550000+
14057500+14057500</f>
        <v>633559828</v>
      </c>
      <c r="CA37" s="706">
        <f>BZ37/BY37</f>
        <v>0.4942990485604406</v>
      </c>
      <c r="CB37" s="494" t="s">
        <v>1009</v>
      </c>
      <c r="CC37" s="714" t="s">
        <v>1054</v>
      </c>
      <c r="CD37" s="507">
        <v>0.3</v>
      </c>
      <c r="CE37" s="509">
        <v>0.75</v>
      </c>
      <c r="CF37" s="446">
        <v>1</v>
      </c>
      <c r="CG37" s="476">
        <f>12894828+14057500+37200000+278428571+300000000+
1253376033+
1405500+830364707</f>
        <v>2727727139</v>
      </c>
      <c r="CH37" s="476">
        <f>12894828+37200000+278428571+300000000+
592550000+
14057500+14057500+130000000</f>
        <v>1379188399</v>
      </c>
      <c r="CI37" s="440">
        <f>CH37/CG37</f>
        <v>0.50561816806413351</v>
      </c>
      <c r="CJ37" s="454" t="s">
        <v>1009</v>
      </c>
      <c r="CK37" s="505" t="s">
        <v>1118</v>
      </c>
      <c r="CL37" s="445" t="s">
        <v>441</v>
      </c>
      <c r="CM37" s="812">
        <v>0.75</v>
      </c>
      <c r="CN37" s="440">
        <v>1</v>
      </c>
    </row>
    <row r="38" spans="1:92" ht="83.25" customHeight="1" x14ac:dyDescent="0.25">
      <c r="A38" s="561"/>
      <c r="B38" s="445"/>
      <c r="C38" s="558"/>
      <c r="D38" s="548"/>
      <c r="E38" s="445"/>
      <c r="F38" s="445"/>
      <c r="G38" s="445"/>
      <c r="H38" s="455"/>
      <c r="I38" s="445"/>
      <c r="J38" s="549"/>
      <c r="K38" s="549"/>
      <c r="L38" s="549"/>
      <c r="M38" s="549"/>
      <c r="N38" s="549"/>
      <c r="O38" s="549"/>
      <c r="P38" s="549"/>
      <c r="Q38" s="582"/>
      <c r="R38" s="281" t="s">
        <v>41</v>
      </c>
      <c r="S38" s="579"/>
      <c r="T38" s="579"/>
      <c r="U38" s="579"/>
      <c r="V38" s="579"/>
      <c r="W38" s="549"/>
      <c r="X38" s="607"/>
      <c r="Y38" s="281" t="s">
        <v>41</v>
      </c>
      <c r="Z38" s="283" t="s">
        <v>661</v>
      </c>
      <c r="AA38" s="488"/>
      <c r="AB38" s="575"/>
      <c r="AC38" s="605"/>
      <c r="AD38" s="549"/>
      <c r="AE38" s="746"/>
      <c r="AF38" s="621"/>
      <c r="AG38" s="622"/>
      <c r="AH38" s="488"/>
      <c r="AI38" s="613"/>
      <c r="AJ38" s="613"/>
      <c r="AK38" s="549"/>
      <c r="AL38" s="616"/>
      <c r="AM38" s="623"/>
      <c r="AN38" s="624"/>
      <c r="AO38" s="488"/>
      <c r="AP38" s="614"/>
      <c r="AQ38" s="614"/>
      <c r="AR38" s="549"/>
      <c r="AS38" s="752"/>
      <c r="AT38" s="638"/>
      <c r="AU38" s="640"/>
      <c r="AV38" s="488"/>
      <c r="AW38" s="642"/>
      <c r="AX38" s="642"/>
      <c r="AY38" s="549"/>
      <c r="AZ38" s="782"/>
      <c r="BA38" s="621"/>
      <c r="BB38" s="622"/>
      <c r="BC38" s="488"/>
      <c r="BD38" s="613"/>
      <c r="BE38" s="613"/>
      <c r="BF38" s="549"/>
      <c r="BG38" s="648"/>
      <c r="BH38" s="679"/>
      <c r="BI38" s="663"/>
      <c r="BJ38" s="663"/>
      <c r="BK38" s="613"/>
      <c r="BL38" s="680"/>
      <c r="BM38" s="622"/>
      <c r="BN38" s="648"/>
      <c r="BO38" s="681"/>
      <c r="BP38" s="488"/>
      <c r="BQ38" s="488"/>
      <c r="BR38" s="575"/>
      <c r="BS38" s="605"/>
      <c r="BT38" s="549"/>
      <c r="BU38" s="662"/>
      <c r="BV38" s="508"/>
      <c r="BW38" s="488"/>
      <c r="BX38" s="488"/>
      <c r="BY38" s="575"/>
      <c r="BZ38" s="605"/>
      <c r="CA38" s="708"/>
      <c r="CB38" s="713"/>
      <c r="CC38" s="711"/>
      <c r="CD38" s="508"/>
      <c r="CE38" s="509"/>
      <c r="CF38" s="446"/>
      <c r="CG38" s="476"/>
      <c r="CH38" s="510"/>
      <c r="CI38" s="441"/>
      <c r="CJ38" s="455"/>
      <c r="CK38" s="458"/>
      <c r="CL38" s="445"/>
      <c r="CM38" s="813"/>
      <c r="CN38" s="441"/>
    </row>
    <row r="39" spans="1:92" ht="84.75" customHeight="1" x14ac:dyDescent="0.25">
      <c r="A39" s="561"/>
      <c r="B39" s="445"/>
      <c r="C39" s="558"/>
      <c r="D39" s="548"/>
      <c r="E39" s="445"/>
      <c r="F39" s="445"/>
      <c r="G39" s="445"/>
      <c r="H39" s="477"/>
      <c r="I39" s="445"/>
      <c r="J39" s="549"/>
      <c r="K39" s="549"/>
      <c r="L39" s="549"/>
      <c r="M39" s="549"/>
      <c r="N39" s="549"/>
      <c r="O39" s="549"/>
      <c r="P39" s="549"/>
      <c r="Q39" s="582"/>
      <c r="R39" s="281" t="s">
        <v>41</v>
      </c>
      <c r="S39" s="579"/>
      <c r="T39" s="579"/>
      <c r="U39" s="579"/>
      <c r="V39" s="579"/>
      <c r="W39" s="549"/>
      <c r="X39" s="282"/>
      <c r="Y39" s="281" t="s">
        <v>41</v>
      </c>
      <c r="Z39" s="283" t="s">
        <v>661</v>
      </c>
      <c r="AA39" s="488"/>
      <c r="AB39" s="575"/>
      <c r="AC39" s="605"/>
      <c r="AD39" s="549"/>
      <c r="AE39" s="285" t="s">
        <v>670</v>
      </c>
      <c r="AF39" s="286">
        <v>12</v>
      </c>
      <c r="AG39" s="278">
        <v>12</v>
      </c>
      <c r="AH39" s="488"/>
      <c r="AI39" s="294" t="s">
        <v>707</v>
      </c>
      <c r="AJ39" s="294" t="s">
        <v>708</v>
      </c>
      <c r="AK39" s="549"/>
      <c r="AL39" s="287" t="s">
        <v>750</v>
      </c>
      <c r="AM39" s="288">
        <v>12</v>
      </c>
      <c r="AN39" s="289">
        <v>6</v>
      </c>
      <c r="AO39" s="488"/>
      <c r="AP39" s="385" t="s">
        <v>794</v>
      </c>
      <c r="AQ39" s="392">
        <v>31680000</v>
      </c>
      <c r="AR39" s="549"/>
      <c r="AS39" s="290" t="s">
        <v>829</v>
      </c>
      <c r="AT39" s="291">
        <v>12</v>
      </c>
      <c r="AU39" s="292">
        <v>12</v>
      </c>
      <c r="AV39" s="488"/>
      <c r="AW39" s="330" t="s">
        <v>856</v>
      </c>
      <c r="AX39" s="330" t="s">
        <v>856</v>
      </c>
      <c r="AY39" s="549"/>
      <c r="AZ39" s="370" t="s">
        <v>884</v>
      </c>
      <c r="BA39" s="621"/>
      <c r="BB39" s="622"/>
      <c r="BC39" s="488"/>
      <c r="BD39" s="613"/>
      <c r="BE39" s="613"/>
      <c r="BF39" s="549"/>
      <c r="BG39" s="648"/>
      <c r="BH39" s="679"/>
      <c r="BI39" s="663"/>
      <c r="BJ39" s="663"/>
      <c r="BK39" s="613"/>
      <c r="BL39" s="680"/>
      <c r="BM39" s="622"/>
      <c r="BN39" s="648"/>
      <c r="BO39" s="681"/>
      <c r="BP39" s="488"/>
      <c r="BQ39" s="488"/>
      <c r="BR39" s="575"/>
      <c r="BS39" s="605"/>
      <c r="BT39" s="549"/>
      <c r="BU39" s="662"/>
      <c r="BV39" s="508"/>
      <c r="BW39" s="488"/>
      <c r="BX39" s="488"/>
      <c r="BY39" s="575"/>
      <c r="BZ39" s="605"/>
      <c r="CA39" s="707"/>
      <c r="CB39" s="495"/>
      <c r="CC39" s="703"/>
      <c r="CD39" s="508"/>
      <c r="CE39" s="509"/>
      <c r="CF39" s="446"/>
      <c r="CG39" s="476"/>
      <c r="CH39" s="510"/>
      <c r="CI39" s="453"/>
      <c r="CJ39" s="477"/>
      <c r="CK39" s="493"/>
      <c r="CL39" s="445"/>
      <c r="CM39" s="814"/>
      <c r="CN39" s="453"/>
    </row>
    <row r="40" spans="1:92" s="2" customFormat="1" ht="104.25" customHeight="1" x14ac:dyDescent="0.25">
      <c r="A40" s="561"/>
      <c r="B40" s="445"/>
      <c r="C40" s="558"/>
      <c r="D40" s="112" t="s">
        <v>113</v>
      </c>
      <c r="E40" s="57" t="s">
        <v>114</v>
      </c>
      <c r="F40" s="57" t="s">
        <v>115</v>
      </c>
      <c r="G40" s="57" t="s">
        <v>108</v>
      </c>
      <c r="H40" s="85" t="s">
        <v>1010</v>
      </c>
      <c r="I40" s="57" t="s">
        <v>37</v>
      </c>
      <c r="J40" s="279">
        <v>12</v>
      </c>
      <c r="K40" s="279" t="s">
        <v>291</v>
      </c>
      <c r="L40" s="279" t="s">
        <v>384</v>
      </c>
      <c r="M40" s="279" t="s">
        <v>326</v>
      </c>
      <c r="N40" s="279" t="s">
        <v>442</v>
      </c>
      <c r="O40" s="279" t="s">
        <v>327</v>
      </c>
      <c r="P40" s="279" t="s">
        <v>397</v>
      </c>
      <c r="Q40" s="280">
        <v>12</v>
      </c>
      <c r="R40" s="281" t="s">
        <v>41</v>
      </c>
      <c r="S40" s="579"/>
      <c r="T40" s="579"/>
      <c r="U40" s="579"/>
      <c r="V40" s="579"/>
      <c r="W40" s="279" t="s">
        <v>263</v>
      </c>
      <c r="X40" s="323"/>
      <c r="Y40" s="281" t="s">
        <v>41</v>
      </c>
      <c r="Z40" s="283" t="s">
        <v>661</v>
      </c>
      <c r="AA40" s="256">
        <v>1</v>
      </c>
      <c r="AB40" s="272"/>
      <c r="AC40" s="272"/>
      <c r="AD40" s="279" t="s">
        <v>263</v>
      </c>
      <c r="AE40" s="324" t="s">
        <v>678</v>
      </c>
      <c r="AF40" s="343">
        <v>1</v>
      </c>
      <c r="AG40" s="318">
        <v>1</v>
      </c>
      <c r="AH40" s="256">
        <v>1</v>
      </c>
      <c r="AI40" s="294" t="s">
        <v>709</v>
      </c>
      <c r="AJ40" s="294" t="s">
        <v>710</v>
      </c>
      <c r="AK40" s="279" t="s">
        <v>263</v>
      </c>
      <c r="AL40" s="354" t="s">
        <v>751</v>
      </c>
      <c r="AM40" s="179">
        <v>0.6</v>
      </c>
      <c r="AN40" s="71">
        <v>0.7</v>
      </c>
      <c r="AO40" s="256">
        <v>1</v>
      </c>
      <c r="AP40" s="122" t="s">
        <v>795</v>
      </c>
      <c r="AQ40" s="123">
        <v>43190000</v>
      </c>
      <c r="AR40" s="279" t="s">
        <v>263</v>
      </c>
      <c r="AS40" s="180" t="s">
        <v>830</v>
      </c>
      <c r="AT40" s="344">
        <v>0.65</v>
      </c>
      <c r="AU40" s="312">
        <v>0</v>
      </c>
      <c r="AV40" s="256">
        <v>1</v>
      </c>
      <c r="AW40" s="330" t="s">
        <v>856</v>
      </c>
      <c r="AX40" s="330" t="s">
        <v>856</v>
      </c>
      <c r="AY40" s="279" t="s">
        <v>263</v>
      </c>
      <c r="AZ40" s="197" t="s">
        <v>885</v>
      </c>
      <c r="BA40" s="286">
        <v>12</v>
      </c>
      <c r="BB40" s="278">
        <v>12</v>
      </c>
      <c r="BC40" s="256">
        <v>1</v>
      </c>
      <c r="BD40" s="294" t="s">
        <v>929</v>
      </c>
      <c r="BE40" s="294" t="s">
        <v>930</v>
      </c>
      <c r="BF40" s="279" t="s">
        <v>263</v>
      </c>
      <c r="BG40" s="287" t="s">
        <v>950</v>
      </c>
      <c r="BH40" s="364">
        <v>7</v>
      </c>
      <c r="BI40" s="278">
        <v>0</v>
      </c>
      <c r="BJ40" s="14">
        <f>(BI40/BH40)*1</f>
        <v>0</v>
      </c>
      <c r="BK40" s="294"/>
      <c r="BL40" s="294"/>
      <c r="BM40" s="278" t="s">
        <v>263</v>
      </c>
      <c r="BN40" s="287" t="s">
        <v>538</v>
      </c>
      <c r="BO40" s="366">
        <v>8</v>
      </c>
      <c r="BP40" s="279">
        <v>12</v>
      </c>
      <c r="BQ40" s="256">
        <v>1</v>
      </c>
      <c r="BR40" s="272">
        <v>0</v>
      </c>
      <c r="BS40" s="272">
        <v>5770000</v>
      </c>
      <c r="BT40" s="279" t="s">
        <v>263</v>
      </c>
      <c r="BU40" s="393" t="s">
        <v>615</v>
      </c>
      <c r="BV40" s="394">
        <v>9</v>
      </c>
      <c r="BW40" s="279">
        <v>11</v>
      </c>
      <c r="BX40" s="256">
        <v>1</v>
      </c>
      <c r="BY40" s="387">
        <v>90000000</v>
      </c>
      <c r="BZ40" s="388">
        <v>28753833</v>
      </c>
      <c r="CA40" s="268">
        <v>0</v>
      </c>
      <c r="CB40" s="278" t="s">
        <v>1010</v>
      </c>
      <c r="CC40" s="395" t="s">
        <v>1055</v>
      </c>
      <c r="CD40" s="279">
        <v>12</v>
      </c>
      <c r="CE40" s="47">
        <v>11</v>
      </c>
      <c r="CF40" s="56">
        <f>CE40/CD40</f>
        <v>0.91666666666666663</v>
      </c>
      <c r="CG40" s="246">
        <f>28800000+90000000</f>
        <v>118800000</v>
      </c>
      <c r="CH40" s="426">
        <f>28753833+28800000</f>
        <v>57553833</v>
      </c>
      <c r="CI40" s="210">
        <v>0</v>
      </c>
      <c r="CJ40" s="85" t="s">
        <v>1010</v>
      </c>
      <c r="CK40" s="277" t="s">
        <v>1145</v>
      </c>
      <c r="CL40" s="57">
        <v>12</v>
      </c>
      <c r="CM40" s="211">
        <v>11</v>
      </c>
      <c r="CN40" s="227">
        <f>CM40/CL40</f>
        <v>0.91666666666666663</v>
      </c>
    </row>
    <row r="41" spans="1:92" s="2" customFormat="1" ht="147.75" customHeight="1" x14ac:dyDescent="0.25">
      <c r="A41" s="561"/>
      <c r="B41" s="445"/>
      <c r="C41" s="558"/>
      <c r="D41" s="112" t="s">
        <v>116</v>
      </c>
      <c r="E41" s="57" t="s">
        <v>117</v>
      </c>
      <c r="F41" s="57" t="s">
        <v>118</v>
      </c>
      <c r="G41" s="57" t="s">
        <v>108</v>
      </c>
      <c r="H41" s="85" t="s">
        <v>1010</v>
      </c>
      <c r="I41" s="57" t="s">
        <v>37</v>
      </c>
      <c r="J41" s="305">
        <v>1</v>
      </c>
      <c r="K41" s="279" t="s">
        <v>291</v>
      </c>
      <c r="L41" s="279" t="s">
        <v>328</v>
      </c>
      <c r="M41" s="279" t="s">
        <v>37</v>
      </c>
      <c r="N41" s="279" t="s">
        <v>329</v>
      </c>
      <c r="O41" s="279" t="s">
        <v>37</v>
      </c>
      <c r="P41" s="279" t="s">
        <v>330</v>
      </c>
      <c r="Q41" s="306">
        <v>1</v>
      </c>
      <c r="R41" s="281" t="s">
        <v>41</v>
      </c>
      <c r="S41" s="579"/>
      <c r="T41" s="579"/>
      <c r="U41" s="579"/>
      <c r="V41" s="579"/>
      <c r="W41" s="279" t="s">
        <v>264</v>
      </c>
      <c r="X41" s="583"/>
      <c r="Y41" s="281" t="s">
        <v>41</v>
      </c>
      <c r="Z41" s="283" t="s">
        <v>661</v>
      </c>
      <c r="AA41" s="256">
        <v>1</v>
      </c>
      <c r="AB41" s="272"/>
      <c r="AC41" s="272"/>
      <c r="AD41" s="279" t="s">
        <v>264</v>
      </c>
      <c r="AE41" s="745" t="s">
        <v>682</v>
      </c>
      <c r="AF41" s="286">
        <v>12</v>
      </c>
      <c r="AG41" s="278">
        <v>12</v>
      </c>
      <c r="AH41" s="256">
        <v>1</v>
      </c>
      <c r="AI41" s="613" t="s">
        <v>711</v>
      </c>
      <c r="AJ41" s="613" t="s">
        <v>711</v>
      </c>
      <c r="AK41" s="279" t="s">
        <v>264</v>
      </c>
      <c r="AL41" s="616" t="s">
        <v>752</v>
      </c>
      <c r="AM41" s="288">
        <v>12</v>
      </c>
      <c r="AN41" s="289">
        <v>12</v>
      </c>
      <c r="AO41" s="256">
        <v>1</v>
      </c>
      <c r="AP41" s="743">
        <v>106571580996</v>
      </c>
      <c r="AQ41" s="743">
        <v>47709283071</v>
      </c>
      <c r="AR41" s="279" t="s">
        <v>264</v>
      </c>
      <c r="AS41" s="616" t="s">
        <v>831</v>
      </c>
      <c r="AT41" s="291">
        <v>12</v>
      </c>
      <c r="AU41" s="292">
        <v>12</v>
      </c>
      <c r="AV41" s="256">
        <v>1</v>
      </c>
      <c r="AW41" s="330" t="s">
        <v>856</v>
      </c>
      <c r="AX41" s="330" t="s">
        <v>856</v>
      </c>
      <c r="AY41" s="279" t="s">
        <v>264</v>
      </c>
      <c r="AZ41" s="362" t="s">
        <v>886</v>
      </c>
      <c r="BA41" s="286">
        <v>12</v>
      </c>
      <c r="BB41" s="278">
        <v>10</v>
      </c>
      <c r="BC41" s="256">
        <v>1</v>
      </c>
      <c r="BD41" s="294"/>
      <c r="BE41" s="294"/>
      <c r="BF41" s="279" t="s">
        <v>264</v>
      </c>
      <c r="BG41" s="354" t="s">
        <v>951</v>
      </c>
      <c r="BH41" s="396">
        <v>1</v>
      </c>
      <c r="BI41" s="278">
        <v>0</v>
      </c>
      <c r="BJ41" s="14">
        <v>0</v>
      </c>
      <c r="BK41" s="294"/>
      <c r="BL41" s="294"/>
      <c r="BM41" s="278" t="s">
        <v>264</v>
      </c>
      <c r="BN41" s="354" t="s">
        <v>539</v>
      </c>
      <c r="BO41" s="366">
        <v>100</v>
      </c>
      <c r="BP41" s="279">
        <v>1</v>
      </c>
      <c r="BQ41" s="256">
        <v>1</v>
      </c>
      <c r="BR41" s="272">
        <v>13200000</v>
      </c>
      <c r="BS41" s="272" t="s">
        <v>616</v>
      </c>
      <c r="BT41" s="279" t="s">
        <v>264</v>
      </c>
      <c r="BU41" s="354" t="s">
        <v>617</v>
      </c>
      <c r="BV41" s="305">
        <v>1</v>
      </c>
      <c r="BW41" s="305">
        <v>1</v>
      </c>
      <c r="BX41" s="256">
        <v>1</v>
      </c>
      <c r="BY41" s="274">
        <v>8655000</v>
      </c>
      <c r="BZ41" s="274">
        <v>8655000</v>
      </c>
      <c r="CA41" s="256">
        <f>BZ41/BY41</f>
        <v>1</v>
      </c>
      <c r="CB41" s="278" t="s">
        <v>1010</v>
      </c>
      <c r="CC41" s="397" t="s">
        <v>1056</v>
      </c>
      <c r="CD41" s="310">
        <v>1</v>
      </c>
      <c r="CE41" s="61">
        <v>1</v>
      </c>
      <c r="CF41" s="56">
        <v>1</v>
      </c>
      <c r="CG41" s="241">
        <v>8655000</v>
      </c>
      <c r="CH41" s="426">
        <v>8655000</v>
      </c>
      <c r="CI41" s="56">
        <f>CH41/CG41</f>
        <v>1</v>
      </c>
      <c r="CJ41" s="85" t="s">
        <v>1010</v>
      </c>
      <c r="CK41" s="271" t="s">
        <v>1119</v>
      </c>
      <c r="CL41" s="61">
        <v>1</v>
      </c>
      <c r="CM41" s="61">
        <v>1</v>
      </c>
      <c r="CN41" s="56">
        <f>CM41/CL41</f>
        <v>1</v>
      </c>
    </row>
    <row r="42" spans="1:92" ht="123" customHeight="1" x14ac:dyDescent="0.25">
      <c r="A42" s="561"/>
      <c r="B42" s="445"/>
      <c r="C42" s="558"/>
      <c r="D42" s="548" t="s">
        <v>119</v>
      </c>
      <c r="E42" s="445" t="s">
        <v>120</v>
      </c>
      <c r="F42" s="47" t="s">
        <v>121</v>
      </c>
      <c r="G42" s="47" t="s">
        <v>122</v>
      </c>
      <c r="H42" s="85" t="s">
        <v>1011</v>
      </c>
      <c r="I42" s="47">
        <v>1</v>
      </c>
      <c r="J42" s="279">
        <v>12</v>
      </c>
      <c r="K42" s="549" t="s">
        <v>291</v>
      </c>
      <c r="L42" s="601" t="s">
        <v>331</v>
      </c>
      <c r="M42" s="549">
        <v>1203002</v>
      </c>
      <c r="N42" s="549" t="s">
        <v>332</v>
      </c>
      <c r="O42" s="549">
        <v>120300200</v>
      </c>
      <c r="P42" s="549" t="s">
        <v>333</v>
      </c>
      <c r="Q42" s="280">
        <v>12</v>
      </c>
      <c r="R42" s="281" t="s">
        <v>41</v>
      </c>
      <c r="S42" s="579"/>
      <c r="T42" s="579"/>
      <c r="U42" s="579"/>
      <c r="V42" s="579"/>
      <c r="W42" s="549" t="s">
        <v>265</v>
      </c>
      <c r="X42" s="583"/>
      <c r="Y42" s="281" t="s">
        <v>41</v>
      </c>
      <c r="Z42" s="283" t="s">
        <v>662</v>
      </c>
      <c r="AA42" s="256" t="e">
        <f>Z42/Y42</f>
        <v>#VALUE!</v>
      </c>
      <c r="AB42" s="272"/>
      <c r="AC42" s="272"/>
      <c r="AD42" s="549" t="s">
        <v>265</v>
      </c>
      <c r="AE42" s="745"/>
      <c r="AF42" s="286">
        <v>1</v>
      </c>
      <c r="AG42" s="278">
        <v>1</v>
      </c>
      <c r="AH42" s="256">
        <f>AG42/AF42</f>
        <v>1</v>
      </c>
      <c r="AI42" s="613"/>
      <c r="AJ42" s="613"/>
      <c r="AK42" s="549" t="s">
        <v>265</v>
      </c>
      <c r="AL42" s="616"/>
      <c r="AM42" s="288">
        <v>1</v>
      </c>
      <c r="AN42" s="289">
        <v>1</v>
      </c>
      <c r="AO42" s="256">
        <f>AN42/AM42</f>
        <v>1</v>
      </c>
      <c r="AP42" s="508"/>
      <c r="AQ42" s="508"/>
      <c r="AR42" s="549" t="s">
        <v>265</v>
      </c>
      <c r="AS42" s="616"/>
      <c r="AT42" s="291">
        <v>1</v>
      </c>
      <c r="AU42" s="292">
        <v>1</v>
      </c>
      <c r="AV42" s="256">
        <f>AU42/AT42</f>
        <v>1</v>
      </c>
      <c r="AW42" s="330" t="s">
        <v>856</v>
      </c>
      <c r="AX42" s="330" t="s">
        <v>856</v>
      </c>
      <c r="AY42" s="549" t="s">
        <v>265</v>
      </c>
      <c r="AZ42" s="398" t="s">
        <v>887</v>
      </c>
      <c r="BA42" s="286">
        <v>1</v>
      </c>
      <c r="BB42" s="278">
        <v>1</v>
      </c>
      <c r="BC42" s="256">
        <f>BB42/BA42</f>
        <v>1</v>
      </c>
      <c r="BD42" s="613"/>
      <c r="BE42" s="613"/>
      <c r="BF42" s="549" t="s">
        <v>265</v>
      </c>
      <c r="BG42" s="616" t="s">
        <v>1033</v>
      </c>
      <c r="BH42" s="364">
        <v>12</v>
      </c>
      <c r="BI42" s="278">
        <v>10</v>
      </c>
      <c r="BJ42" s="14">
        <f>BI42/BH42</f>
        <v>0.83333333333333337</v>
      </c>
      <c r="BK42" s="294">
        <v>14200000</v>
      </c>
      <c r="BL42" s="294">
        <v>14200000</v>
      </c>
      <c r="BM42" s="622" t="s">
        <v>265</v>
      </c>
      <c r="BN42" s="293" t="s">
        <v>540</v>
      </c>
      <c r="BO42" s="366">
        <v>12</v>
      </c>
      <c r="BP42" s="279">
        <v>12</v>
      </c>
      <c r="BQ42" s="256">
        <f>BP42/BO42</f>
        <v>1</v>
      </c>
      <c r="BR42" s="272">
        <v>14200000</v>
      </c>
      <c r="BS42" s="272" t="s">
        <v>987</v>
      </c>
      <c r="BT42" s="549" t="s">
        <v>265</v>
      </c>
      <c r="BU42" s="298" t="s">
        <v>988</v>
      </c>
      <c r="BV42" s="399">
        <v>12</v>
      </c>
      <c r="BW42" s="265">
        <v>12</v>
      </c>
      <c r="BX42" s="256">
        <f>BW42/BV42</f>
        <v>1</v>
      </c>
      <c r="BY42" s="274">
        <v>0</v>
      </c>
      <c r="BZ42" s="274">
        <v>0</v>
      </c>
      <c r="CA42" s="256">
        <f>BY42/BX42</f>
        <v>0</v>
      </c>
      <c r="CB42" s="278" t="s">
        <v>1011</v>
      </c>
      <c r="CC42" s="300" t="s">
        <v>1057</v>
      </c>
      <c r="CD42" s="399">
        <v>12</v>
      </c>
      <c r="CE42" s="235">
        <v>12</v>
      </c>
      <c r="CF42" s="259">
        <f>CE42/CD42</f>
        <v>1</v>
      </c>
      <c r="CG42" s="241">
        <f>6000000+9000000</f>
        <v>15000000</v>
      </c>
      <c r="CH42" s="426">
        <f>9000000+9000000</f>
        <v>18000000</v>
      </c>
      <c r="CI42" s="54">
        <f>CG42/CH42</f>
        <v>0.83333333333333337</v>
      </c>
      <c r="CJ42" s="85" t="s">
        <v>1011</v>
      </c>
      <c r="CK42" s="419" t="s">
        <v>1120</v>
      </c>
      <c r="CL42" s="47">
        <v>12</v>
      </c>
      <c r="CM42" s="57">
        <v>12</v>
      </c>
      <c r="CN42" s="60">
        <f>CM42/CL42</f>
        <v>1</v>
      </c>
    </row>
    <row r="43" spans="1:92" ht="131.25" customHeight="1" x14ac:dyDescent="0.25">
      <c r="A43" s="561"/>
      <c r="B43" s="445"/>
      <c r="C43" s="558"/>
      <c r="D43" s="548"/>
      <c r="E43" s="445"/>
      <c r="F43" s="57" t="s">
        <v>123</v>
      </c>
      <c r="G43" s="57" t="s">
        <v>124</v>
      </c>
      <c r="H43" s="85" t="s">
        <v>1012</v>
      </c>
      <c r="I43" s="47" t="s">
        <v>125</v>
      </c>
      <c r="J43" s="279" t="s">
        <v>126</v>
      </c>
      <c r="K43" s="549"/>
      <c r="L43" s="601"/>
      <c r="M43" s="549"/>
      <c r="N43" s="549"/>
      <c r="O43" s="549"/>
      <c r="P43" s="549"/>
      <c r="Q43" s="280" t="s">
        <v>126</v>
      </c>
      <c r="R43" s="281" t="s">
        <v>41</v>
      </c>
      <c r="S43" s="579"/>
      <c r="T43" s="579"/>
      <c r="U43" s="579"/>
      <c r="V43" s="579"/>
      <c r="W43" s="549"/>
      <c r="X43" s="282"/>
      <c r="Y43" s="281" t="s">
        <v>41</v>
      </c>
      <c r="Z43" s="283" t="s">
        <v>37</v>
      </c>
      <c r="AA43" s="256">
        <v>1</v>
      </c>
      <c r="AB43" s="272"/>
      <c r="AC43" s="272"/>
      <c r="AD43" s="549"/>
      <c r="AE43" s="285" t="s">
        <v>683</v>
      </c>
      <c r="AF43" s="621">
        <v>1</v>
      </c>
      <c r="AG43" s="622">
        <v>1</v>
      </c>
      <c r="AH43" s="256">
        <v>1</v>
      </c>
      <c r="AI43" s="613"/>
      <c r="AJ43" s="613"/>
      <c r="AK43" s="549"/>
      <c r="AL43" s="616"/>
      <c r="AM43" s="621" t="s">
        <v>693</v>
      </c>
      <c r="AN43" s="622" t="s">
        <v>693</v>
      </c>
      <c r="AO43" s="256">
        <v>1</v>
      </c>
      <c r="AP43" s="613" t="s">
        <v>796</v>
      </c>
      <c r="AQ43" s="613" t="s">
        <v>700</v>
      </c>
      <c r="AR43" s="549"/>
      <c r="AS43" s="616" t="s">
        <v>832</v>
      </c>
      <c r="AT43" s="761">
        <v>1</v>
      </c>
      <c r="AU43" s="640">
        <v>1</v>
      </c>
      <c r="AV43" s="256">
        <v>1</v>
      </c>
      <c r="AW43" s="642" t="s">
        <v>857</v>
      </c>
      <c r="AX43" s="642" t="s">
        <v>858</v>
      </c>
      <c r="AY43" s="549"/>
      <c r="AZ43" s="779" t="s">
        <v>888</v>
      </c>
      <c r="BA43" s="286">
        <v>332</v>
      </c>
      <c r="BB43" s="278">
        <v>200</v>
      </c>
      <c r="BC43" s="256">
        <v>1</v>
      </c>
      <c r="BD43" s="613"/>
      <c r="BE43" s="613"/>
      <c r="BF43" s="549"/>
      <c r="BG43" s="616"/>
      <c r="BH43" s="286">
        <v>234.42</v>
      </c>
      <c r="BI43" s="278">
        <v>306.45999999999998</v>
      </c>
      <c r="BJ43" s="14">
        <v>1</v>
      </c>
      <c r="BK43" s="294">
        <v>97928400</v>
      </c>
      <c r="BL43" s="294">
        <v>27393333</v>
      </c>
      <c r="BM43" s="622"/>
      <c r="BN43" s="293" t="s">
        <v>541</v>
      </c>
      <c r="BO43" s="342">
        <v>234.42</v>
      </c>
      <c r="BP43" s="279">
        <v>306.45999999999998</v>
      </c>
      <c r="BQ43" s="256">
        <v>1</v>
      </c>
      <c r="BR43" s="272">
        <v>97928400</v>
      </c>
      <c r="BS43" s="272" t="s">
        <v>990</v>
      </c>
      <c r="BT43" s="549"/>
      <c r="BU43" s="298" t="s">
        <v>989</v>
      </c>
      <c r="BV43" s="278">
        <v>234.42</v>
      </c>
      <c r="BW43" s="279">
        <v>682</v>
      </c>
      <c r="BX43" s="256">
        <v>0</v>
      </c>
      <c r="BY43" s="272">
        <f>17310000+11170350+
768000+7770000</f>
        <v>37018350</v>
      </c>
      <c r="BZ43" s="272">
        <f>17310000+22340700+384000+7770000</f>
        <v>47804700</v>
      </c>
      <c r="CA43" s="268">
        <v>1</v>
      </c>
      <c r="CB43" s="278" t="s">
        <v>1012</v>
      </c>
      <c r="CC43" s="300" t="s">
        <v>1058</v>
      </c>
      <c r="CD43" s="278" t="s">
        <v>983</v>
      </c>
      <c r="CE43" s="57">
        <v>682</v>
      </c>
      <c r="CF43" s="186">
        <v>0</v>
      </c>
      <c r="CG43" s="55" t="str">
        <f>'[2]Comisarías de Familia'!$N$10</f>
        <v>13 DE ABRIL DEL 2023 Por parte del equipo psicosocial de la Comisaria de Familia con acompañamiento de Policía de Infancia y Adolescencia se realiza operativo de requisa en Instituciones educativas priorizadas en el Comité de convivencia escolar, por lo tanto, se brindó dicho acompañamiento en la Institución educativa Pedacito de cielo, Gabriela Mistral y Antonio Nariño; con el fin de prevenir consumo y expendio de sustancias psicoactivas en el entorno escolar. 
11 DE MAYO DEL 2023 Se realizó campaña de prevención de la violencia en la Institución Educativa Antonio Nariño, dicha campaña fue dirigida a la psico-educación de estudiantes y docentes de diferentes grados con el fin de promover las líneas de atención y los espacios de escucha a Niños, Niñas y Adolescentes.                                   14 DE MAYO DEL 2023 Por parte del despacho de la Comisaria de familia y su equipo psicosocial se brindó acompañamiento durante operativo de control a menores de edad, dirigido por Secretaria de Gobierno, Policía Nacional y Ejercito Nacional, en diferentes sectores del municipio, lo anterior con el fin de prevenir el uso de sustancias psicoactivas en menores de edad, permanencia en calle y socializar decreto en horario de restricción a menores de edad.                                27 DE MAYO DEL 2023 Por parte del despacho de la Comisaria de familia y su equipo psicosocial se brindó acompañamiento durante operativo de control a menores de edad en diferentes sectores del municipio, lo anterior con el fin de prevenir el uso de sustancias psicoactivas en menores de edad, permanencia en calle y socializar decreto en horario de restricción a menores de edad.                                 11 DE MAYO DEL 2023 El equipo psicosocial de la Comisaria de Familia hizo parte de la campaña (TE RETO A DECIR NO) sobre prevención de la violencia en entornos escolares y dirigida a Instituciones educativas del municipio, dicha campaña genero impacto a docentes y estudiantes de diferentes grados, así mismo se sustenta la ruta de atención en casos de violencia teniendo en cuenta la Ley 1257 del 2008 .</v>
      </c>
      <c r="CH43" s="429">
        <f>23454000+4000000+17310000+22340700+384000+7770000+9775000</f>
        <v>85033700</v>
      </c>
      <c r="CI43" s="230" t="e">
        <f>CH43/CG43</f>
        <v>#VALUE!</v>
      </c>
      <c r="CJ43" s="85" t="s">
        <v>1012</v>
      </c>
      <c r="CK43" s="419" t="s">
        <v>1146</v>
      </c>
      <c r="CL43" s="278" t="s">
        <v>126</v>
      </c>
      <c r="CM43" s="260">
        <v>682</v>
      </c>
      <c r="CN43" s="258">
        <v>1</v>
      </c>
    </row>
    <row r="44" spans="1:92" ht="45" customHeight="1" x14ac:dyDescent="0.25">
      <c r="A44" s="561"/>
      <c r="B44" s="445"/>
      <c r="C44" s="558"/>
      <c r="D44" s="548" t="s">
        <v>127</v>
      </c>
      <c r="E44" s="445" t="s">
        <v>128</v>
      </c>
      <c r="F44" s="445" t="s">
        <v>129</v>
      </c>
      <c r="G44" s="445" t="s">
        <v>124</v>
      </c>
      <c r="H44" s="454" t="s">
        <v>1012</v>
      </c>
      <c r="I44" s="445" t="s">
        <v>130</v>
      </c>
      <c r="J44" s="549" t="s">
        <v>126</v>
      </c>
      <c r="K44" s="549" t="s">
        <v>291</v>
      </c>
      <c r="L44" s="601" t="s">
        <v>331</v>
      </c>
      <c r="M44" s="549">
        <v>1203002</v>
      </c>
      <c r="N44" s="549" t="s">
        <v>332</v>
      </c>
      <c r="O44" s="549">
        <v>120300200</v>
      </c>
      <c r="P44" s="549" t="s">
        <v>333</v>
      </c>
      <c r="Q44" s="582" t="s">
        <v>126</v>
      </c>
      <c r="R44" s="281" t="s">
        <v>41</v>
      </c>
      <c r="S44" s="579"/>
      <c r="T44" s="579"/>
      <c r="U44" s="579"/>
      <c r="V44" s="579"/>
      <c r="W44" s="549"/>
      <c r="X44" s="583"/>
      <c r="Y44" s="281" t="s">
        <v>41</v>
      </c>
      <c r="Z44" s="283" t="s">
        <v>37</v>
      </c>
      <c r="AA44" s="488">
        <v>0.76700000000000002</v>
      </c>
      <c r="AB44" s="575"/>
      <c r="AC44" s="575"/>
      <c r="AD44" s="549"/>
      <c r="AE44" s="745" t="s">
        <v>679</v>
      </c>
      <c r="AF44" s="621"/>
      <c r="AG44" s="622"/>
      <c r="AH44" s="488">
        <v>0.76700000000000002</v>
      </c>
      <c r="AI44" s="613"/>
      <c r="AJ44" s="613"/>
      <c r="AK44" s="549"/>
      <c r="AL44" s="616"/>
      <c r="AM44" s="621"/>
      <c r="AN44" s="622"/>
      <c r="AO44" s="488">
        <v>0.76700000000000002</v>
      </c>
      <c r="AP44" s="613"/>
      <c r="AQ44" s="613"/>
      <c r="AR44" s="549"/>
      <c r="AS44" s="616"/>
      <c r="AT44" s="761"/>
      <c r="AU44" s="640"/>
      <c r="AV44" s="488">
        <v>0.76700000000000002</v>
      </c>
      <c r="AW44" s="642"/>
      <c r="AX44" s="642"/>
      <c r="AY44" s="549"/>
      <c r="AZ44" s="779"/>
      <c r="BA44" s="621">
        <v>1</v>
      </c>
      <c r="BB44" s="622">
        <v>1</v>
      </c>
      <c r="BC44" s="488">
        <v>0.76700000000000002</v>
      </c>
      <c r="BD44" s="613"/>
      <c r="BE44" s="613"/>
      <c r="BF44" s="549"/>
      <c r="BG44" s="616"/>
      <c r="BH44" s="669" t="s">
        <v>418</v>
      </c>
      <c r="BI44" s="678">
        <v>0.31940000000000002</v>
      </c>
      <c r="BJ44" s="663">
        <v>0</v>
      </c>
      <c r="BK44" s="613">
        <v>15000000</v>
      </c>
      <c r="BL44" s="613">
        <v>3620000</v>
      </c>
      <c r="BM44" s="622"/>
      <c r="BN44" s="648" t="s">
        <v>542</v>
      </c>
      <c r="BO44" s="673" t="s">
        <v>418</v>
      </c>
      <c r="BP44" s="511">
        <v>0.31940000000000002</v>
      </c>
      <c r="BQ44" s="488">
        <v>0.76700000000000002</v>
      </c>
      <c r="BR44" s="575">
        <v>15000000</v>
      </c>
      <c r="BS44" s="575" t="s">
        <v>618</v>
      </c>
      <c r="BT44" s="549"/>
      <c r="BU44" s="662" t="s">
        <v>619</v>
      </c>
      <c r="BV44" s="582" t="s">
        <v>126</v>
      </c>
      <c r="BW44" s="715">
        <v>56.78</v>
      </c>
      <c r="BX44" s="488">
        <v>0.76700000000000002</v>
      </c>
      <c r="BY44" s="716">
        <v>157000000</v>
      </c>
      <c r="BZ44" s="464">
        <v>0</v>
      </c>
      <c r="CA44" s="706">
        <f>BZ44/BY44</f>
        <v>0</v>
      </c>
      <c r="CB44" s="494" t="s">
        <v>1012</v>
      </c>
      <c r="CC44" s="702" t="s">
        <v>1083</v>
      </c>
      <c r="CD44" s="494" t="s">
        <v>983</v>
      </c>
      <c r="CE44" s="511">
        <v>0.56779999999999997</v>
      </c>
      <c r="CF44" s="499">
        <v>0.76700000000000002</v>
      </c>
      <c r="CG44" s="512">
        <f>157000000+1020000</f>
        <v>158020000</v>
      </c>
      <c r="CH44" s="470">
        <v>10200000</v>
      </c>
      <c r="CI44" s="501">
        <f>CH44/CG44</f>
        <v>6.4548791292241489E-2</v>
      </c>
      <c r="CJ44" s="454" t="s">
        <v>1012</v>
      </c>
      <c r="CK44" s="457" t="s">
        <v>1147</v>
      </c>
      <c r="CL44" s="549" t="s">
        <v>126</v>
      </c>
      <c r="CM44" s="815">
        <v>0.31940000000000002</v>
      </c>
      <c r="CN44" s="501">
        <v>0</v>
      </c>
    </row>
    <row r="45" spans="1:92" ht="97.5" customHeight="1" x14ac:dyDescent="0.25">
      <c r="A45" s="561"/>
      <c r="B45" s="445"/>
      <c r="C45" s="558"/>
      <c r="D45" s="548"/>
      <c r="E45" s="445"/>
      <c r="F45" s="445"/>
      <c r="G45" s="445"/>
      <c r="H45" s="477"/>
      <c r="I45" s="445"/>
      <c r="J45" s="549"/>
      <c r="K45" s="549"/>
      <c r="L45" s="601"/>
      <c r="M45" s="549"/>
      <c r="N45" s="549"/>
      <c r="O45" s="549"/>
      <c r="P45" s="549"/>
      <c r="Q45" s="582"/>
      <c r="R45" s="281" t="s">
        <v>41</v>
      </c>
      <c r="S45" s="579"/>
      <c r="T45" s="579"/>
      <c r="U45" s="579"/>
      <c r="V45" s="579"/>
      <c r="W45" s="549"/>
      <c r="X45" s="583"/>
      <c r="Y45" s="281" t="s">
        <v>41</v>
      </c>
      <c r="Z45" s="283" t="s">
        <v>37</v>
      </c>
      <c r="AA45" s="488"/>
      <c r="AB45" s="575"/>
      <c r="AC45" s="575"/>
      <c r="AD45" s="549"/>
      <c r="AE45" s="745"/>
      <c r="AF45" s="621">
        <v>1</v>
      </c>
      <c r="AG45" s="622">
        <v>1</v>
      </c>
      <c r="AH45" s="488"/>
      <c r="AI45" s="613" t="s">
        <v>712</v>
      </c>
      <c r="AJ45" s="613" t="s">
        <v>713</v>
      </c>
      <c r="AK45" s="549"/>
      <c r="AL45" s="616" t="s">
        <v>753</v>
      </c>
      <c r="AM45" s="618">
        <v>1</v>
      </c>
      <c r="AN45" s="508">
        <v>1</v>
      </c>
      <c r="AO45" s="488"/>
      <c r="AP45" s="614">
        <v>20600000</v>
      </c>
      <c r="AQ45" s="614" t="s">
        <v>700</v>
      </c>
      <c r="AR45" s="549"/>
      <c r="AS45" s="616" t="s">
        <v>833</v>
      </c>
      <c r="AT45" s="761">
        <v>1</v>
      </c>
      <c r="AU45" s="640">
        <v>1</v>
      </c>
      <c r="AV45" s="488"/>
      <c r="AW45" s="643" t="s">
        <v>856</v>
      </c>
      <c r="AX45" s="643" t="s">
        <v>856</v>
      </c>
      <c r="AY45" s="549"/>
      <c r="AZ45" s="779" t="s">
        <v>889</v>
      </c>
      <c r="BA45" s="621"/>
      <c r="BB45" s="622"/>
      <c r="BC45" s="488"/>
      <c r="BD45" s="613"/>
      <c r="BE45" s="613"/>
      <c r="BF45" s="549"/>
      <c r="BG45" s="616"/>
      <c r="BH45" s="669"/>
      <c r="BI45" s="678"/>
      <c r="BJ45" s="663"/>
      <c r="BK45" s="613"/>
      <c r="BL45" s="613"/>
      <c r="BM45" s="622"/>
      <c r="BN45" s="648"/>
      <c r="BO45" s="673"/>
      <c r="BP45" s="511"/>
      <c r="BQ45" s="488"/>
      <c r="BR45" s="575"/>
      <c r="BS45" s="575"/>
      <c r="BT45" s="549"/>
      <c r="BU45" s="662"/>
      <c r="BV45" s="582"/>
      <c r="BW45" s="715"/>
      <c r="BX45" s="488"/>
      <c r="BY45" s="717"/>
      <c r="BZ45" s="465"/>
      <c r="CA45" s="707"/>
      <c r="CB45" s="495"/>
      <c r="CC45" s="703"/>
      <c r="CD45" s="495"/>
      <c r="CE45" s="511"/>
      <c r="CF45" s="499"/>
      <c r="CG45" s="513"/>
      <c r="CH45" s="471"/>
      <c r="CI45" s="502"/>
      <c r="CJ45" s="477"/>
      <c r="CK45" s="493"/>
      <c r="CL45" s="549"/>
      <c r="CM45" s="816"/>
      <c r="CN45" s="502"/>
    </row>
    <row r="46" spans="1:92" ht="51" customHeight="1" x14ac:dyDescent="0.25">
      <c r="A46" s="561"/>
      <c r="B46" s="445"/>
      <c r="C46" s="558"/>
      <c r="D46" s="548" t="s">
        <v>131</v>
      </c>
      <c r="E46" s="445" t="s">
        <v>132</v>
      </c>
      <c r="F46" s="445" t="s">
        <v>133</v>
      </c>
      <c r="G46" s="445" t="s">
        <v>124</v>
      </c>
      <c r="H46" s="454" t="s">
        <v>1013</v>
      </c>
      <c r="I46" s="445" t="s">
        <v>134</v>
      </c>
      <c r="J46" s="549" t="s">
        <v>126</v>
      </c>
      <c r="K46" s="549" t="s">
        <v>334</v>
      </c>
      <c r="L46" s="549" t="s">
        <v>335</v>
      </c>
      <c r="M46" s="549" t="s">
        <v>37</v>
      </c>
      <c r="N46" s="549" t="s">
        <v>336</v>
      </c>
      <c r="O46" s="549" t="s">
        <v>37</v>
      </c>
      <c r="P46" s="549" t="s">
        <v>337</v>
      </c>
      <c r="Q46" s="582" t="s">
        <v>126</v>
      </c>
      <c r="R46" s="281" t="s">
        <v>41</v>
      </c>
      <c r="S46" s="579"/>
      <c r="T46" s="579"/>
      <c r="U46" s="579"/>
      <c r="V46" s="579"/>
      <c r="W46" s="549" t="s">
        <v>266</v>
      </c>
      <c r="X46" s="583"/>
      <c r="Y46" s="281" t="s">
        <v>41</v>
      </c>
      <c r="Z46" s="283" t="s">
        <v>37</v>
      </c>
      <c r="AA46" s="488">
        <v>0.74860000000000004</v>
      </c>
      <c r="AB46" s="575"/>
      <c r="AC46" s="575"/>
      <c r="AD46" s="549" t="s">
        <v>266</v>
      </c>
      <c r="AE46" s="745"/>
      <c r="AF46" s="621"/>
      <c r="AG46" s="622"/>
      <c r="AH46" s="488">
        <v>0.74860000000000004</v>
      </c>
      <c r="AI46" s="613"/>
      <c r="AJ46" s="613"/>
      <c r="AK46" s="549" t="s">
        <v>266</v>
      </c>
      <c r="AL46" s="616"/>
      <c r="AM46" s="618"/>
      <c r="AN46" s="508"/>
      <c r="AO46" s="488">
        <v>0.74860000000000004</v>
      </c>
      <c r="AP46" s="614"/>
      <c r="AQ46" s="614"/>
      <c r="AR46" s="549" t="s">
        <v>266</v>
      </c>
      <c r="AS46" s="616"/>
      <c r="AT46" s="761"/>
      <c r="AU46" s="640"/>
      <c r="AV46" s="488">
        <v>0.74860000000000004</v>
      </c>
      <c r="AW46" s="643"/>
      <c r="AX46" s="643"/>
      <c r="AY46" s="549" t="s">
        <v>266</v>
      </c>
      <c r="AZ46" s="779"/>
      <c r="BA46" s="621">
        <v>933</v>
      </c>
      <c r="BB46" s="622">
        <v>558</v>
      </c>
      <c r="BC46" s="488">
        <v>0.74860000000000004</v>
      </c>
      <c r="BD46" s="613">
        <v>430000000</v>
      </c>
      <c r="BE46" s="613">
        <v>260170284</v>
      </c>
      <c r="BF46" s="549" t="s">
        <v>266</v>
      </c>
      <c r="BG46" s="616" t="s">
        <v>952</v>
      </c>
      <c r="BH46" s="603" t="s">
        <v>417</v>
      </c>
      <c r="BI46" s="625">
        <v>0.1862</v>
      </c>
      <c r="BJ46" s="663">
        <v>0</v>
      </c>
      <c r="BK46" s="613"/>
      <c r="BL46" s="613"/>
      <c r="BM46" s="622" t="s">
        <v>266</v>
      </c>
      <c r="BN46" s="683" t="s">
        <v>543</v>
      </c>
      <c r="BO46" s="664" t="s">
        <v>417</v>
      </c>
      <c r="BP46" s="675">
        <v>0.1862</v>
      </c>
      <c r="BQ46" s="488">
        <v>0.74860000000000004</v>
      </c>
      <c r="BR46" s="575"/>
      <c r="BS46" s="575">
        <v>21000000</v>
      </c>
      <c r="BT46" s="549" t="s">
        <v>266</v>
      </c>
      <c r="BU46" s="682" t="s">
        <v>620</v>
      </c>
      <c r="BV46" s="494" t="s">
        <v>983</v>
      </c>
      <c r="BW46" s="739">
        <v>131</v>
      </c>
      <c r="BX46" s="488">
        <v>0.74860000000000004</v>
      </c>
      <c r="BY46" s="575">
        <f>49862300+85288200+85288200+10000000</f>
        <v>230438700</v>
      </c>
      <c r="BZ46" s="725">
        <f>85288200+85288200+10000000</f>
        <v>180576400</v>
      </c>
      <c r="CA46" s="706">
        <f>BZ46/BY46</f>
        <v>0.78362011242035301</v>
      </c>
      <c r="CB46" s="494" t="s">
        <v>1013</v>
      </c>
      <c r="CC46" s="795" t="s">
        <v>1059</v>
      </c>
      <c r="CD46" s="494" t="s">
        <v>983</v>
      </c>
      <c r="CE46" s="498">
        <v>131</v>
      </c>
      <c r="CF46" s="499">
        <v>0.74860000000000004</v>
      </c>
      <c r="CG46" s="476">
        <f>49862300+85288200+85288200+10000000+26250000+3000000</f>
        <v>259688700</v>
      </c>
      <c r="CH46" s="500">
        <f>85288200+85288200+10000000+12250000+3000000</f>
        <v>195826400</v>
      </c>
      <c r="CI46" s="501">
        <f>CH46/CG46</f>
        <v>0.7540813289141961</v>
      </c>
      <c r="CJ46" s="454" t="s">
        <v>1013</v>
      </c>
      <c r="CK46" s="457" t="s">
        <v>1121</v>
      </c>
      <c r="CL46" s="549" t="s">
        <v>126</v>
      </c>
      <c r="CM46" s="817">
        <v>0.1862</v>
      </c>
      <c r="CN46" s="501">
        <v>0</v>
      </c>
    </row>
    <row r="47" spans="1:92" ht="92.25" customHeight="1" x14ac:dyDescent="0.25">
      <c r="A47" s="561"/>
      <c r="B47" s="445"/>
      <c r="C47" s="558"/>
      <c r="D47" s="548"/>
      <c r="E47" s="445"/>
      <c r="F47" s="445"/>
      <c r="G47" s="445"/>
      <c r="H47" s="477"/>
      <c r="I47" s="445"/>
      <c r="J47" s="549"/>
      <c r="K47" s="549"/>
      <c r="L47" s="549"/>
      <c r="M47" s="549"/>
      <c r="N47" s="549"/>
      <c r="O47" s="549"/>
      <c r="P47" s="549"/>
      <c r="Q47" s="582"/>
      <c r="R47" s="281" t="s">
        <v>41</v>
      </c>
      <c r="S47" s="579"/>
      <c r="T47" s="579"/>
      <c r="U47" s="579"/>
      <c r="V47" s="579"/>
      <c r="W47" s="549"/>
      <c r="X47" s="583"/>
      <c r="Y47" s="281" t="s">
        <v>41</v>
      </c>
      <c r="Z47" s="283" t="s">
        <v>37</v>
      </c>
      <c r="AA47" s="488"/>
      <c r="AB47" s="575"/>
      <c r="AC47" s="575"/>
      <c r="AD47" s="549"/>
      <c r="AE47" s="745"/>
      <c r="AF47" s="286">
        <v>1</v>
      </c>
      <c r="AG47" s="278">
        <v>1</v>
      </c>
      <c r="AH47" s="488"/>
      <c r="AI47" s="294" t="s">
        <v>709</v>
      </c>
      <c r="AJ47" s="294" t="s">
        <v>710</v>
      </c>
      <c r="AK47" s="549"/>
      <c r="AL47" s="290" t="s">
        <v>754</v>
      </c>
      <c r="AM47" s="288">
        <v>1</v>
      </c>
      <c r="AN47" s="289">
        <v>1</v>
      </c>
      <c r="AO47" s="488"/>
      <c r="AP47" s="122" t="s">
        <v>795</v>
      </c>
      <c r="AQ47" s="123">
        <v>43190000</v>
      </c>
      <c r="AR47" s="549"/>
      <c r="AS47" s="180" t="s">
        <v>830</v>
      </c>
      <c r="AT47" s="291">
        <v>1</v>
      </c>
      <c r="AU47" s="292">
        <v>1</v>
      </c>
      <c r="AV47" s="488"/>
      <c r="AW47" s="330" t="s">
        <v>856</v>
      </c>
      <c r="AX47" s="330" t="s">
        <v>856</v>
      </c>
      <c r="AY47" s="549"/>
      <c r="AZ47" s="197" t="s">
        <v>890</v>
      </c>
      <c r="BA47" s="621"/>
      <c r="BB47" s="622"/>
      <c r="BC47" s="488"/>
      <c r="BD47" s="613"/>
      <c r="BE47" s="613"/>
      <c r="BF47" s="549"/>
      <c r="BG47" s="616"/>
      <c r="BH47" s="621"/>
      <c r="BI47" s="625"/>
      <c r="BJ47" s="663"/>
      <c r="BK47" s="613"/>
      <c r="BL47" s="613"/>
      <c r="BM47" s="622"/>
      <c r="BN47" s="683"/>
      <c r="BO47" s="665"/>
      <c r="BP47" s="675"/>
      <c r="BQ47" s="488"/>
      <c r="BR47" s="575"/>
      <c r="BS47" s="575"/>
      <c r="BT47" s="549"/>
      <c r="BU47" s="682"/>
      <c r="BV47" s="495"/>
      <c r="BW47" s="739"/>
      <c r="BX47" s="488"/>
      <c r="BY47" s="575"/>
      <c r="BZ47" s="725"/>
      <c r="CA47" s="707"/>
      <c r="CB47" s="495"/>
      <c r="CC47" s="796"/>
      <c r="CD47" s="495"/>
      <c r="CE47" s="498"/>
      <c r="CF47" s="499"/>
      <c r="CG47" s="476"/>
      <c r="CH47" s="500"/>
      <c r="CI47" s="502"/>
      <c r="CJ47" s="477"/>
      <c r="CK47" s="493"/>
      <c r="CL47" s="549"/>
      <c r="CM47" s="818"/>
      <c r="CN47" s="502"/>
    </row>
    <row r="48" spans="1:92" ht="348.75" customHeight="1" x14ac:dyDescent="0.25">
      <c r="A48" s="561"/>
      <c r="B48" s="445"/>
      <c r="C48" s="558"/>
      <c r="D48" s="111" t="s">
        <v>135</v>
      </c>
      <c r="E48" s="47" t="s">
        <v>136</v>
      </c>
      <c r="F48" s="47" t="s">
        <v>137</v>
      </c>
      <c r="G48" s="47" t="s">
        <v>124</v>
      </c>
      <c r="H48" s="85" t="s">
        <v>1014</v>
      </c>
      <c r="I48" s="47" t="s">
        <v>138</v>
      </c>
      <c r="J48" s="279" t="s">
        <v>126</v>
      </c>
      <c r="K48" s="279" t="s">
        <v>291</v>
      </c>
      <c r="L48" s="279" t="s">
        <v>328</v>
      </c>
      <c r="M48" s="279" t="s">
        <v>37</v>
      </c>
      <c r="N48" s="279" t="s">
        <v>329</v>
      </c>
      <c r="O48" s="279" t="s">
        <v>37</v>
      </c>
      <c r="P48" s="279" t="s">
        <v>330</v>
      </c>
      <c r="Q48" s="280" t="s">
        <v>126</v>
      </c>
      <c r="R48" s="281" t="s">
        <v>41</v>
      </c>
      <c r="S48" s="579"/>
      <c r="T48" s="579"/>
      <c r="U48" s="579"/>
      <c r="V48" s="579"/>
      <c r="W48" s="279" t="s">
        <v>264</v>
      </c>
      <c r="X48" s="583"/>
      <c r="Y48" s="281" t="s">
        <v>41</v>
      </c>
      <c r="Z48" s="283" t="s">
        <v>37</v>
      </c>
      <c r="AA48" s="256">
        <v>0.71279999999999999</v>
      </c>
      <c r="AB48" s="272"/>
      <c r="AC48" s="272"/>
      <c r="AD48" s="279" t="s">
        <v>264</v>
      </c>
      <c r="AE48" s="745"/>
      <c r="AF48" s="286">
        <v>1</v>
      </c>
      <c r="AG48" s="318" t="s">
        <v>37</v>
      </c>
      <c r="AH48" s="256">
        <v>0.71279999999999999</v>
      </c>
      <c r="AI48" s="613" t="s">
        <v>714</v>
      </c>
      <c r="AJ48" s="613" t="s">
        <v>715</v>
      </c>
      <c r="AK48" s="279" t="s">
        <v>264</v>
      </c>
      <c r="AL48" s="612" t="s">
        <v>755</v>
      </c>
      <c r="AM48" s="288">
        <v>1</v>
      </c>
      <c r="AN48" s="289">
        <v>1</v>
      </c>
      <c r="AO48" s="256">
        <v>0.71279999999999999</v>
      </c>
      <c r="AP48" s="614" t="s">
        <v>797</v>
      </c>
      <c r="AQ48" s="614" t="s">
        <v>798</v>
      </c>
      <c r="AR48" s="279" t="s">
        <v>264</v>
      </c>
      <c r="AS48" s="616" t="s">
        <v>834</v>
      </c>
      <c r="AT48" s="291">
        <v>1</v>
      </c>
      <c r="AU48" s="292">
        <v>3</v>
      </c>
      <c r="AV48" s="256">
        <v>0.71279999999999999</v>
      </c>
      <c r="AW48" s="330" t="s">
        <v>856</v>
      </c>
      <c r="AX48" s="330" t="s">
        <v>856</v>
      </c>
      <c r="AY48" s="279" t="s">
        <v>264</v>
      </c>
      <c r="AZ48" s="362" t="s">
        <v>891</v>
      </c>
      <c r="BA48" s="286">
        <v>12</v>
      </c>
      <c r="BB48" s="278">
        <v>10</v>
      </c>
      <c r="BC48" s="256">
        <v>0.71279999999999999</v>
      </c>
      <c r="BD48" s="294"/>
      <c r="BE48" s="294"/>
      <c r="BF48" s="279" t="s">
        <v>264</v>
      </c>
      <c r="BG48" s="354" t="s">
        <v>951</v>
      </c>
      <c r="BH48" s="400" t="s">
        <v>416</v>
      </c>
      <c r="BI48" s="376">
        <v>8.1500000000000003E-2</v>
      </c>
      <c r="BJ48" s="14">
        <v>0</v>
      </c>
      <c r="BK48" s="294"/>
      <c r="BL48" s="294"/>
      <c r="BM48" s="278" t="s">
        <v>264</v>
      </c>
      <c r="BN48" s="313" t="s">
        <v>544</v>
      </c>
      <c r="BO48" s="138" t="s">
        <v>416</v>
      </c>
      <c r="BP48" s="183">
        <v>8.1500000000000003E-2</v>
      </c>
      <c r="BQ48" s="256">
        <v>0.71279999999999999</v>
      </c>
      <c r="BR48" s="272">
        <v>23080000</v>
      </c>
      <c r="BS48" s="272"/>
      <c r="BT48" s="279" t="s">
        <v>264</v>
      </c>
      <c r="BU48" s="316" t="s">
        <v>621</v>
      </c>
      <c r="BV48" s="278" t="s">
        <v>983</v>
      </c>
      <c r="BW48" s="244">
        <v>7.2</v>
      </c>
      <c r="BX48" s="256">
        <v>0.71279999999999999</v>
      </c>
      <c r="BY48" s="274">
        <v>8655000</v>
      </c>
      <c r="BZ48" s="274">
        <v>8655000</v>
      </c>
      <c r="CA48" s="267">
        <f>BZ48/BY48</f>
        <v>1</v>
      </c>
      <c r="CB48" s="278" t="s">
        <v>1014</v>
      </c>
      <c r="CC48" s="317" t="s">
        <v>1060</v>
      </c>
      <c r="CD48" s="278">
        <v>7.2</v>
      </c>
      <c r="CE48" s="244">
        <v>7.2</v>
      </c>
      <c r="CF48" s="186">
        <f>CE48/CD48</f>
        <v>1</v>
      </c>
      <c r="CG48" s="241">
        <f>8655000+10200000+13571428+9600000</f>
        <v>42026428</v>
      </c>
      <c r="CH48" s="426">
        <f>8655000+10200000+13571428+9600000</f>
        <v>42026428</v>
      </c>
      <c r="CI48" s="213">
        <f>CH48/CG48</f>
        <v>1</v>
      </c>
      <c r="CJ48" s="85" t="s">
        <v>1014</v>
      </c>
      <c r="CK48" s="437" t="s">
        <v>1148</v>
      </c>
      <c r="CL48" s="279" t="s">
        <v>126</v>
      </c>
      <c r="CM48" s="212">
        <v>7.1999999999999995E-2</v>
      </c>
      <c r="CN48" s="213">
        <v>0</v>
      </c>
    </row>
    <row r="49" spans="1:92" ht="41.25" customHeight="1" x14ac:dyDescent="0.25">
      <c r="A49" s="561"/>
      <c r="B49" s="445"/>
      <c r="C49" s="558"/>
      <c r="D49" s="548" t="s">
        <v>139</v>
      </c>
      <c r="E49" s="445" t="s">
        <v>140</v>
      </c>
      <c r="F49" s="47" t="s">
        <v>443</v>
      </c>
      <c r="G49" s="47" t="s">
        <v>141</v>
      </c>
      <c r="H49" s="85" t="s">
        <v>1015</v>
      </c>
      <c r="I49" s="47" t="s">
        <v>37</v>
      </c>
      <c r="J49" s="305">
        <v>1</v>
      </c>
      <c r="K49" s="549" t="s">
        <v>291</v>
      </c>
      <c r="L49" s="549" t="s">
        <v>338</v>
      </c>
      <c r="M49" s="549" t="s">
        <v>37</v>
      </c>
      <c r="N49" s="549" t="s">
        <v>339</v>
      </c>
      <c r="O49" s="549" t="s">
        <v>37</v>
      </c>
      <c r="P49" s="549" t="s">
        <v>390</v>
      </c>
      <c r="Q49" s="306">
        <v>1</v>
      </c>
      <c r="R49" s="281" t="s">
        <v>41</v>
      </c>
      <c r="S49" s="579"/>
      <c r="T49" s="579"/>
      <c r="U49" s="579"/>
      <c r="V49" s="579"/>
      <c r="W49" s="549" t="s">
        <v>267</v>
      </c>
      <c r="X49" s="583"/>
      <c r="Y49" s="281" t="s">
        <v>41</v>
      </c>
      <c r="Z49" s="283">
        <v>2</v>
      </c>
      <c r="AA49" s="256" t="e">
        <f>Z49/Y49</f>
        <v>#VALUE!</v>
      </c>
      <c r="AB49" s="575"/>
      <c r="AC49" s="575"/>
      <c r="AD49" s="549" t="s">
        <v>267</v>
      </c>
      <c r="AE49" s="745"/>
      <c r="AF49" s="343" t="s">
        <v>692</v>
      </c>
      <c r="AG49" s="278">
        <v>441</v>
      </c>
      <c r="AH49" s="256" t="e">
        <f>AG49/AF49</f>
        <v>#VALUE!</v>
      </c>
      <c r="AI49" s="613"/>
      <c r="AJ49" s="613"/>
      <c r="AK49" s="549" t="s">
        <v>267</v>
      </c>
      <c r="AL49" s="612"/>
      <c r="AM49" s="288" t="s">
        <v>692</v>
      </c>
      <c r="AN49" s="289" t="s">
        <v>41</v>
      </c>
      <c r="AO49" s="256" t="e">
        <f>AN49/AM49</f>
        <v>#VALUE!</v>
      </c>
      <c r="AP49" s="614"/>
      <c r="AQ49" s="614"/>
      <c r="AR49" s="549" t="s">
        <v>267</v>
      </c>
      <c r="AS49" s="616"/>
      <c r="AT49" s="291">
        <v>12</v>
      </c>
      <c r="AU49" s="292">
        <v>3</v>
      </c>
      <c r="AV49" s="256">
        <f>AU49/AT49</f>
        <v>0.25</v>
      </c>
      <c r="AW49" s="330" t="s">
        <v>856</v>
      </c>
      <c r="AX49" s="330" t="s">
        <v>856</v>
      </c>
      <c r="AY49" s="549" t="s">
        <v>267</v>
      </c>
      <c r="AZ49" s="362" t="s">
        <v>892</v>
      </c>
      <c r="BA49" s="286">
        <v>1</v>
      </c>
      <c r="BB49" s="401">
        <v>4</v>
      </c>
      <c r="BC49" s="256">
        <f>BB49/BA49</f>
        <v>4</v>
      </c>
      <c r="BD49" s="613"/>
      <c r="BE49" s="613"/>
      <c r="BF49" s="549" t="s">
        <v>267</v>
      </c>
      <c r="BG49" s="402" t="s">
        <v>953</v>
      </c>
      <c r="BH49" s="343">
        <v>0.7</v>
      </c>
      <c r="BI49" s="278">
        <v>0</v>
      </c>
      <c r="BJ49" s="14" t="s">
        <v>545</v>
      </c>
      <c r="BK49" s="613"/>
      <c r="BL49" s="613"/>
      <c r="BM49" s="622" t="s">
        <v>267</v>
      </c>
      <c r="BN49" s="301" t="s">
        <v>546</v>
      </c>
      <c r="BO49" s="403">
        <v>1800</v>
      </c>
      <c r="BP49" s="279">
        <v>1361</v>
      </c>
      <c r="BQ49" s="256">
        <f>BP49/BO49</f>
        <v>0.75611111111111107</v>
      </c>
      <c r="BR49" s="575">
        <v>1000000000</v>
      </c>
      <c r="BS49" s="575" t="s">
        <v>470</v>
      </c>
      <c r="BT49" s="549" t="s">
        <v>267</v>
      </c>
      <c r="BU49" s="336" t="s">
        <v>622</v>
      </c>
      <c r="BV49" s="310">
        <v>1</v>
      </c>
      <c r="BW49" s="305">
        <v>1</v>
      </c>
      <c r="BX49" s="256">
        <f>BW49/BV49</f>
        <v>1</v>
      </c>
      <c r="BY49" s="464">
        <f>6000000+10000000</f>
        <v>16000000</v>
      </c>
      <c r="BZ49" s="464">
        <f>6000000+10000000</f>
        <v>16000000</v>
      </c>
      <c r="CA49" s="706">
        <f>BZ49/BY49</f>
        <v>1</v>
      </c>
      <c r="CB49" s="278" t="s">
        <v>1015</v>
      </c>
      <c r="CC49" s="404" t="s">
        <v>1090</v>
      </c>
      <c r="CD49" s="310">
        <v>1</v>
      </c>
      <c r="CE49" s="61">
        <v>1</v>
      </c>
      <c r="CF49" s="259">
        <f>CE49/CD49</f>
        <v>1</v>
      </c>
      <c r="CG49" s="470">
        <f>6000000+10000000</f>
        <v>16000000</v>
      </c>
      <c r="CH49" s="470">
        <f>6000000+10000000</f>
        <v>16000000</v>
      </c>
      <c r="CI49" s="503">
        <f>CH49/CG49</f>
        <v>1</v>
      </c>
      <c r="CJ49" s="85" t="s">
        <v>1015</v>
      </c>
      <c r="CK49" s="419" t="s">
        <v>1122</v>
      </c>
      <c r="CL49" s="61">
        <v>1</v>
      </c>
      <c r="CM49" s="59">
        <v>1</v>
      </c>
      <c r="CN49" s="221">
        <v>1</v>
      </c>
    </row>
    <row r="50" spans="1:92" ht="104.25" customHeight="1" x14ac:dyDescent="0.25">
      <c r="A50" s="561"/>
      <c r="B50" s="445"/>
      <c r="C50" s="558"/>
      <c r="D50" s="548"/>
      <c r="E50" s="445"/>
      <c r="F50" s="47" t="s">
        <v>142</v>
      </c>
      <c r="G50" s="47" t="s">
        <v>124</v>
      </c>
      <c r="H50" s="85" t="s">
        <v>1012</v>
      </c>
      <c r="I50" s="47" t="s">
        <v>143</v>
      </c>
      <c r="J50" s="279" t="s">
        <v>126</v>
      </c>
      <c r="K50" s="549"/>
      <c r="L50" s="549"/>
      <c r="M50" s="549"/>
      <c r="N50" s="549"/>
      <c r="O50" s="549"/>
      <c r="P50" s="549"/>
      <c r="Q50" s="280" t="s">
        <v>126</v>
      </c>
      <c r="R50" s="281" t="s">
        <v>41</v>
      </c>
      <c r="S50" s="579"/>
      <c r="T50" s="579"/>
      <c r="U50" s="579"/>
      <c r="V50" s="579"/>
      <c r="W50" s="549"/>
      <c r="X50" s="282"/>
      <c r="Y50" s="281" t="s">
        <v>41</v>
      </c>
      <c r="Z50" s="283">
        <v>1</v>
      </c>
      <c r="AA50" s="256">
        <v>1</v>
      </c>
      <c r="AB50" s="575"/>
      <c r="AC50" s="575"/>
      <c r="AD50" s="549"/>
      <c r="AE50" s="405" t="s">
        <v>684</v>
      </c>
      <c r="AF50" s="621">
        <v>4</v>
      </c>
      <c r="AG50" s="625">
        <v>0.04</v>
      </c>
      <c r="AH50" s="256">
        <v>1</v>
      </c>
      <c r="AI50" s="613" t="s">
        <v>716</v>
      </c>
      <c r="AJ50" s="613" t="s">
        <v>717</v>
      </c>
      <c r="AK50" s="549"/>
      <c r="AL50" s="616" t="s">
        <v>756</v>
      </c>
      <c r="AM50" s="618">
        <v>5</v>
      </c>
      <c r="AN50" s="508">
        <v>5</v>
      </c>
      <c r="AO50" s="256">
        <v>1</v>
      </c>
      <c r="AP50" s="614" t="s">
        <v>799</v>
      </c>
      <c r="AQ50" s="614" t="s">
        <v>800</v>
      </c>
      <c r="AR50" s="549"/>
      <c r="AS50" s="616" t="s">
        <v>835</v>
      </c>
      <c r="AT50" s="638">
        <v>6</v>
      </c>
      <c r="AU50" s="640">
        <v>3</v>
      </c>
      <c r="AV50" s="256">
        <v>1</v>
      </c>
      <c r="AW50" s="643" t="s">
        <v>856</v>
      </c>
      <c r="AX50" s="643" t="s">
        <v>856</v>
      </c>
      <c r="AY50" s="549"/>
      <c r="AZ50" s="783" t="s">
        <v>893</v>
      </c>
      <c r="BA50" s="288" t="s">
        <v>692</v>
      </c>
      <c r="BB50" s="278">
        <v>200</v>
      </c>
      <c r="BC50" s="256">
        <v>1</v>
      </c>
      <c r="BD50" s="613"/>
      <c r="BE50" s="613"/>
      <c r="BF50" s="549"/>
      <c r="BG50" s="406" t="s">
        <v>954</v>
      </c>
      <c r="BH50" s="390">
        <v>0.15</v>
      </c>
      <c r="BI50" s="376">
        <v>0.1227</v>
      </c>
      <c r="BJ50" s="14">
        <v>1</v>
      </c>
      <c r="BK50" s="613"/>
      <c r="BL50" s="613"/>
      <c r="BM50" s="622"/>
      <c r="BN50" s="406" t="s">
        <v>547</v>
      </c>
      <c r="BO50" s="269">
        <v>0.15</v>
      </c>
      <c r="BP50" s="183">
        <v>0.1227</v>
      </c>
      <c r="BQ50" s="256">
        <v>1</v>
      </c>
      <c r="BR50" s="575"/>
      <c r="BS50" s="575"/>
      <c r="BT50" s="549"/>
      <c r="BU50" s="407" t="s">
        <v>623</v>
      </c>
      <c r="BV50" s="318">
        <v>0.15</v>
      </c>
      <c r="BW50" s="183">
        <v>0.1227</v>
      </c>
      <c r="BX50" s="256">
        <v>1</v>
      </c>
      <c r="BY50" s="465"/>
      <c r="BZ50" s="465"/>
      <c r="CA50" s="707"/>
      <c r="CB50" s="278" t="s">
        <v>1012</v>
      </c>
      <c r="CC50" s="408" t="s">
        <v>1061</v>
      </c>
      <c r="CD50" s="278" t="s">
        <v>983</v>
      </c>
      <c r="CE50" s="58">
        <v>0.1227</v>
      </c>
      <c r="CF50" s="54">
        <v>1</v>
      </c>
      <c r="CG50" s="471"/>
      <c r="CH50" s="471"/>
      <c r="CI50" s="504"/>
      <c r="CJ50" s="85" t="s">
        <v>1012</v>
      </c>
      <c r="CK50" s="438" t="s">
        <v>1149</v>
      </c>
      <c r="CL50" s="279" t="s">
        <v>1039</v>
      </c>
      <c r="CM50" s="214">
        <v>0.1227</v>
      </c>
      <c r="CN50" s="221">
        <v>1</v>
      </c>
    </row>
    <row r="51" spans="1:92" ht="41.25" customHeight="1" x14ac:dyDescent="0.25">
      <c r="A51" s="561"/>
      <c r="B51" s="445"/>
      <c r="C51" s="558"/>
      <c r="D51" s="548" t="s">
        <v>144</v>
      </c>
      <c r="E51" s="516" t="s">
        <v>145</v>
      </c>
      <c r="F51" s="516" t="s">
        <v>444</v>
      </c>
      <c r="G51" s="516" t="s">
        <v>445</v>
      </c>
      <c r="H51" s="454" t="s">
        <v>1016</v>
      </c>
      <c r="I51" s="516">
        <v>1</v>
      </c>
      <c r="J51" s="549" t="s">
        <v>446</v>
      </c>
      <c r="K51" s="549" t="s">
        <v>291</v>
      </c>
      <c r="L51" s="549" t="s">
        <v>385</v>
      </c>
      <c r="M51" s="549" t="s">
        <v>340</v>
      </c>
      <c r="N51" s="549" t="s">
        <v>447</v>
      </c>
      <c r="O51" s="549" t="s">
        <v>341</v>
      </c>
      <c r="P51" s="549" t="s">
        <v>342</v>
      </c>
      <c r="Q51" s="582" t="s">
        <v>446</v>
      </c>
      <c r="R51" s="281" t="s">
        <v>41</v>
      </c>
      <c r="S51" s="584"/>
      <c r="T51" s="584"/>
      <c r="U51" s="584"/>
      <c r="V51" s="584"/>
      <c r="W51" s="549" t="s">
        <v>268</v>
      </c>
      <c r="X51" s="282"/>
      <c r="Y51" s="281" t="s">
        <v>41</v>
      </c>
      <c r="Z51" s="283" t="s">
        <v>37</v>
      </c>
      <c r="AA51" s="488" t="e">
        <f>Z51/Y51</f>
        <v>#VALUE!</v>
      </c>
      <c r="AB51" s="575"/>
      <c r="AC51" s="575"/>
      <c r="AD51" s="549" t="s">
        <v>268</v>
      </c>
      <c r="AE51" s="285" t="s">
        <v>685</v>
      </c>
      <c r="AF51" s="621"/>
      <c r="AG51" s="625"/>
      <c r="AH51" s="488" t="e">
        <f>AG51/AF51</f>
        <v>#DIV/0!</v>
      </c>
      <c r="AI51" s="613"/>
      <c r="AJ51" s="613"/>
      <c r="AK51" s="549" t="s">
        <v>268</v>
      </c>
      <c r="AL51" s="616"/>
      <c r="AM51" s="618"/>
      <c r="AN51" s="508"/>
      <c r="AO51" s="488" t="e">
        <f>AN51/AM51</f>
        <v>#DIV/0!</v>
      </c>
      <c r="AP51" s="614"/>
      <c r="AQ51" s="614"/>
      <c r="AR51" s="549" t="s">
        <v>268</v>
      </c>
      <c r="AS51" s="616"/>
      <c r="AT51" s="638"/>
      <c r="AU51" s="640"/>
      <c r="AV51" s="488" t="e">
        <f>AU51/AT51</f>
        <v>#DIV/0!</v>
      </c>
      <c r="AW51" s="643"/>
      <c r="AX51" s="643"/>
      <c r="AY51" s="549" t="s">
        <v>268</v>
      </c>
      <c r="AZ51" s="783"/>
      <c r="BA51" s="621">
        <v>1</v>
      </c>
      <c r="BB51" s="622" t="s">
        <v>915</v>
      </c>
      <c r="BC51" s="488" t="e">
        <f>BB51/BA51</f>
        <v>#VALUE!</v>
      </c>
      <c r="BD51" s="613">
        <v>562895700</v>
      </c>
      <c r="BE51" s="613">
        <v>256575255</v>
      </c>
      <c r="BF51" s="549" t="s">
        <v>268</v>
      </c>
      <c r="BG51" s="616" t="s">
        <v>955</v>
      </c>
      <c r="BH51" s="603">
        <v>0.01</v>
      </c>
      <c r="BI51" s="663">
        <v>0</v>
      </c>
      <c r="BJ51" s="663">
        <f>BI51/BH51</f>
        <v>0</v>
      </c>
      <c r="BK51" s="613">
        <v>3000000</v>
      </c>
      <c r="BL51" s="613">
        <v>3000000</v>
      </c>
      <c r="BM51" s="622" t="s">
        <v>268</v>
      </c>
      <c r="BN51" s="677" t="s">
        <v>1041</v>
      </c>
      <c r="BO51" s="681">
        <v>0.01</v>
      </c>
      <c r="BP51" s="488">
        <v>0.01</v>
      </c>
      <c r="BQ51" s="488">
        <f>BP51/BO51</f>
        <v>1</v>
      </c>
      <c r="BR51" s="575">
        <v>3000000</v>
      </c>
      <c r="BS51" s="575">
        <v>3000000</v>
      </c>
      <c r="BT51" s="549" t="s">
        <v>268</v>
      </c>
      <c r="BU51" s="684" t="s">
        <v>624</v>
      </c>
      <c r="BV51" s="486">
        <v>0.01</v>
      </c>
      <c r="BW51" s="488">
        <v>0.01</v>
      </c>
      <c r="BX51" s="488">
        <f>BW51/BV51</f>
        <v>1</v>
      </c>
      <c r="BY51" s="464">
        <f>3800000+5600000</f>
        <v>9400000</v>
      </c>
      <c r="BZ51" s="464">
        <f>3800000+3000000+5600000</f>
        <v>12400000</v>
      </c>
      <c r="CA51" s="706">
        <v>1</v>
      </c>
      <c r="CB51" s="494" t="s">
        <v>1016</v>
      </c>
      <c r="CC51" s="714" t="s">
        <v>1062</v>
      </c>
      <c r="CD51" s="486">
        <v>0.01</v>
      </c>
      <c r="CE51" s="488">
        <v>0.01</v>
      </c>
      <c r="CF51" s="446">
        <f>CE51/CD51</f>
        <v>1</v>
      </c>
      <c r="CG51" s="470">
        <f>3800000+5600000</f>
        <v>9400000</v>
      </c>
      <c r="CH51" s="470">
        <f>3800000+3000000+5600000</f>
        <v>12400000</v>
      </c>
      <c r="CI51" s="440">
        <v>1</v>
      </c>
      <c r="CJ51" s="454" t="s">
        <v>1016</v>
      </c>
      <c r="CK51" s="505" t="s">
        <v>1123</v>
      </c>
      <c r="CL51" s="445" t="s">
        <v>446</v>
      </c>
      <c r="CM51" s="706">
        <v>0.01</v>
      </c>
      <c r="CN51" s="440">
        <v>1</v>
      </c>
    </row>
    <row r="52" spans="1:92" ht="76.5" customHeight="1" x14ac:dyDescent="0.25">
      <c r="A52" s="561"/>
      <c r="B52" s="445"/>
      <c r="C52" s="558"/>
      <c r="D52" s="548"/>
      <c r="E52" s="516"/>
      <c r="F52" s="516"/>
      <c r="G52" s="516"/>
      <c r="H52" s="477"/>
      <c r="I52" s="516"/>
      <c r="J52" s="549"/>
      <c r="K52" s="549"/>
      <c r="L52" s="549"/>
      <c r="M52" s="549"/>
      <c r="N52" s="549"/>
      <c r="O52" s="549"/>
      <c r="P52" s="549"/>
      <c r="Q52" s="582"/>
      <c r="R52" s="281" t="s">
        <v>41</v>
      </c>
      <c r="S52" s="579"/>
      <c r="T52" s="579"/>
      <c r="U52" s="579"/>
      <c r="V52" s="579"/>
      <c r="W52" s="549"/>
      <c r="X52" s="583"/>
      <c r="Y52" s="281" t="s">
        <v>41</v>
      </c>
      <c r="Z52" s="283" t="s">
        <v>37</v>
      </c>
      <c r="AA52" s="488"/>
      <c r="AB52" s="575"/>
      <c r="AC52" s="575"/>
      <c r="AD52" s="549"/>
      <c r="AE52" s="745" t="s">
        <v>686</v>
      </c>
      <c r="AF52" s="603" t="s">
        <v>693</v>
      </c>
      <c r="AG52" s="615" t="s">
        <v>693</v>
      </c>
      <c r="AH52" s="488"/>
      <c r="AI52" s="613" t="s">
        <v>703</v>
      </c>
      <c r="AJ52" s="613" t="s">
        <v>704</v>
      </c>
      <c r="AK52" s="549"/>
      <c r="AL52" s="612" t="s">
        <v>757</v>
      </c>
      <c r="AM52" s="621" t="s">
        <v>693</v>
      </c>
      <c r="AN52" s="622" t="s">
        <v>693</v>
      </c>
      <c r="AO52" s="488"/>
      <c r="AP52" s="613" t="s">
        <v>801</v>
      </c>
      <c r="AQ52" s="753">
        <v>23220000</v>
      </c>
      <c r="AR52" s="549"/>
      <c r="AS52" s="612" t="s">
        <v>836</v>
      </c>
      <c r="AT52" s="638">
        <v>1</v>
      </c>
      <c r="AU52" s="640">
        <v>1</v>
      </c>
      <c r="AV52" s="488"/>
      <c r="AW52" s="643" t="s">
        <v>856</v>
      </c>
      <c r="AX52" s="643" t="s">
        <v>856</v>
      </c>
      <c r="AY52" s="549"/>
      <c r="AZ52" s="784" t="s">
        <v>894</v>
      </c>
      <c r="BA52" s="621"/>
      <c r="BB52" s="622"/>
      <c r="BC52" s="488"/>
      <c r="BD52" s="613"/>
      <c r="BE52" s="613"/>
      <c r="BF52" s="549"/>
      <c r="BG52" s="616"/>
      <c r="BH52" s="621"/>
      <c r="BI52" s="663"/>
      <c r="BJ52" s="663"/>
      <c r="BK52" s="613"/>
      <c r="BL52" s="613"/>
      <c r="BM52" s="622"/>
      <c r="BN52" s="648"/>
      <c r="BO52" s="681"/>
      <c r="BP52" s="488"/>
      <c r="BQ52" s="488"/>
      <c r="BR52" s="575"/>
      <c r="BS52" s="575"/>
      <c r="BT52" s="549"/>
      <c r="BU52" s="662"/>
      <c r="BV52" s="487"/>
      <c r="BW52" s="488"/>
      <c r="BX52" s="488"/>
      <c r="BY52" s="465"/>
      <c r="BZ52" s="465"/>
      <c r="CA52" s="707"/>
      <c r="CB52" s="495"/>
      <c r="CC52" s="703"/>
      <c r="CD52" s="487"/>
      <c r="CE52" s="488"/>
      <c r="CF52" s="446"/>
      <c r="CG52" s="471"/>
      <c r="CH52" s="471"/>
      <c r="CI52" s="453"/>
      <c r="CJ52" s="477"/>
      <c r="CK52" s="493"/>
      <c r="CL52" s="445"/>
      <c r="CM52" s="707"/>
      <c r="CN52" s="453"/>
    </row>
    <row r="53" spans="1:92" ht="60" customHeight="1" x14ac:dyDescent="0.25">
      <c r="A53" s="561"/>
      <c r="B53" s="445"/>
      <c r="C53" s="558"/>
      <c r="D53" s="548" t="s">
        <v>146</v>
      </c>
      <c r="E53" s="445" t="s">
        <v>147</v>
      </c>
      <c r="F53" s="445" t="s">
        <v>148</v>
      </c>
      <c r="G53" s="445" t="s">
        <v>149</v>
      </c>
      <c r="H53" s="454" t="s">
        <v>1017</v>
      </c>
      <c r="I53" s="445" t="s">
        <v>37</v>
      </c>
      <c r="J53" s="559">
        <v>1</v>
      </c>
      <c r="K53" s="549" t="s">
        <v>291</v>
      </c>
      <c r="L53" s="549" t="s">
        <v>328</v>
      </c>
      <c r="M53" s="549">
        <v>1905021</v>
      </c>
      <c r="N53" s="549" t="s">
        <v>343</v>
      </c>
      <c r="O53" s="549">
        <v>190502100</v>
      </c>
      <c r="P53" s="549" t="s">
        <v>344</v>
      </c>
      <c r="Q53" s="581">
        <v>1</v>
      </c>
      <c r="R53" s="281" t="s">
        <v>41</v>
      </c>
      <c r="S53" s="579"/>
      <c r="T53" s="579"/>
      <c r="U53" s="579"/>
      <c r="V53" s="579"/>
      <c r="W53" s="549" t="s">
        <v>260</v>
      </c>
      <c r="X53" s="583"/>
      <c r="Y53" s="281" t="s">
        <v>41</v>
      </c>
      <c r="Z53" s="283" t="s">
        <v>37</v>
      </c>
      <c r="AA53" s="488">
        <v>1</v>
      </c>
      <c r="AB53" s="575"/>
      <c r="AC53" s="575"/>
      <c r="AD53" s="549" t="s">
        <v>260</v>
      </c>
      <c r="AE53" s="745"/>
      <c r="AF53" s="603"/>
      <c r="AG53" s="615"/>
      <c r="AH53" s="488">
        <v>1</v>
      </c>
      <c r="AI53" s="613"/>
      <c r="AJ53" s="613"/>
      <c r="AK53" s="549" t="s">
        <v>260</v>
      </c>
      <c r="AL53" s="612"/>
      <c r="AM53" s="621"/>
      <c r="AN53" s="622"/>
      <c r="AO53" s="488">
        <v>1</v>
      </c>
      <c r="AP53" s="613"/>
      <c r="AQ53" s="622"/>
      <c r="AR53" s="549" t="s">
        <v>260</v>
      </c>
      <c r="AS53" s="612"/>
      <c r="AT53" s="638"/>
      <c r="AU53" s="640"/>
      <c r="AV53" s="488">
        <v>1</v>
      </c>
      <c r="AW53" s="643"/>
      <c r="AX53" s="643"/>
      <c r="AY53" s="549" t="s">
        <v>260</v>
      </c>
      <c r="AZ53" s="784"/>
      <c r="BA53" s="649">
        <v>1</v>
      </c>
      <c r="BB53" s="622">
        <v>1</v>
      </c>
      <c r="BC53" s="488">
        <v>1</v>
      </c>
      <c r="BD53" s="613"/>
      <c r="BE53" s="613"/>
      <c r="BF53" s="549" t="s">
        <v>260</v>
      </c>
      <c r="BG53" s="616" t="s">
        <v>948</v>
      </c>
      <c r="BH53" s="685">
        <v>0.7</v>
      </c>
      <c r="BI53" s="663">
        <v>0</v>
      </c>
      <c r="BJ53" s="663">
        <f>BI53/BH53*1</f>
        <v>0</v>
      </c>
      <c r="BK53" s="613"/>
      <c r="BL53" s="613"/>
      <c r="BM53" s="622" t="s">
        <v>260</v>
      </c>
      <c r="BN53" s="648" t="s">
        <v>548</v>
      </c>
      <c r="BO53" s="686">
        <v>0.8</v>
      </c>
      <c r="BP53" s="488">
        <v>1</v>
      </c>
      <c r="BQ53" s="488">
        <v>1</v>
      </c>
      <c r="BR53" s="575">
        <v>0</v>
      </c>
      <c r="BS53" s="575">
        <v>2285000</v>
      </c>
      <c r="BT53" s="549" t="s">
        <v>260</v>
      </c>
      <c r="BU53" s="662" t="s">
        <v>625</v>
      </c>
      <c r="BV53" s="486">
        <v>0.9</v>
      </c>
      <c r="BW53" s="488">
        <v>1</v>
      </c>
      <c r="BX53" s="488">
        <v>1</v>
      </c>
      <c r="BY53" s="575">
        <v>135994000</v>
      </c>
      <c r="BZ53" s="575">
        <v>117200000</v>
      </c>
      <c r="CA53" s="706">
        <f>BZ53/BY53</f>
        <v>0.86180272659087898</v>
      </c>
      <c r="CB53" s="494" t="s">
        <v>1017</v>
      </c>
      <c r="CC53" s="702" t="s">
        <v>1063</v>
      </c>
      <c r="CD53" s="486">
        <v>1</v>
      </c>
      <c r="CE53" s="488">
        <v>1</v>
      </c>
      <c r="CF53" s="489">
        <v>1</v>
      </c>
      <c r="CG53" s="476">
        <f>135994000+10200000+1500000</f>
        <v>147694000</v>
      </c>
      <c r="CH53" s="476">
        <f>117200000+10200000+1500000</f>
        <v>128900000</v>
      </c>
      <c r="CI53" s="490">
        <f>CH53/CG53</f>
        <v>0.87275041640147877</v>
      </c>
      <c r="CJ53" s="454" t="s">
        <v>1017</v>
      </c>
      <c r="CK53" s="457" t="s">
        <v>1124</v>
      </c>
      <c r="CL53" s="481">
        <v>1</v>
      </c>
      <c r="CM53" s="706">
        <v>1</v>
      </c>
      <c r="CN53" s="446">
        <v>1</v>
      </c>
    </row>
    <row r="54" spans="1:92" ht="144.75" customHeight="1" x14ac:dyDescent="0.25">
      <c r="A54" s="561"/>
      <c r="B54" s="47" t="s">
        <v>98</v>
      </c>
      <c r="C54" s="107" t="s">
        <v>99</v>
      </c>
      <c r="D54" s="548"/>
      <c r="E54" s="445"/>
      <c r="F54" s="445"/>
      <c r="G54" s="445"/>
      <c r="H54" s="477"/>
      <c r="I54" s="445"/>
      <c r="J54" s="559"/>
      <c r="K54" s="549"/>
      <c r="L54" s="549"/>
      <c r="M54" s="549"/>
      <c r="N54" s="549"/>
      <c r="O54" s="549"/>
      <c r="P54" s="549"/>
      <c r="Q54" s="581"/>
      <c r="R54" s="281" t="s">
        <v>41</v>
      </c>
      <c r="S54" s="579"/>
      <c r="T54" s="579"/>
      <c r="U54" s="579"/>
      <c r="V54" s="579"/>
      <c r="W54" s="549"/>
      <c r="X54" s="583"/>
      <c r="Y54" s="281" t="s">
        <v>41</v>
      </c>
      <c r="Z54" s="283" t="s">
        <v>37</v>
      </c>
      <c r="AA54" s="488"/>
      <c r="AB54" s="575"/>
      <c r="AC54" s="575"/>
      <c r="AD54" s="549"/>
      <c r="AE54" s="745"/>
      <c r="AF54" s="286">
        <v>0.2</v>
      </c>
      <c r="AG54" s="278">
        <v>0</v>
      </c>
      <c r="AH54" s="488"/>
      <c r="AI54" s="613" t="s">
        <v>718</v>
      </c>
      <c r="AJ54" s="613" t="s">
        <v>719</v>
      </c>
      <c r="AK54" s="549"/>
      <c r="AL54" s="616" t="s">
        <v>758</v>
      </c>
      <c r="AM54" s="288">
        <v>0.4</v>
      </c>
      <c r="AN54" s="289" t="s">
        <v>41</v>
      </c>
      <c r="AO54" s="488"/>
      <c r="AP54" s="613" t="s">
        <v>802</v>
      </c>
      <c r="AQ54" s="613" t="s">
        <v>803</v>
      </c>
      <c r="AR54" s="549"/>
      <c r="AS54" s="616" t="s">
        <v>837</v>
      </c>
      <c r="AT54" s="291">
        <v>0.6</v>
      </c>
      <c r="AU54" s="292">
        <v>0.15</v>
      </c>
      <c r="AV54" s="488"/>
      <c r="AW54" s="330" t="s">
        <v>856</v>
      </c>
      <c r="AX54" s="330" t="s">
        <v>856</v>
      </c>
      <c r="AY54" s="549"/>
      <c r="AZ54" s="362" t="s">
        <v>895</v>
      </c>
      <c r="BA54" s="649"/>
      <c r="BB54" s="622"/>
      <c r="BC54" s="488"/>
      <c r="BD54" s="613"/>
      <c r="BE54" s="613"/>
      <c r="BF54" s="549"/>
      <c r="BG54" s="616"/>
      <c r="BH54" s="649"/>
      <c r="BI54" s="663"/>
      <c r="BJ54" s="663"/>
      <c r="BK54" s="613"/>
      <c r="BL54" s="613"/>
      <c r="BM54" s="622"/>
      <c r="BN54" s="648"/>
      <c r="BO54" s="687"/>
      <c r="BP54" s="488"/>
      <c r="BQ54" s="488"/>
      <c r="BR54" s="575"/>
      <c r="BS54" s="575"/>
      <c r="BT54" s="549"/>
      <c r="BU54" s="662"/>
      <c r="BV54" s="487"/>
      <c r="BW54" s="488"/>
      <c r="BX54" s="488"/>
      <c r="BY54" s="575"/>
      <c r="BZ54" s="464"/>
      <c r="CA54" s="707"/>
      <c r="CB54" s="495"/>
      <c r="CC54" s="711"/>
      <c r="CD54" s="487"/>
      <c r="CE54" s="488"/>
      <c r="CF54" s="489"/>
      <c r="CG54" s="476"/>
      <c r="CH54" s="470"/>
      <c r="CI54" s="491"/>
      <c r="CJ54" s="477"/>
      <c r="CK54" s="458"/>
      <c r="CL54" s="481"/>
      <c r="CM54" s="707"/>
      <c r="CN54" s="446"/>
    </row>
    <row r="55" spans="1:92" ht="44.25" customHeight="1" x14ac:dyDescent="0.25">
      <c r="A55" s="561"/>
      <c r="B55" s="445" t="s">
        <v>150</v>
      </c>
      <c r="C55" s="558" t="s">
        <v>99</v>
      </c>
      <c r="D55" s="548" t="s">
        <v>151</v>
      </c>
      <c r="E55" s="445" t="s">
        <v>455</v>
      </c>
      <c r="F55" s="47" t="s">
        <v>152</v>
      </c>
      <c r="G55" s="47" t="s">
        <v>153</v>
      </c>
      <c r="H55" s="85" t="s">
        <v>1018</v>
      </c>
      <c r="I55" s="47" t="s">
        <v>154</v>
      </c>
      <c r="J55" s="279" t="s">
        <v>155</v>
      </c>
      <c r="K55" s="549" t="s">
        <v>291</v>
      </c>
      <c r="L55" s="549" t="s">
        <v>328</v>
      </c>
      <c r="M55" s="549">
        <v>1905020</v>
      </c>
      <c r="N55" s="549" t="s">
        <v>345</v>
      </c>
      <c r="O55" s="549">
        <v>190502000</v>
      </c>
      <c r="P55" s="549" t="s">
        <v>346</v>
      </c>
      <c r="Q55" s="280" t="s">
        <v>155</v>
      </c>
      <c r="R55" s="281">
        <v>100</v>
      </c>
      <c r="S55" s="584"/>
      <c r="T55" s="584"/>
      <c r="U55" s="584"/>
      <c r="V55" s="584"/>
      <c r="W55" s="275" t="s">
        <v>282</v>
      </c>
      <c r="X55" s="282" t="s">
        <v>499</v>
      </c>
      <c r="Y55" s="281">
        <v>100</v>
      </c>
      <c r="Z55" s="308">
        <v>0.1</v>
      </c>
      <c r="AA55" s="256">
        <v>0.52939999999999998</v>
      </c>
      <c r="AB55" s="575"/>
      <c r="AC55" s="575"/>
      <c r="AD55" s="275" t="s">
        <v>282</v>
      </c>
      <c r="AE55" s="285" t="s">
        <v>687</v>
      </c>
      <c r="AF55" s="603">
        <v>0.16</v>
      </c>
      <c r="AG55" s="622">
        <v>0</v>
      </c>
      <c r="AH55" s="256">
        <v>0.52939999999999998</v>
      </c>
      <c r="AI55" s="613"/>
      <c r="AJ55" s="613"/>
      <c r="AK55" s="275" t="s">
        <v>282</v>
      </c>
      <c r="AL55" s="616"/>
      <c r="AM55" s="747">
        <v>0.15</v>
      </c>
      <c r="AN55" s="748" t="s">
        <v>41</v>
      </c>
      <c r="AO55" s="256">
        <v>0.52939999999999998</v>
      </c>
      <c r="AP55" s="614"/>
      <c r="AQ55" s="614"/>
      <c r="AR55" s="275" t="s">
        <v>282</v>
      </c>
      <c r="AS55" s="616"/>
      <c r="AT55" s="637">
        <v>0.15</v>
      </c>
      <c r="AU55" s="639">
        <v>0.15</v>
      </c>
      <c r="AV55" s="256">
        <v>0.52939999999999998</v>
      </c>
      <c r="AW55" s="643">
        <v>38000000</v>
      </c>
      <c r="AX55" s="643">
        <v>35720000</v>
      </c>
      <c r="AY55" s="275" t="s">
        <v>282</v>
      </c>
      <c r="AZ55" s="779" t="s">
        <v>896</v>
      </c>
      <c r="BA55" s="409">
        <v>12</v>
      </c>
      <c r="BB55" s="300">
        <v>7</v>
      </c>
      <c r="BC55" s="256">
        <v>0.52939999999999998</v>
      </c>
      <c r="BD55" s="410"/>
      <c r="BE55" s="410"/>
      <c r="BF55" s="275" t="s">
        <v>282</v>
      </c>
      <c r="BG55" s="293" t="s">
        <v>956</v>
      </c>
      <c r="BH55" s="286" t="s">
        <v>419</v>
      </c>
      <c r="BI55" s="351">
        <v>6.8000000000000005E-2</v>
      </c>
      <c r="BJ55" s="14">
        <v>0</v>
      </c>
      <c r="BK55" s="613"/>
      <c r="BL55" s="613"/>
      <c r="BM55" s="300" t="s">
        <v>282</v>
      </c>
      <c r="BN55" s="648" t="s">
        <v>549</v>
      </c>
      <c r="BO55" s="342" t="s">
        <v>419</v>
      </c>
      <c r="BP55" s="352">
        <v>6.8000000000000005E-2</v>
      </c>
      <c r="BQ55" s="256">
        <v>0.52939999999999998</v>
      </c>
      <c r="BR55" s="575">
        <v>13200000</v>
      </c>
      <c r="BS55" s="575">
        <v>3300000</v>
      </c>
      <c r="BT55" s="275" t="s">
        <v>282</v>
      </c>
      <c r="BU55" s="662" t="s">
        <v>626</v>
      </c>
      <c r="BV55" s="278" t="s">
        <v>984</v>
      </c>
      <c r="BW55" s="352">
        <v>6.8000000000000005E-2</v>
      </c>
      <c r="BX55" s="256">
        <v>0.52939999999999998</v>
      </c>
      <c r="BY55" s="464">
        <v>2885000</v>
      </c>
      <c r="BZ55" s="464">
        <v>2885000</v>
      </c>
      <c r="CA55" s="792">
        <f>BZ55/BY55</f>
        <v>1</v>
      </c>
      <c r="CB55" s="278" t="s">
        <v>1018</v>
      </c>
      <c r="CC55" s="702" t="s">
        <v>1064</v>
      </c>
      <c r="CD55" s="278" t="s">
        <v>984</v>
      </c>
      <c r="CE55" s="36">
        <v>6.8000000000000005E-2</v>
      </c>
      <c r="CF55" s="40">
        <v>0.52939999999999998</v>
      </c>
      <c r="CG55" s="470">
        <f>2885000+1500000</f>
        <v>4385000</v>
      </c>
      <c r="CH55" s="470">
        <f>2885000+1500000</f>
        <v>4385000</v>
      </c>
      <c r="CI55" s="466">
        <f>CH55/CG55</f>
        <v>1</v>
      </c>
      <c r="CJ55" s="85" t="s">
        <v>1018</v>
      </c>
      <c r="CK55" s="457" t="s">
        <v>1125</v>
      </c>
      <c r="CL55" s="47" t="s">
        <v>155</v>
      </c>
      <c r="CM55" s="36">
        <v>6.8000000000000005E-2</v>
      </c>
      <c r="CN55" s="60">
        <v>0</v>
      </c>
    </row>
    <row r="56" spans="1:92" ht="47.25" customHeight="1" x14ac:dyDescent="0.25">
      <c r="A56" s="561"/>
      <c r="B56" s="445"/>
      <c r="C56" s="558"/>
      <c r="D56" s="548"/>
      <c r="E56" s="445"/>
      <c r="F56" s="445" t="s">
        <v>156</v>
      </c>
      <c r="G56" s="445" t="s">
        <v>153</v>
      </c>
      <c r="H56" s="454" t="s">
        <v>1012</v>
      </c>
      <c r="I56" s="445" t="s">
        <v>157</v>
      </c>
      <c r="J56" s="549" t="s">
        <v>155</v>
      </c>
      <c r="K56" s="549"/>
      <c r="L56" s="549"/>
      <c r="M56" s="549"/>
      <c r="N56" s="549"/>
      <c r="O56" s="549"/>
      <c r="P56" s="549"/>
      <c r="Q56" s="582" t="s">
        <v>155</v>
      </c>
      <c r="R56" s="281" t="s">
        <v>41</v>
      </c>
      <c r="S56" s="579"/>
      <c r="T56" s="579"/>
      <c r="U56" s="579"/>
      <c r="V56" s="579"/>
      <c r="W56" s="549"/>
      <c r="X56" s="583"/>
      <c r="Y56" s="281" t="s">
        <v>41</v>
      </c>
      <c r="Z56" s="283">
        <v>1</v>
      </c>
      <c r="AA56" s="488">
        <v>0.52939999999999998</v>
      </c>
      <c r="AB56" s="575"/>
      <c r="AC56" s="575"/>
      <c r="AD56" s="549"/>
      <c r="AE56" s="745" t="s">
        <v>688</v>
      </c>
      <c r="AF56" s="603"/>
      <c r="AG56" s="622"/>
      <c r="AH56" s="488">
        <v>0.52939999999999998</v>
      </c>
      <c r="AI56" s="613"/>
      <c r="AJ56" s="613"/>
      <c r="AK56" s="549"/>
      <c r="AL56" s="616"/>
      <c r="AM56" s="747"/>
      <c r="AN56" s="748"/>
      <c r="AO56" s="488">
        <v>0.52939999999999998</v>
      </c>
      <c r="AP56" s="614"/>
      <c r="AQ56" s="614"/>
      <c r="AR56" s="549"/>
      <c r="AS56" s="616"/>
      <c r="AT56" s="637"/>
      <c r="AU56" s="639"/>
      <c r="AV56" s="488">
        <v>0.52939999999999998</v>
      </c>
      <c r="AW56" s="643"/>
      <c r="AX56" s="643"/>
      <c r="AY56" s="549"/>
      <c r="AZ56" s="779"/>
      <c r="BA56" s="621"/>
      <c r="BB56" s="622"/>
      <c r="BC56" s="488">
        <v>0.52939999999999998</v>
      </c>
      <c r="BD56" s="613"/>
      <c r="BE56" s="613"/>
      <c r="BF56" s="549"/>
      <c r="BG56" s="616" t="s">
        <v>957</v>
      </c>
      <c r="BH56" s="621" t="s">
        <v>419</v>
      </c>
      <c r="BI56" s="625">
        <v>6.8000000000000005E-2</v>
      </c>
      <c r="BJ56" s="663">
        <v>0</v>
      </c>
      <c r="BK56" s="613"/>
      <c r="BL56" s="613"/>
      <c r="BM56" s="622"/>
      <c r="BN56" s="648"/>
      <c r="BO56" s="665" t="s">
        <v>419</v>
      </c>
      <c r="BP56" s="675">
        <v>6.8000000000000005E-2</v>
      </c>
      <c r="BQ56" s="488">
        <v>0.52939999999999998</v>
      </c>
      <c r="BR56" s="575"/>
      <c r="BS56" s="575"/>
      <c r="BT56" s="549"/>
      <c r="BU56" s="662"/>
      <c r="BV56" s="494" t="s">
        <v>984</v>
      </c>
      <c r="BW56" s="675">
        <v>6.8000000000000005E-2</v>
      </c>
      <c r="BX56" s="488">
        <v>0.52939999999999998</v>
      </c>
      <c r="BY56" s="709"/>
      <c r="BZ56" s="709"/>
      <c r="CA56" s="793"/>
      <c r="CB56" s="494" t="s">
        <v>1012</v>
      </c>
      <c r="CC56" s="711"/>
      <c r="CD56" s="494" t="s">
        <v>984</v>
      </c>
      <c r="CE56" s="496">
        <v>6.8000000000000005E-2</v>
      </c>
      <c r="CF56" s="461">
        <v>0.52939999999999998</v>
      </c>
      <c r="CG56" s="492"/>
      <c r="CH56" s="492"/>
      <c r="CI56" s="482"/>
      <c r="CJ56" s="454" t="s">
        <v>1012</v>
      </c>
      <c r="CK56" s="458"/>
      <c r="CL56" s="445" t="s">
        <v>155</v>
      </c>
      <c r="CM56" s="817">
        <v>6.8000000000000005E-2</v>
      </c>
      <c r="CN56" s="503">
        <v>0</v>
      </c>
    </row>
    <row r="57" spans="1:92" ht="35.25" customHeight="1" x14ac:dyDescent="0.25">
      <c r="A57" s="561"/>
      <c r="B57" s="445"/>
      <c r="C57" s="558"/>
      <c r="D57" s="548"/>
      <c r="E57" s="445"/>
      <c r="F57" s="445"/>
      <c r="G57" s="445"/>
      <c r="H57" s="477"/>
      <c r="I57" s="445"/>
      <c r="J57" s="549"/>
      <c r="K57" s="549"/>
      <c r="L57" s="549"/>
      <c r="M57" s="549"/>
      <c r="N57" s="549"/>
      <c r="O57" s="549"/>
      <c r="P57" s="549"/>
      <c r="Q57" s="582"/>
      <c r="R57" s="281" t="s">
        <v>41</v>
      </c>
      <c r="S57" s="579"/>
      <c r="T57" s="579"/>
      <c r="U57" s="579"/>
      <c r="V57" s="579"/>
      <c r="W57" s="549"/>
      <c r="X57" s="583"/>
      <c r="Y57" s="281" t="s">
        <v>41</v>
      </c>
      <c r="Z57" s="584">
        <v>1</v>
      </c>
      <c r="AA57" s="488"/>
      <c r="AB57" s="575"/>
      <c r="AC57" s="575"/>
      <c r="AD57" s="549"/>
      <c r="AE57" s="745"/>
      <c r="AF57" s="286" t="s">
        <v>693</v>
      </c>
      <c r="AG57" s="278" t="s">
        <v>693</v>
      </c>
      <c r="AH57" s="488"/>
      <c r="AI57" s="294" t="s">
        <v>703</v>
      </c>
      <c r="AJ57" s="294" t="s">
        <v>704</v>
      </c>
      <c r="AK57" s="549"/>
      <c r="AL57" s="290" t="s">
        <v>759</v>
      </c>
      <c r="AM57" s="364" t="s">
        <v>693</v>
      </c>
      <c r="AN57" s="394" t="s">
        <v>693</v>
      </c>
      <c r="AO57" s="488"/>
      <c r="AP57" s="294" t="s">
        <v>801</v>
      </c>
      <c r="AQ57" s="294">
        <v>22400000</v>
      </c>
      <c r="AR57" s="549"/>
      <c r="AS57" s="411" t="s">
        <v>838</v>
      </c>
      <c r="AT57" s="291">
        <v>1</v>
      </c>
      <c r="AU57" s="292">
        <v>1</v>
      </c>
      <c r="AV57" s="488"/>
      <c r="AW57" s="330" t="s">
        <v>856</v>
      </c>
      <c r="AX57" s="330" t="s">
        <v>856</v>
      </c>
      <c r="AY57" s="549"/>
      <c r="AZ57" s="412" t="s">
        <v>897</v>
      </c>
      <c r="BA57" s="621"/>
      <c r="BB57" s="622"/>
      <c r="BC57" s="488"/>
      <c r="BD57" s="613"/>
      <c r="BE57" s="613"/>
      <c r="BF57" s="549"/>
      <c r="BG57" s="616"/>
      <c r="BH57" s="621"/>
      <c r="BI57" s="622"/>
      <c r="BJ57" s="663"/>
      <c r="BK57" s="613"/>
      <c r="BL57" s="613"/>
      <c r="BM57" s="622"/>
      <c r="BN57" s="648"/>
      <c r="BO57" s="665"/>
      <c r="BP57" s="549"/>
      <c r="BQ57" s="488"/>
      <c r="BR57" s="575"/>
      <c r="BS57" s="575"/>
      <c r="BT57" s="549"/>
      <c r="BU57" s="662"/>
      <c r="BV57" s="495"/>
      <c r="BW57" s="549"/>
      <c r="BX57" s="488"/>
      <c r="BY57" s="465"/>
      <c r="BZ57" s="465"/>
      <c r="CA57" s="794"/>
      <c r="CB57" s="495"/>
      <c r="CC57" s="703"/>
      <c r="CD57" s="495"/>
      <c r="CE57" s="445"/>
      <c r="CF57" s="461"/>
      <c r="CG57" s="471"/>
      <c r="CH57" s="471"/>
      <c r="CI57" s="473"/>
      <c r="CJ57" s="477"/>
      <c r="CK57" s="493"/>
      <c r="CL57" s="445"/>
      <c r="CM57" s="804"/>
      <c r="CN57" s="504"/>
    </row>
    <row r="58" spans="1:92" ht="198.75" customHeight="1" x14ac:dyDescent="0.25">
      <c r="A58" s="561"/>
      <c r="B58" s="445"/>
      <c r="C58" s="558"/>
      <c r="D58" s="111" t="s">
        <v>158</v>
      </c>
      <c r="E58" s="47" t="s">
        <v>159</v>
      </c>
      <c r="F58" s="47" t="s">
        <v>160</v>
      </c>
      <c r="G58" s="47" t="s">
        <v>161</v>
      </c>
      <c r="H58" s="85" t="s">
        <v>1019</v>
      </c>
      <c r="I58" s="47" t="s">
        <v>162</v>
      </c>
      <c r="J58" s="279" t="s">
        <v>163</v>
      </c>
      <c r="K58" s="279" t="s">
        <v>291</v>
      </c>
      <c r="L58" s="279" t="s">
        <v>347</v>
      </c>
      <c r="M58" s="279" t="s">
        <v>326</v>
      </c>
      <c r="N58" s="279" t="s">
        <v>388</v>
      </c>
      <c r="O58" s="279" t="s">
        <v>327</v>
      </c>
      <c r="P58" s="279" t="s">
        <v>391</v>
      </c>
      <c r="Q58" s="280" t="s">
        <v>163</v>
      </c>
      <c r="R58" s="281" t="s">
        <v>41</v>
      </c>
      <c r="S58" s="579"/>
      <c r="T58" s="579"/>
      <c r="U58" s="579"/>
      <c r="V58" s="579"/>
      <c r="W58" s="279" t="s">
        <v>275</v>
      </c>
      <c r="X58" s="583"/>
      <c r="Y58" s="281" t="s">
        <v>41</v>
      </c>
      <c r="Z58" s="584"/>
      <c r="AA58" s="256">
        <v>1</v>
      </c>
      <c r="AB58" s="272"/>
      <c r="AC58" s="272"/>
      <c r="AD58" s="279" t="s">
        <v>275</v>
      </c>
      <c r="AE58" s="745"/>
      <c r="AF58" s="343">
        <v>0.9</v>
      </c>
      <c r="AG58" s="318">
        <v>1</v>
      </c>
      <c r="AH58" s="256">
        <v>1</v>
      </c>
      <c r="AI58" s="294" t="s">
        <v>705</v>
      </c>
      <c r="AJ58" s="294" t="s">
        <v>706</v>
      </c>
      <c r="AK58" s="279" t="s">
        <v>275</v>
      </c>
      <c r="AL58" s="287" t="s">
        <v>760</v>
      </c>
      <c r="AM58" s="309">
        <v>0.95</v>
      </c>
      <c r="AN58" s="310">
        <v>0.95</v>
      </c>
      <c r="AO58" s="256">
        <v>1</v>
      </c>
      <c r="AP58" s="124" t="s">
        <v>804</v>
      </c>
      <c r="AQ58" s="124" t="s">
        <v>805</v>
      </c>
      <c r="AR58" s="279" t="s">
        <v>275</v>
      </c>
      <c r="AS58" s="311" t="s">
        <v>839</v>
      </c>
      <c r="AT58" s="413">
        <v>1</v>
      </c>
      <c r="AU58" s="414">
        <v>1</v>
      </c>
      <c r="AV58" s="256">
        <v>1</v>
      </c>
      <c r="AW58" s="330" t="s">
        <v>856</v>
      </c>
      <c r="AX58" s="330" t="s">
        <v>856</v>
      </c>
      <c r="AY58" s="279" t="s">
        <v>275</v>
      </c>
      <c r="AZ58" s="415" t="s">
        <v>1034</v>
      </c>
      <c r="BA58" s="286">
        <v>390</v>
      </c>
      <c r="BB58" s="278">
        <v>556</v>
      </c>
      <c r="BC58" s="256">
        <v>1</v>
      </c>
      <c r="BD58" s="294">
        <v>0</v>
      </c>
      <c r="BE58" s="294">
        <v>0</v>
      </c>
      <c r="BF58" s="279" t="s">
        <v>275</v>
      </c>
      <c r="BG58" s="290" t="s">
        <v>958</v>
      </c>
      <c r="BH58" s="286" t="s">
        <v>420</v>
      </c>
      <c r="BI58" s="187">
        <v>4358</v>
      </c>
      <c r="BJ58" s="14">
        <v>1</v>
      </c>
      <c r="BK58" s="294"/>
      <c r="BL58" s="294"/>
      <c r="BM58" s="278" t="s">
        <v>275</v>
      </c>
      <c r="BN58" s="357" t="s">
        <v>550</v>
      </c>
      <c r="BO58" s="342" t="s">
        <v>420</v>
      </c>
      <c r="BP58" s="188">
        <v>4358</v>
      </c>
      <c r="BQ58" s="256">
        <v>1</v>
      </c>
      <c r="BR58" s="272"/>
      <c r="BS58" s="272"/>
      <c r="BT58" s="279" t="s">
        <v>275</v>
      </c>
      <c r="BU58" s="302" t="s">
        <v>627</v>
      </c>
      <c r="BV58" s="416">
        <v>1150</v>
      </c>
      <c r="BW58" s="188">
        <v>4358</v>
      </c>
      <c r="BX58" s="256">
        <v>0</v>
      </c>
      <c r="BY58" s="274">
        <f>10000000+624000+
11170350+
135994000+
624000</f>
        <v>158412350</v>
      </c>
      <c r="BZ58" s="274">
        <f>10000000+624000+
22340700+
546239083+
624000</f>
        <v>579827783</v>
      </c>
      <c r="CA58" s="268">
        <v>1</v>
      </c>
      <c r="CB58" s="278" t="s">
        <v>1019</v>
      </c>
      <c r="CC58" s="417" t="s">
        <v>1084</v>
      </c>
      <c r="CD58" s="368">
        <v>1100</v>
      </c>
      <c r="CE58" s="188">
        <v>4358</v>
      </c>
      <c r="CF58" s="42">
        <v>0</v>
      </c>
      <c r="CG58" s="274">
        <f>23454000+10000000+624000+1500000+
22340700+
546239083+
624000+9775000</f>
        <v>614556783</v>
      </c>
      <c r="CH58" s="427">
        <f>41044500+10000000+624000+1500000+
11170350+
135994000+
624000+44965000</f>
        <v>245921850</v>
      </c>
      <c r="CI58" s="230">
        <f>CH58/CG58</f>
        <v>0.40016131430445867</v>
      </c>
      <c r="CJ58" s="85" t="s">
        <v>1019</v>
      </c>
      <c r="CK58" s="277" t="s">
        <v>1126</v>
      </c>
      <c r="CL58" s="47" t="s">
        <v>163</v>
      </c>
      <c r="CM58" s="217">
        <v>4358</v>
      </c>
      <c r="CN58" s="230">
        <v>0</v>
      </c>
    </row>
    <row r="59" spans="1:92" ht="205.5" customHeight="1" x14ac:dyDescent="0.25">
      <c r="A59" s="561"/>
      <c r="B59" s="445" t="s">
        <v>164</v>
      </c>
      <c r="C59" s="558" t="s">
        <v>165</v>
      </c>
      <c r="D59" s="111" t="s">
        <v>166</v>
      </c>
      <c r="E59" s="47" t="s">
        <v>167</v>
      </c>
      <c r="F59" s="47" t="s">
        <v>168</v>
      </c>
      <c r="G59" s="47" t="s">
        <v>169</v>
      </c>
      <c r="H59" s="85" t="s">
        <v>1020</v>
      </c>
      <c r="I59" s="47" t="s">
        <v>170</v>
      </c>
      <c r="J59" s="47" t="s">
        <v>171</v>
      </c>
      <c r="K59" s="57" t="s">
        <v>291</v>
      </c>
      <c r="L59" s="57" t="s">
        <v>323</v>
      </c>
      <c r="M59" s="57">
        <v>4301037</v>
      </c>
      <c r="N59" s="57" t="s">
        <v>324</v>
      </c>
      <c r="O59" s="57">
        <v>430103704</v>
      </c>
      <c r="P59" s="57" t="s">
        <v>325</v>
      </c>
      <c r="Q59" s="109" t="s">
        <v>171</v>
      </c>
      <c r="R59" s="92" t="s">
        <v>41</v>
      </c>
      <c r="S59" s="594"/>
      <c r="T59" s="594"/>
      <c r="U59" s="594"/>
      <c r="V59" s="594"/>
      <c r="W59" s="59" t="s">
        <v>262</v>
      </c>
      <c r="X59" s="608"/>
      <c r="Y59" s="92" t="s">
        <v>41</v>
      </c>
      <c r="Z59" s="90">
        <v>0</v>
      </c>
      <c r="AA59" s="54">
        <v>1</v>
      </c>
      <c r="AB59" s="55"/>
      <c r="AC59" s="55"/>
      <c r="AD59" s="59" t="s">
        <v>262</v>
      </c>
      <c r="AE59" s="589" t="s">
        <v>689</v>
      </c>
      <c r="AF59" s="177">
        <v>1</v>
      </c>
      <c r="AG59" s="85">
        <v>1</v>
      </c>
      <c r="AH59" s="54">
        <v>1</v>
      </c>
      <c r="AI59" s="628" t="s">
        <v>720</v>
      </c>
      <c r="AJ59" s="628" t="s">
        <v>721</v>
      </c>
      <c r="AK59" s="59" t="s">
        <v>262</v>
      </c>
      <c r="AL59" s="192" t="s">
        <v>761</v>
      </c>
      <c r="AM59" s="147">
        <v>1</v>
      </c>
      <c r="AN59" s="68">
        <v>1</v>
      </c>
      <c r="AO59" s="54">
        <v>1</v>
      </c>
      <c r="AP59" s="754" t="s">
        <v>806</v>
      </c>
      <c r="AQ59" s="543" t="s">
        <v>807</v>
      </c>
      <c r="AR59" s="59" t="s">
        <v>262</v>
      </c>
      <c r="AS59" s="629" t="s">
        <v>840</v>
      </c>
      <c r="AT59" s="755">
        <v>1</v>
      </c>
      <c r="AU59" s="756">
        <v>1</v>
      </c>
      <c r="AV59" s="54">
        <v>1</v>
      </c>
      <c r="AW59" s="766" t="s">
        <v>856</v>
      </c>
      <c r="AX59" s="768" t="s">
        <v>856</v>
      </c>
      <c r="AY59" s="59" t="s">
        <v>262</v>
      </c>
      <c r="AZ59" s="774" t="s">
        <v>898</v>
      </c>
      <c r="BA59" s="148">
        <v>1</v>
      </c>
      <c r="BB59" s="74">
        <v>1</v>
      </c>
      <c r="BC59" s="54">
        <v>1</v>
      </c>
      <c r="BD59" s="73" t="s">
        <v>928</v>
      </c>
      <c r="BE59" s="73">
        <v>31112000</v>
      </c>
      <c r="BF59" s="59" t="s">
        <v>262</v>
      </c>
      <c r="BG59" s="142" t="s">
        <v>959</v>
      </c>
      <c r="BH59" s="152"/>
      <c r="BI59" s="74">
        <v>1</v>
      </c>
      <c r="BJ59" s="75">
        <v>0</v>
      </c>
      <c r="BK59" s="73" t="s">
        <v>551</v>
      </c>
      <c r="BL59" s="73" t="s">
        <v>552</v>
      </c>
      <c r="BM59" s="78" t="s">
        <v>262</v>
      </c>
      <c r="BN59" s="142" t="s">
        <v>553</v>
      </c>
      <c r="BO59" s="139"/>
      <c r="BP59" s="47">
        <v>666</v>
      </c>
      <c r="BQ59" s="54">
        <v>1</v>
      </c>
      <c r="BR59" s="55">
        <v>42833333</v>
      </c>
      <c r="BS59" s="55" t="s">
        <v>628</v>
      </c>
      <c r="BT59" s="59" t="s">
        <v>262</v>
      </c>
      <c r="BU59" s="137" t="s">
        <v>629</v>
      </c>
      <c r="BV59" s="263">
        <v>90</v>
      </c>
      <c r="BW59" s="47">
        <v>692</v>
      </c>
      <c r="BX59" s="54">
        <v>1</v>
      </c>
      <c r="BY59" s="228">
        <f>20878000000+495000000+177000000</f>
        <v>21550000000</v>
      </c>
      <c r="BZ59" s="228">
        <f>8878000000+177000000+495000000</f>
        <v>9550000000</v>
      </c>
      <c r="CA59" s="207">
        <f>BZ59/BY59</f>
        <v>0.44315545243619492</v>
      </c>
      <c r="CB59" s="85" t="s">
        <v>1020</v>
      </c>
      <c r="CC59" s="253" t="s">
        <v>1065</v>
      </c>
      <c r="CD59" s="234">
        <v>90</v>
      </c>
      <c r="CE59" s="279">
        <f>692+4</f>
        <v>696</v>
      </c>
      <c r="CF59" s="54">
        <v>1</v>
      </c>
      <c r="CG59" s="228">
        <f>20878000000+495000000+177000000+5000000+1020000+5165000</f>
        <v>21561185000</v>
      </c>
      <c r="CH59" s="430">
        <f>8878000000+177000000+495000000+5000000+10200000+5165000</f>
        <v>9570365000</v>
      </c>
      <c r="CI59" s="207">
        <f>CH59/CG59</f>
        <v>0.44387008413498608</v>
      </c>
      <c r="CJ59" s="85" t="s">
        <v>1020</v>
      </c>
      <c r="CK59" s="418" t="s">
        <v>1150</v>
      </c>
      <c r="CL59" s="47">
        <v>90</v>
      </c>
      <c r="CM59" s="215">
        <v>696</v>
      </c>
      <c r="CN59" s="207">
        <v>1</v>
      </c>
    </row>
    <row r="60" spans="1:92" ht="106.5" customHeight="1" x14ac:dyDescent="0.25">
      <c r="A60" s="561"/>
      <c r="B60" s="445"/>
      <c r="C60" s="558"/>
      <c r="D60" s="548" t="s">
        <v>172</v>
      </c>
      <c r="E60" s="445" t="s">
        <v>173</v>
      </c>
      <c r="F60" s="47" t="s">
        <v>174</v>
      </c>
      <c r="G60" s="47" t="s">
        <v>169</v>
      </c>
      <c r="H60" s="85" t="s">
        <v>1020</v>
      </c>
      <c r="I60" s="32" t="s">
        <v>170</v>
      </c>
      <c r="J60" s="47" t="s">
        <v>171</v>
      </c>
      <c r="K60" s="516" t="s">
        <v>291</v>
      </c>
      <c r="L60" s="516" t="s">
        <v>348</v>
      </c>
      <c r="M60" s="445">
        <v>4302075</v>
      </c>
      <c r="N60" s="445" t="s">
        <v>349</v>
      </c>
      <c r="O60" s="445">
        <v>430207500</v>
      </c>
      <c r="P60" s="445" t="s">
        <v>350</v>
      </c>
      <c r="Q60" s="109" t="s">
        <v>171</v>
      </c>
      <c r="R60" s="92">
        <v>0</v>
      </c>
      <c r="S60" s="595"/>
      <c r="T60" s="595"/>
      <c r="U60" s="595"/>
      <c r="V60" s="595"/>
      <c r="W60" s="516" t="s">
        <v>269</v>
      </c>
      <c r="X60" s="608"/>
      <c r="Y60" s="92" t="s">
        <v>41</v>
      </c>
      <c r="Z60" s="91">
        <v>0.1</v>
      </c>
      <c r="AA60" s="42" t="e">
        <f>Z60/Y60</f>
        <v>#VALUE!</v>
      </c>
      <c r="AB60" s="476"/>
      <c r="AC60" s="476"/>
      <c r="AD60" s="516" t="s">
        <v>269</v>
      </c>
      <c r="AE60" s="589"/>
      <c r="AF60" s="177">
        <v>1</v>
      </c>
      <c r="AG60" s="85">
        <v>1</v>
      </c>
      <c r="AH60" s="42">
        <f>AG60/AF60</f>
        <v>1</v>
      </c>
      <c r="AI60" s="628"/>
      <c r="AJ60" s="628"/>
      <c r="AK60" s="516" t="s">
        <v>269</v>
      </c>
      <c r="AL60" s="192" t="s">
        <v>761</v>
      </c>
      <c r="AM60" s="147">
        <v>1</v>
      </c>
      <c r="AN60" s="68">
        <v>1</v>
      </c>
      <c r="AO60" s="42">
        <f>AN60/AM60</f>
        <v>1</v>
      </c>
      <c r="AP60" s="635"/>
      <c r="AQ60" s="635"/>
      <c r="AR60" s="516" t="s">
        <v>269</v>
      </c>
      <c r="AS60" s="629"/>
      <c r="AT60" s="755"/>
      <c r="AU60" s="756"/>
      <c r="AV60" s="42" t="e">
        <f>AU60/AT60</f>
        <v>#DIV/0!</v>
      </c>
      <c r="AW60" s="764"/>
      <c r="AX60" s="767"/>
      <c r="AY60" s="516" t="s">
        <v>269</v>
      </c>
      <c r="AZ60" s="774"/>
      <c r="BA60" s="148">
        <v>20</v>
      </c>
      <c r="BB60" s="74">
        <v>923</v>
      </c>
      <c r="BC60" s="42">
        <f>BB60/BA60</f>
        <v>46.15</v>
      </c>
      <c r="BD60" s="650" t="s">
        <v>928</v>
      </c>
      <c r="BE60" s="82">
        <v>623661206</v>
      </c>
      <c r="BF60" s="516" t="s">
        <v>269</v>
      </c>
      <c r="BG60" s="142" t="s">
        <v>960</v>
      </c>
      <c r="BH60" s="149">
        <v>0.7</v>
      </c>
      <c r="BI60" s="80">
        <f>6/12</f>
        <v>0.5</v>
      </c>
      <c r="BJ60" s="81">
        <f>BI60/BH60</f>
        <v>0.7142857142857143</v>
      </c>
      <c r="BK60" s="650" t="s">
        <v>554</v>
      </c>
      <c r="BL60" s="650" t="s">
        <v>555</v>
      </c>
      <c r="BM60" s="653" t="s">
        <v>269</v>
      </c>
      <c r="BN60" s="142" t="s">
        <v>556</v>
      </c>
      <c r="BO60" s="140">
        <v>80</v>
      </c>
      <c r="BP60" s="41">
        <v>69</v>
      </c>
      <c r="BQ60" s="42">
        <f>BP60/BO60</f>
        <v>0.86250000000000004</v>
      </c>
      <c r="BR60" s="476">
        <v>132200000</v>
      </c>
      <c r="BS60" s="476" t="s">
        <v>630</v>
      </c>
      <c r="BT60" s="516" t="s">
        <v>269</v>
      </c>
      <c r="BU60" s="137" t="s">
        <v>631</v>
      </c>
      <c r="BV60" s="118">
        <v>0.8</v>
      </c>
      <c r="BW60" s="56">
        <v>0.69</v>
      </c>
      <c r="BX60" s="42">
        <f>BW60/BV60</f>
        <v>0.86249999999999993</v>
      </c>
      <c r="BY60" s="470">
        <f>44580000+233685000+
12834828+177000000</f>
        <v>468099828</v>
      </c>
      <c r="BZ60" s="470">
        <f>44580000+233685000+
12834828+
177000000</f>
        <v>468099828</v>
      </c>
      <c r="CA60" s="490">
        <f>BZ60/BY60</f>
        <v>1</v>
      </c>
      <c r="CB60" s="85" t="s">
        <v>1020</v>
      </c>
      <c r="CC60" s="253" t="s">
        <v>1097</v>
      </c>
      <c r="CD60" s="234">
        <v>80</v>
      </c>
      <c r="CE60" s="265">
        <v>115</v>
      </c>
      <c r="CF60" s="42">
        <v>1</v>
      </c>
      <c r="CG60" s="470">
        <f>44580000+233685000+242000000+121000000+
12834828+177000000+(2067255637*0.34)+278428571</f>
        <v>1812395315.5799999</v>
      </c>
      <c r="CH60" s="470">
        <f>44580000+233685000+278428571+278428571+242000000+121000000+
12834828+
177000000+(265643218*0.34)</f>
        <v>1478275664.1199999</v>
      </c>
      <c r="CI60" s="490">
        <f>CH60/CG60</f>
        <v>0.81564747569816154</v>
      </c>
      <c r="CJ60" s="85" t="s">
        <v>1020</v>
      </c>
      <c r="CK60" s="418" t="s">
        <v>1127</v>
      </c>
      <c r="CL60" s="47" t="s">
        <v>171</v>
      </c>
      <c r="CM60" s="41">
        <v>69</v>
      </c>
      <c r="CN60" s="42">
        <v>0.69</v>
      </c>
    </row>
    <row r="61" spans="1:92" ht="48" customHeight="1" x14ac:dyDescent="0.25">
      <c r="A61" s="561"/>
      <c r="B61" s="445"/>
      <c r="C61" s="558"/>
      <c r="D61" s="548"/>
      <c r="E61" s="445"/>
      <c r="F61" s="47" t="s">
        <v>175</v>
      </c>
      <c r="G61" s="47" t="s">
        <v>169</v>
      </c>
      <c r="H61" s="85" t="s">
        <v>1020</v>
      </c>
      <c r="I61" s="32" t="s">
        <v>170</v>
      </c>
      <c r="J61" s="47" t="s">
        <v>171</v>
      </c>
      <c r="K61" s="516"/>
      <c r="L61" s="516"/>
      <c r="M61" s="445"/>
      <c r="N61" s="445"/>
      <c r="O61" s="445"/>
      <c r="P61" s="445"/>
      <c r="Q61" s="109" t="s">
        <v>171</v>
      </c>
      <c r="R61" s="92">
        <v>0</v>
      </c>
      <c r="S61" s="595"/>
      <c r="T61" s="595"/>
      <c r="U61" s="595"/>
      <c r="V61" s="595"/>
      <c r="W61" s="516"/>
      <c r="X61" s="608"/>
      <c r="Y61" s="92" t="s">
        <v>41</v>
      </c>
      <c r="Z61" s="90">
        <v>1</v>
      </c>
      <c r="AA61" s="42" t="e">
        <f>Z61/Y61</f>
        <v>#VALUE!</v>
      </c>
      <c r="AB61" s="476"/>
      <c r="AC61" s="510"/>
      <c r="AD61" s="516"/>
      <c r="AE61" s="589"/>
      <c r="AF61" s="177" t="s">
        <v>693</v>
      </c>
      <c r="AG61" s="85" t="s">
        <v>693</v>
      </c>
      <c r="AH61" s="42" t="e">
        <f>AG61/AF61</f>
        <v>#VALUE!</v>
      </c>
      <c r="AI61" s="628">
        <v>16300000</v>
      </c>
      <c r="AJ61" s="628">
        <v>14433333</v>
      </c>
      <c r="AK61" s="516"/>
      <c r="AL61" s="192" t="s">
        <v>762</v>
      </c>
      <c r="AM61" s="177" t="s">
        <v>693</v>
      </c>
      <c r="AN61" s="85" t="s">
        <v>693</v>
      </c>
      <c r="AO61" s="42" t="e">
        <f>AN61/AM61</f>
        <v>#VALUE!</v>
      </c>
      <c r="AP61" s="754">
        <v>363307447</v>
      </c>
      <c r="AQ61" s="754">
        <v>73250000</v>
      </c>
      <c r="AR61" s="516"/>
      <c r="AS61" s="629" t="s">
        <v>841</v>
      </c>
      <c r="AT61" s="171">
        <v>1</v>
      </c>
      <c r="AU61" s="125">
        <v>1</v>
      </c>
      <c r="AV61" s="42">
        <f>AU61/AT61</f>
        <v>1</v>
      </c>
      <c r="AW61" s="181" t="s">
        <v>856</v>
      </c>
      <c r="AX61" s="181" t="s">
        <v>856</v>
      </c>
      <c r="AY61" s="516"/>
      <c r="AZ61" s="176" t="s">
        <v>899</v>
      </c>
      <c r="BA61" s="148">
        <v>20</v>
      </c>
      <c r="BB61" s="74">
        <f>20+1755</f>
        <v>1775</v>
      </c>
      <c r="BC61" s="42">
        <f>BB61/BA61</f>
        <v>88.75</v>
      </c>
      <c r="BD61" s="650"/>
      <c r="BE61" s="82">
        <v>75485000</v>
      </c>
      <c r="BF61" s="516"/>
      <c r="BG61" s="142" t="s">
        <v>961</v>
      </c>
      <c r="BH61" s="149">
        <v>0.7</v>
      </c>
      <c r="BI61" s="74">
        <v>0</v>
      </c>
      <c r="BJ61" s="81">
        <v>0</v>
      </c>
      <c r="BK61" s="650"/>
      <c r="BL61" s="688"/>
      <c r="BM61" s="653"/>
      <c r="BN61" s="142" t="s">
        <v>557</v>
      </c>
      <c r="BO61" s="140">
        <v>80</v>
      </c>
      <c r="BP61" s="41">
        <v>69</v>
      </c>
      <c r="BQ61" s="42">
        <f>BP61/BO61</f>
        <v>0.86250000000000004</v>
      </c>
      <c r="BR61" s="476"/>
      <c r="BS61" s="510"/>
      <c r="BT61" s="516"/>
      <c r="BU61" s="137" t="s">
        <v>632</v>
      </c>
      <c r="BV61" s="118">
        <v>0.9</v>
      </c>
      <c r="BW61" s="56">
        <v>0.69</v>
      </c>
      <c r="BX61" s="42">
        <f>BW61/BV61</f>
        <v>0.76666666666666661</v>
      </c>
      <c r="BY61" s="471"/>
      <c r="BZ61" s="497"/>
      <c r="CA61" s="491"/>
      <c r="CB61" s="85" t="s">
        <v>1020</v>
      </c>
      <c r="CC61" s="249" t="s">
        <v>1066</v>
      </c>
      <c r="CD61" s="234">
        <v>90</v>
      </c>
      <c r="CE61" s="265">
        <v>20</v>
      </c>
      <c r="CF61" s="42">
        <f>CE61/CD61</f>
        <v>0.22222222222222221</v>
      </c>
      <c r="CG61" s="471"/>
      <c r="CH61" s="497"/>
      <c r="CI61" s="491"/>
      <c r="CJ61" s="85" t="s">
        <v>1020</v>
      </c>
      <c r="CK61" s="419" t="s">
        <v>1128</v>
      </c>
      <c r="CL61" s="47" t="s">
        <v>171</v>
      </c>
      <c r="CM61" s="41">
        <v>69</v>
      </c>
      <c r="CN61" s="40">
        <v>0.69</v>
      </c>
    </row>
    <row r="62" spans="1:92" ht="327.75" customHeight="1" x14ac:dyDescent="0.25">
      <c r="A62" s="561"/>
      <c r="B62" s="445"/>
      <c r="C62" s="558"/>
      <c r="D62" s="548" t="s">
        <v>176</v>
      </c>
      <c r="E62" s="445" t="s">
        <v>177</v>
      </c>
      <c r="F62" s="47" t="s">
        <v>178</v>
      </c>
      <c r="G62" s="47" t="s">
        <v>179</v>
      </c>
      <c r="H62" s="85" t="s">
        <v>1021</v>
      </c>
      <c r="I62" s="279" t="s">
        <v>170</v>
      </c>
      <c r="J62" s="47" t="s">
        <v>180</v>
      </c>
      <c r="K62" s="516" t="s">
        <v>291</v>
      </c>
      <c r="L62" s="516" t="s">
        <v>323</v>
      </c>
      <c r="M62" s="516">
        <v>4301037</v>
      </c>
      <c r="N62" s="516" t="s">
        <v>324</v>
      </c>
      <c r="O62" s="516">
        <v>430103704</v>
      </c>
      <c r="P62" s="516" t="s">
        <v>325</v>
      </c>
      <c r="Q62" s="109" t="s">
        <v>180</v>
      </c>
      <c r="R62" s="92"/>
      <c r="S62" s="596"/>
      <c r="T62" s="596">
        <v>0</v>
      </c>
      <c r="U62" s="596"/>
      <c r="V62" s="596" t="s">
        <v>500</v>
      </c>
      <c r="W62" s="516" t="s">
        <v>270</v>
      </c>
      <c r="X62" s="608" t="s">
        <v>501</v>
      </c>
      <c r="Y62" s="92"/>
      <c r="Z62" s="90">
        <v>5</v>
      </c>
      <c r="AA62" s="40">
        <v>1</v>
      </c>
      <c r="AB62" s="476"/>
      <c r="AC62" s="592"/>
      <c r="AD62" s="516" t="s">
        <v>270</v>
      </c>
      <c r="AE62" s="589" t="s">
        <v>690</v>
      </c>
      <c r="AF62" s="177" t="s">
        <v>693</v>
      </c>
      <c r="AG62" s="85" t="s">
        <v>693</v>
      </c>
      <c r="AH62" s="40">
        <v>1</v>
      </c>
      <c r="AI62" s="628"/>
      <c r="AJ62" s="628"/>
      <c r="AK62" s="516" t="s">
        <v>270</v>
      </c>
      <c r="AL62" s="192" t="s">
        <v>762</v>
      </c>
      <c r="AM62" s="177" t="s">
        <v>693</v>
      </c>
      <c r="AN62" s="85" t="s">
        <v>693</v>
      </c>
      <c r="AO62" s="40">
        <v>1</v>
      </c>
      <c r="AP62" s="543"/>
      <c r="AQ62" s="543"/>
      <c r="AR62" s="516" t="s">
        <v>270</v>
      </c>
      <c r="AS62" s="629"/>
      <c r="AT62" s="171">
        <v>1</v>
      </c>
      <c r="AU62" s="125">
        <v>1</v>
      </c>
      <c r="AV62" s="40">
        <v>1</v>
      </c>
      <c r="AW62" s="181" t="s">
        <v>856</v>
      </c>
      <c r="AX62" s="181" t="s">
        <v>856</v>
      </c>
      <c r="AY62" s="516" t="s">
        <v>270</v>
      </c>
      <c r="AZ62" s="175" t="s">
        <v>900</v>
      </c>
      <c r="BA62" s="148">
        <v>13</v>
      </c>
      <c r="BB62" s="74">
        <v>13</v>
      </c>
      <c r="BC62" s="40">
        <v>1</v>
      </c>
      <c r="BD62" s="650"/>
      <c r="BE62" s="650">
        <v>181115580</v>
      </c>
      <c r="BF62" s="516" t="s">
        <v>270</v>
      </c>
      <c r="BG62" s="142" t="s">
        <v>962</v>
      </c>
      <c r="BH62" s="149">
        <v>0.14000000000000001</v>
      </c>
      <c r="BI62" s="74">
        <v>0</v>
      </c>
      <c r="BJ62" s="77">
        <v>0</v>
      </c>
      <c r="BK62" s="82"/>
      <c r="BL62" s="689"/>
      <c r="BM62" s="653" t="s">
        <v>270</v>
      </c>
      <c r="BN62" s="142" t="s">
        <v>558</v>
      </c>
      <c r="BO62" s="134">
        <v>0.16</v>
      </c>
      <c r="BP62" s="59">
        <v>0.2</v>
      </c>
      <c r="BQ62" s="40">
        <v>1</v>
      </c>
      <c r="BR62" s="476" t="s">
        <v>459</v>
      </c>
      <c r="BS62" s="592" t="s">
        <v>633</v>
      </c>
      <c r="BT62" s="516" t="s">
        <v>270</v>
      </c>
      <c r="BU62" s="142" t="s">
        <v>634</v>
      </c>
      <c r="BV62" s="118">
        <v>0.18</v>
      </c>
      <c r="BW62" s="59" t="s">
        <v>1088</v>
      </c>
      <c r="BX62" s="40">
        <v>1</v>
      </c>
      <c r="BY62" s="470">
        <f>1468000000+5250000+
9500000+260366700+90000000</f>
        <v>1833116700</v>
      </c>
      <c r="BZ62" s="592">
        <f>546239083+5250000+9500000+169238355+90000000</f>
        <v>820227438</v>
      </c>
      <c r="CA62" s="466">
        <f>BZ62/BY62</f>
        <v>0.44744965664215486</v>
      </c>
      <c r="CB62" s="85" t="s">
        <v>1021</v>
      </c>
      <c r="CC62" s="253" t="s">
        <v>1089</v>
      </c>
      <c r="CD62" s="87">
        <v>0.2</v>
      </c>
      <c r="CE62" s="59" t="s">
        <v>1088</v>
      </c>
      <c r="CF62" s="40">
        <v>1</v>
      </c>
      <c r="CG62" s="470">
        <f>1468000000+5250000+278428571+278428571+121000000+
9500000+260366700+90000000+(2067255637*0.34)+37200000</f>
        <v>3251040758.5799999</v>
      </c>
      <c r="CH62" s="472">
        <f>546239083+5250000+9500000+121000000+169238355+90000000+(265643218*0.34)+37200000+278428571</f>
        <v>1347174703.1199999</v>
      </c>
      <c r="CI62" s="466">
        <f>CH62/CG62</f>
        <v>0.41438259411685235</v>
      </c>
      <c r="CJ62" s="85" t="s">
        <v>1021</v>
      </c>
      <c r="CK62" s="418" t="s">
        <v>1129</v>
      </c>
      <c r="CL62" s="57" t="s">
        <v>180</v>
      </c>
      <c r="CM62" s="59" t="s">
        <v>1088</v>
      </c>
      <c r="CN62" s="216">
        <v>1</v>
      </c>
    </row>
    <row r="63" spans="1:92" ht="297.75" customHeight="1" x14ac:dyDescent="0.25">
      <c r="A63" s="561"/>
      <c r="B63" s="445"/>
      <c r="C63" s="558"/>
      <c r="D63" s="548"/>
      <c r="E63" s="445"/>
      <c r="F63" s="47" t="s">
        <v>181</v>
      </c>
      <c r="G63" s="47" t="s">
        <v>179</v>
      </c>
      <c r="H63" s="85" t="s">
        <v>1021</v>
      </c>
      <c r="I63" s="47" t="s">
        <v>182</v>
      </c>
      <c r="J63" s="47" t="s">
        <v>180</v>
      </c>
      <c r="K63" s="516"/>
      <c r="L63" s="516"/>
      <c r="M63" s="516"/>
      <c r="N63" s="516"/>
      <c r="O63" s="516"/>
      <c r="P63" s="516"/>
      <c r="Q63" s="109" t="s">
        <v>180</v>
      </c>
      <c r="R63" s="92"/>
      <c r="S63" s="597"/>
      <c r="T63" s="597"/>
      <c r="U63" s="597"/>
      <c r="V63" s="597"/>
      <c r="W63" s="516"/>
      <c r="X63" s="608"/>
      <c r="Y63" s="92"/>
      <c r="Z63" s="90">
        <v>0</v>
      </c>
      <c r="AA63" s="60">
        <v>0</v>
      </c>
      <c r="AB63" s="476"/>
      <c r="AC63" s="509"/>
      <c r="AD63" s="516"/>
      <c r="AE63" s="589"/>
      <c r="AF63" s="177">
        <v>1</v>
      </c>
      <c r="AG63" s="85">
        <v>1</v>
      </c>
      <c r="AH63" s="60">
        <v>0</v>
      </c>
      <c r="AI63" s="69" t="s">
        <v>722</v>
      </c>
      <c r="AJ63" s="69" t="s">
        <v>722</v>
      </c>
      <c r="AK63" s="516"/>
      <c r="AL63" s="192" t="s">
        <v>763</v>
      </c>
      <c r="AM63" s="147">
        <v>1</v>
      </c>
      <c r="AN63" s="68">
        <v>1</v>
      </c>
      <c r="AO63" s="60">
        <v>0</v>
      </c>
      <c r="AP63" s="69" t="s">
        <v>808</v>
      </c>
      <c r="AQ63" s="69" t="s">
        <v>808</v>
      </c>
      <c r="AR63" s="516"/>
      <c r="AS63" s="163" t="s">
        <v>842</v>
      </c>
      <c r="AT63" s="171">
        <v>1</v>
      </c>
      <c r="AU63" s="125">
        <v>1</v>
      </c>
      <c r="AV63" s="60">
        <v>0</v>
      </c>
      <c r="AW63" s="181" t="s">
        <v>856</v>
      </c>
      <c r="AX63" s="181" t="s">
        <v>856</v>
      </c>
      <c r="AY63" s="516"/>
      <c r="AZ63" s="174" t="s">
        <v>901</v>
      </c>
      <c r="BA63" s="148">
        <v>1</v>
      </c>
      <c r="BB63" s="74">
        <v>1</v>
      </c>
      <c r="BC63" s="60">
        <v>0</v>
      </c>
      <c r="BD63" s="650"/>
      <c r="BE63" s="650"/>
      <c r="BF63" s="516"/>
      <c r="BG63" s="142" t="s">
        <v>963</v>
      </c>
      <c r="BH63" s="149">
        <v>0.14000000000000001</v>
      </c>
      <c r="BI63" s="74">
        <v>0</v>
      </c>
      <c r="BJ63" s="77">
        <v>0</v>
      </c>
      <c r="BK63" s="80"/>
      <c r="BL63" s="689"/>
      <c r="BM63" s="653"/>
      <c r="BN63" s="142" t="s">
        <v>1035</v>
      </c>
      <c r="BO63" s="134">
        <v>0.16</v>
      </c>
      <c r="BP63" s="57">
        <v>0</v>
      </c>
      <c r="BQ63" s="60">
        <v>0</v>
      </c>
      <c r="BR63" s="476"/>
      <c r="BS63" s="509"/>
      <c r="BT63" s="516"/>
      <c r="BU63" s="142" t="s">
        <v>1036</v>
      </c>
      <c r="BV63" s="118">
        <v>0.18</v>
      </c>
      <c r="BW63" s="59">
        <v>0.79</v>
      </c>
      <c r="BX63" s="60">
        <v>1</v>
      </c>
      <c r="BY63" s="471"/>
      <c r="BZ63" s="509"/>
      <c r="CA63" s="473"/>
      <c r="CB63" s="85" t="s">
        <v>1021</v>
      </c>
      <c r="CC63" s="253" t="s">
        <v>1087</v>
      </c>
      <c r="CD63" s="87">
        <v>0.2</v>
      </c>
      <c r="CE63" s="59">
        <v>0.79</v>
      </c>
      <c r="CF63" s="60">
        <v>1</v>
      </c>
      <c r="CG63" s="471"/>
      <c r="CH63" s="472"/>
      <c r="CI63" s="473"/>
      <c r="CJ63" s="85" t="s">
        <v>1021</v>
      </c>
      <c r="CK63" s="418" t="s">
        <v>1130</v>
      </c>
      <c r="CL63" s="47" t="s">
        <v>180</v>
      </c>
      <c r="CM63" s="61">
        <v>0.3</v>
      </c>
      <c r="CN63" s="230">
        <v>1</v>
      </c>
    </row>
    <row r="64" spans="1:92" ht="148.5" customHeight="1" x14ac:dyDescent="0.25">
      <c r="A64" s="561"/>
      <c r="B64" s="445"/>
      <c r="C64" s="558"/>
      <c r="D64" s="111" t="s">
        <v>183</v>
      </c>
      <c r="E64" s="47" t="s">
        <v>184</v>
      </c>
      <c r="F64" s="32" t="s">
        <v>185</v>
      </c>
      <c r="G64" s="47" t="s">
        <v>186</v>
      </c>
      <c r="H64" s="85" t="s">
        <v>1022</v>
      </c>
      <c r="I64" s="32">
        <v>0</v>
      </c>
      <c r="J64" s="47">
        <v>8</v>
      </c>
      <c r="K64" s="57" t="s">
        <v>291</v>
      </c>
      <c r="L64" s="57" t="s">
        <v>323</v>
      </c>
      <c r="M64" s="57">
        <v>4301037</v>
      </c>
      <c r="N64" s="57" t="s">
        <v>324</v>
      </c>
      <c r="O64" s="57">
        <v>430103704</v>
      </c>
      <c r="P64" s="57" t="s">
        <v>325</v>
      </c>
      <c r="Q64" s="109">
        <v>8</v>
      </c>
      <c r="R64" s="92"/>
      <c r="S64" s="597"/>
      <c r="T64" s="597"/>
      <c r="U64" s="597"/>
      <c r="V64" s="597"/>
      <c r="W64" s="57" t="s">
        <v>271</v>
      </c>
      <c r="X64" s="608"/>
      <c r="Y64" s="92"/>
      <c r="Z64" s="90">
        <v>10</v>
      </c>
      <c r="AA64" s="60">
        <v>1</v>
      </c>
      <c r="AB64" s="50"/>
      <c r="AC64" s="65"/>
      <c r="AD64" s="57" t="s">
        <v>271</v>
      </c>
      <c r="AE64" s="589"/>
      <c r="AF64" s="193">
        <v>3</v>
      </c>
      <c r="AG64" s="115">
        <v>0</v>
      </c>
      <c r="AH64" s="60">
        <v>1</v>
      </c>
      <c r="AI64" s="69" t="s">
        <v>723</v>
      </c>
      <c r="AJ64" s="69" t="s">
        <v>724</v>
      </c>
      <c r="AK64" s="57" t="s">
        <v>271</v>
      </c>
      <c r="AL64" s="194" t="s">
        <v>764</v>
      </c>
      <c r="AM64" s="147">
        <v>3</v>
      </c>
      <c r="AN64" s="68">
        <v>3</v>
      </c>
      <c r="AO64" s="60">
        <v>1</v>
      </c>
      <c r="AP64" s="69">
        <v>15000000</v>
      </c>
      <c r="AQ64" s="69">
        <v>10800000</v>
      </c>
      <c r="AR64" s="57" t="s">
        <v>271</v>
      </c>
      <c r="AS64" s="163" t="s">
        <v>843</v>
      </c>
      <c r="AT64" s="171">
        <v>3</v>
      </c>
      <c r="AU64" s="125">
        <v>3</v>
      </c>
      <c r="AV64" s="60">
        <v>1</v>
      </c>
      <c r="AW64" s="181" t="s">
        <v>856</v>
      </c>
      <c r="AX64" s="181" t="s">
        <v>856</v>
      </c>
      <c r="AY64" s="57" t="s">
        <v>271</v>
      </c>
      <c r="AZ64" s="174" t="s">
        <v>902</v>
      </c>
      <c r="BA64" s="148">
        <v>1</v>
      </c>
      <c r="BB64" s="74">
        <v>3</v>
      </c>
      <c r="BC64" s="60">
        <v>1</v>
      </c>
      <c r="BD64" s="73">
        <v>573181075</v>
      </c>
      <c r="BE64" s="73">
        <v>209343900</v>
      </c>
      <c r="BF64" s="57" t="s">
        <v>271</v>
      </c>
      <c r="BG64" s="165" t="s">
        <v>964</v>
      </c>
      <c r="BH64" s="150">
        <v>6</v>
      </c>
      <c r="BI64" s="74">
        <v>3</v>
      </c>
      <c r="BJ64" s="77">
        <v>0.5</v>
      </c>
      <c r="BK64" s="83">
        <v>490000000</v>
      </c>
      <c r="BL64" s="83">
        <v>490000000</v>
      </c>
      <c r="BM64" s="74" t="s">
        <v>271</v>
      </c>
      <c r="BN64" s="142" t="s">
        <v>559</v>
      </c>
      <c r="BO64" s="136">
        <v>6</v>
      </c>
      <c r="BP64" s="57">
        <v>10</v>
      </c>
      <c r="BQ64" s="60">
        <v>1</v>
      </c>
      <c r="BR64" s="50">
        <v>130000000</v>
      </c>
      <c r="BS64" s="43" t="s">
        <v>635</v>
      </c>
      <c r="BT64" s="57" t="s">
        <v>271</v>
      </c>
      <c r="BU64" s="142" t="s">
        <v>636</v>
      </c>
      <c r="BV64" s="234">
        <v>7</v>
      </c>
      <c r="BW64" s="57">
        <v>7</v>
      </c>
      <c r="BX64" s="60">
        <v>1</v>
      </c>
      <c r="BY64" s="50">
        <f>9000000+43275000+
83000</f>
        <v>52358000</v>
      </c>
      <c r="BZ64" s="50">
        <f>9000000+43275000+
83000</f>
        <v>52358000</v>
      </c>
      <c r="CA64" s="60">
        <f>BZ64/BY64</f>
        <v>1</v>
      </c>
      <c r="CB64" s="85" t="s">
        <v>1022</v>
      </c>
      <c r="CC64" s="254" t="s">
        <v>1067</v>
      </c>
      <c r="CD64" s="261">
        <v>8</v>
      </c>
      <c r="CE64" s="57">
        <v>11</v>
      </c>
      <c r="CF64" s="60">
        <v>1</v>
      </c>
      <c r="CG64" s="50">
        <f>9000000+43275000+40000000+
83000+2850000</f>
        <v>95208000</v>
      </c>
      <c r="CH64" s="429">
        <f>9000000+43275000+40000000+2850000
+83000</f>
        <v>95208000</v>
      </c>
      <c r="CI64" s="60">
        <f>CH64/CG64</f>
        <v>1</v>
      </c>
      <c r="CJ64" s="85" t="s">
        <v>1022</v>
      </c>
      <c r="CK64" s="420" t="s">
        <v>1131</v>
      </c>
      <c r="CL64" s="47">
        <v>8</v>
      </c>
      <c r="CM64" s="57">
        <v>11</v>
      </c>
      <c r="CN64" s="60">
        <v>1</v>
      </c>
    </row>
    <row r="65" spans="1:93" ht="147" customHeight="1" x14ac:dyDescent="0.25">
      <c r="A65" s="561"/>
      <c r="B65" s="445"/>
      <c r="C65" s="558"/>
      <c r="D65" s="111" t="s">
        <v>187</v>
      </c>
      <c r="E65" s="47" t="s">
        <v>188</v>
      </c>
      <c r="F65" s="32" t="s">
        <v>448</v>
      </c>
      <c r="G65" s="32" t="s">
        <v>189</v>
      </c>
      <c r="H65" s="68" t="s">
        <v>1023</v>
      </c>
      <c r="I65" s="32" t="s">
        <v>170</v>
      </c>
      <c r="J65" s="47">
        <v>30</v>
      </c>
      <c r="K65" s="57" t="s">
        <v>295</v>
      </c>
      <c r="L65" s="57" t="s">
        <v>351</v>
      </c>
      <c r="M65" s="47">
        <v>3502046</v>
      </c>
      <c r="N65" s="47" t="s">
        <v>352</v>
      </c>
      <c r="O65" s="47">
        <v>350204600</v>
      </c>
      <c r="P65" s="47" t="s">
        <v>353</v>
      </c>
      <c r="Q65" s="109">
        <v>30</v>
      </c>
      <c r="R65" s="92"/>
      <c r="S65" s="597"/>
      <c r="T65" s="597"/>
      <c r="U65" s="597"/>
      <c r="V65" s="597"/>
      <c r="W65" s="57" t="s">
        <v>283</v>
      </c>
      <c r="X65" s="608"/>
      <c r="Y65" s="92">
        <v>1</v>
      </c>
      <c r="Z65" s="90">
        <v>1</v>
      </c>
      <c r="AA65" s="40">
        <f>Z65/Y65</f>
        <v>1</v>
      </c>
      <c r="AB65" s="55"/>
      <c r="AC65" s="55"/>
      <c r="AD65" s="57" t="s">
        <v>283</v>
      </c>
      <c r="AE65" s="589"/>
      <c r="AF65" s="199">
        <v>1</v>
      </c>
      <c r="AG65" s="200">
        <v>1</v>
      </c>
      <c r="AH65" s="40">
        <f>AG65/AF65</f>
        <v>1</v>
      </c>
      <c r="AI65" s="628" t="s">
        <v>725</v>
      </c>
      <c r="AJ65" s="628" t="s">
        <v>726</v>
      </c>
      <c r="AK65" s="57" t="s">
        <v>283</v>
      </c>
      <c r="AL65" s="629" t="s">
        <v>765</v>
      </c>
      <c r="AM65" s="199">
        <v>1</v>
      </c>
      <c r="AN65" s="200">
        <v>1</v>
      </c>
      <c r="AO65" s="40">
        <f>AN65/AM65</f>
        <v>1</v>
      </c>
      <c r="AP65" s="628" t="s">
        <v>809</v>
      </c>
      <c r="AQ65" s="628">
        <v>185210909</v>
      </c>
      <c r="AR65" s="57" t="s">
        <v>283</v>
      </c>
      <c r="AS65" s="629" t="s">
        <v>844</v>
      </c>
      <c r="AT65" s="201">
        <v>1</v>
      </c>
      <c r="AU65" s="202">
        <v>1</v>
      </c>
      <c r="AV65" s="40">
        <f>AU65/AT65</f>
        <v>1</v>
      </c>
      <c r="AW65" s="764" t="s">
        <v>856</v>
      </c>
      <c r="AX65" s="765" t="s">
        <v>856</v>
      </c>
      <c r="AY65" s="57" t="s">
        <v>283</v>
      </c>
      <c r="AZ65" s="773" t="s">
        <v>903</v>
      </c>
      <c r="BA65" s="166">
        <v>3</v>
      </c>
      <c r="BB65" s="129">
        <v>3</v>
      </c>
      <c r="BC65" s="40">
        <f>BB65/BA65</f>
        <v>1</v>
      </c>
      <c r="BD65" s="73">
        <v>119240000</v>
      </c>
      <c r="BE65" s="73">
        <v>95010000</v>
      </c>
      <c r="BF65" s="57" t="s">
        <v>283</v>
      </c>
      <c r="BG65" s="167" t="s">
        <v>965</v>
      </c>
      <c r="BH65" s="150">
        <v>2</v>
      </c>
      <c r="BI65" s="74">
        <v>0</v>
      </c>
      <c r="BJ65" s="84">
        <v>0</v>
      </c>
      <c r="BK65" s="121"/>
      <c r="BL65" s="73"/>
      <c r="BM65" s="74" t="s">
        <v>283</v>
      </c>
      <c r="BN65" s="151" t="s">
        <v>560</v>
      </c>
      <c r="BO65" s="95">
        <v>4</v>
      </c>
      <c r="BP65" s="47">
        <v>1</v>
      </c>
      <c r="BQ65" s="40">
        <f>BP65/BO65</f>
        <v>0.25</v>
      </c>
      <c r="BR65" s="55">
        <v>3000000</v>
      </c>
      <c r="BS65" s="55">
        <v>1000000</v>
      </c>
      <c r="BT65" s="57" t="s">
        <v>283</v>
      </c>
      <c r="BU65" s="141" t="s">
        <v>637</v>
      </c>
      <c r="BV65" s="203">
        <v>4</v>
      </c>
      <c r="BW65" s="47">
        <v>1</v>
      </c>
      <c r="BX65" s="40">
        <f>BW65/BV65</f>
        <v>0.25</v>
      </c>
      <c r="BY65" s="241">
        <v>3000000</v>
      </c>
      <c r="BZ65" s="241">
        <v>3000000</v>
      </c>
      <c r="CA65" s="40">
        <f>BZ65/BY65</f>
        <v>1</v>
      </c>
      <c r="CB65" s="68" t="s">
        <v>1023</v>
      </c>
      <c r="CC65" s="254" t="s">
        <v>1068</v>
      </c>
      <c r="CD65" s="243">
        <v>8</v>
      </c>
      <c r="CE65" s="47">
        <v>2</v>
      </c>
      <c r="CF65" s="40">
        <f>CE65/CD65</f>
        <v>0.25</v>
      </c>
      <c r="CG65" s="241">
        <f>3000000+8000000</f>
        <v>11000000</v>
      </c>
      <c r="CH65" s="426">
        <f>1500000+2000000</f>
        <v>3500000</v>
      </c>
      <c r="CI65" s="40">
        <f>CH65/CG65</f>
        <v>0.31818181818181818</v>
      </c>
      <c r="CJ65" s="68" t="s">
        <v>1023</v>
      </c>
      <c r="CK65" s="420" t="s">
        <v>1132</v>
      </c>
      <c r="CL65" s="47">
        <v>30</v>
      </c>
      <c r="CM65" s="47">
        <v>11</v>
      </c>
      <c r="CN65" s="40">
        <v>0.3</v>
      </c>
    </row>
    <row r="66" spans="1:93" ht="77.25" customHeight="1" x14ac:dyDescent="0.25">
      <c r="A66" s="561"/>
      <c r="B66" s="445" t="s">
        <v>190</v>
      </c>
      <c r="C66" s="558" t="s">
        <v>191</v>
      </c>
      <c r="D66" s="548" t="s">
        <v>192</v>
      </c>
      <c r="E66" s="445" t="s">
        <v>193</v>
      </c>
      <c r="F66" s="445" t="s">
        <v>194</v>
      </c>
      <c r="G66" s="445" t="s">
        <v>195</v>
      </c>
      <c r="H66" s="454" t="s">
        <v>1024</v>
      </c>
      <c r="I66" s="565" t="s">
        <v>170</v>
      </c>
      <c r="J66" s="445" t="s">
        <v>196</v>
      </c>
      <c r="K66" s="516" t="s">
        <v>291</v>
      </c>
      <c r="L66" s="516" t="s">
        <v>354</v>
      </c>
      <c r="M66" s="445">
        <v>3301073</v>
      </c>
      <c r="N66" s="445" t="s">
        <v>355</v>
      </c>
      <c r="O66" s="445">
        <v>330107301</v>
      </c>
      <c r="P66" s="445" t="s">
        <v>356</v>
      </c>
      <c r="Q66" s="593" t="s">
        <v>196</v>
      </c>
      <c r="R66" s="599">
        <v>160</v>
      </c>
      <c r="S66" s="445">
        <v>118</v>
      </c>
      <c r="T66" s="461">
        <f>S66/R66</f>
        <v>0.73750000000000004</v>
      </c>
      <c r="U66" s="476" t="s">
        <v>471</v>
      </c>
      <c r="V66" s="476" t="s">
        <v>472</v>
      </c>
      <c r="W66" s="516" t="s">
        <v>272</v>
      </c>
      <c r="X66" s="587" t="s">
        <v>473</v>
      </c>
      <c r="Y66" s="599">
        <v>160</v>
      </c>
      <c r="Z66" s="445">
        <v>118</v>
      </c>
      <c r="AA66" s="461">
        <f>Z66/Y66</f>
        <v>0.73750000000000004</v>
      </c>
      <c r="AB66" s="476"/>
      <c r="AC66" s="476"/>
      <c r="AD66" s="516" t="s">
        <v>272</v>
      </c>
      <c r="AE66" s="587"/>
      <c r="AF66" s="633">
        <v>1</v>
      </c>
      <c r="AG66" s="454">
        <v>1</v>
      </c>
      <c r="AH66" s="461">
        <f>AF66/AG66</f>
        <v>1</v>
      </c>
      <c r="AI66" s="628"/>
      <c r="AJ66" s="628"/>
      <c r="AK66" s="516" t="s">
        <v>272</v>
      </c>
      <c r="AL66" s="629"/>
      <c r="AM66" s="633">
        <v>1</v>
      </c>
      <c r="AN66" s="454">
        <v>1</v>
      </c>
      <c r="AO66" s="461">
        <f>AM66/AN66</f>
        <v>1</v>
      </c>
      <c r="AP66" s="628"/>
      <c r="AQ66" s="628"/>
      <c r="AR66" s="516" t="s">
        <v>272</v>
      </c>
      <c r="AS66" s="629"/>
      <c r="AT66" s="769">
        <v>1</v>
      </c>
      <c r="AU66" s="771">
        <v>1</v>
      </c>
      <c r="AV66" s="461" t="e">
        <f>#REF!/#REF!</f>
        <v>#REF!</v>
      </c>
      <c r="AW66" s="764"/>
      <c r="AX66" s="765"/>
      <c r="AY66" s="516" t="s">
        <v>272</v>
      </c>
      <c r="AZ66" s="773"/>
      <c r="BA66" s="652">
        <v>21</v>
      </c>
      <c r="BB66" s="653">
        <v>21</v>
      </c>
      <c r="BC66" s="461">
        <f>BB66/BA66</f>
        <v>1</v>
      </c>
      <c r="BD66" s="650">
        <v>1502044165</v>
      </c>
      <c r="BE66" s="650">
        <v>1449671166</v>
      </c>
      <c r="BF66" s="516" t="s">
        <v>272</v>
      </c>
      <c r="BG66" s="786" t="s">
        <v>966</v>
      </c>
      <c r="BH66" s="692">
        <v>140</v>
      </c>
      <c r="BI66" s="653">
        <v>2</v>
      </c>
      <c r="BJ66" s="693">
        <f>(BI66/BH66)*1</f>
        <v>1.4285714285714285E-2</v>
      </c>
      <c r="BK66" s="650">
        <v>14044000</v>
      </c>
      <c r="BL66" s="650">
        <v>14044000</v>
      </c>
      <c r="BM66" s="653" t="s">
        <v>272</v>
      </c>
      <c r="BN66" s="694" t="s">
        <v>561</v>
      </c>
      <c r="BO66" s="599">
        <v>160</v>
      </c>
      <c r="BP66" s="445">
        <v>118</v>
      </c>
      <c r="BQ66" s="461">
        <f>BP66/BO66</f>
        <v>0.73750000000000004</v>
      </c>
      <c r="BR66" s="476" t="s">
        <v>638</v>
      </c>
      <c r="BS66" s="476" t="s">
        <v>472</v>
      </c>
      <c r="BT66" s="516" t="s">
        <v>272</v>
      </c>
      <c r="BU66" s="694" t="s">
        <v>639</v>
      </c>
      <c r="BV66" s="732">
        <v>160</v>
      </c>
      <c r="BW66" s="445">
        <v>118</v>
      </c>
      <c r="BX66" s="461">
        <f>BW66/BV66</f>
        <v>0.73750000000000004</v>
      </c>
      <c r="BY66" s="476">
        <v>40000000</v>
      </c>
      <c r="BZ66" s="476">
        <f>34620000+8655000+8655000</f>
        <v>51930000</v>
      </c>
      <c r="CA66" s="466">
        <v>1</v>
      </c>
      <c r="CB66" s="454" t="s">
        <v>1024</v>
      </c>
      <c r="CC66" s="729" t="s">
        <v>1098</v>
      </c>
      <c r="CD66" s="474">
        <v>200</v>
      </c>
      <c r="CE66" s="445">
        <v>0</v>
      </c>
      <c r="CF66" s="461">
        <f>CE66/CD66</f>
        <v>0</v>
      </c>
      <c r="CG66" s="476">
        <f>40000000+3000000</f>
        <v>43000000</v>
      </c>
      <c r="CH66" s="476">
        <f>34620000+8655000+8655000+3000000</f>
        <v>54930000</v>
      </c>
      <c r="CI66" s="466">
        <v>1</v>
      </c>
      <c r="CJ66" s="454" t="s">
        <v>1024</v>
      </c>
      <c r="CK66" s="457" t="s">
        <v>1133</v>
      </c>
      <c r="CL66" s="445">
        <v>200</v>
      </c>
      <c r="CM66" s="803">
        <v>118</v>
      </c>
      <c r="CN66" s="523">
        <f>CM66/CL66</f>
        <v>0.59</v>
      </c>
    </row>
    <row r="67" spans="1:93" ht="54" customHeight="1" x14ac:dyDescent="0.25">
      <c r="A67" s="561"/>
      <c r="B67" s="445"/>
      <c r="C67" s="558"/>
      <c r="D67" s="548"/>
      <c r="E67" s="445"/>
      <c r="F67" s="445"/>
      <c r="G67" s="445"/>
      <c r="H67" s="477"/>
      <c r="I67" s="565"/>
      <c r="J67" s="445"/>
      <c r="K67" s="516"/>
      <c r="L67" s="516"/>
      <c r="M67" s="445"/>
      <c r="N67" s="445"/>
      <c r="O67" s="445"/>
      <c r="P67" s="445"/>
      <c r="Q67" s="593"/>
      <c r="R67" s="600"/>
      <c r="S67" s="445"/>
      <c r="T67" s="461"/>
      <c r="U67" s="476"/>
      <c r="V67" s="476"/>
      <c r="W67" s="516"/>
      <c r="X67" s="588"/>
      <c r="Y67" s="600"/>
      <c r="Z67" s="445"/>
      <c r="AA67" s="461"/>
      <c r="AB67" s="476"/>
      <c r="AC67" s="476"/>
      <c r="AD67" s="516"/>
      <c r="AE67" s="588"/>
      <c r="AF67" s="634"/>
      <c r="AG67" s="477"/>
      <c r="AH67" s="461"/>
      <c r="AI67" s="628"/>
      <c r="AJ67" s="628"/>
      <c r="AK67" s="516"/>
      <c r="AL67" s="629"/>
      <c r="AM67" s="634"/>
      <c r="AN67" s="477"/>
      <c r="AO67" s="461"/>
      <c r="AP67" s="628"/>
      <c r="AQ67" s="628"/>
      <c r="AR67" s="516"/>
      <c r="AS67" s="629"/>
      <c r="AT67" s="770"/>
      <c r="AU67" s="772"/>
      <c r="AV67" s="461"/>
      <c r="AW67" s="766" t="s">
        <v>856</v>
      </c>
      <c r="AX67" s="766" t="s">
        <v>856</v>
      </c>
      <c r="AY67" s="516"/>
      <c r="AZ67" s="774" t="s">
        <v>904</v>
      </c>
      <c r="BA67" s="652"/>
      <c r="BB67" s="653"/>
      <c r="BC67" s="461"/>
      <c r="BD67" s="650"/>
      <c r="BE67" s="650"/>
      <c r="BF67" s="516"/>
      <c r="BG67" s="786"/>
      <c r="BH67" s="692"/>
      <c r="BI67" s="653"/>
      <c r="BJ67" s="693"/>
      <c r="BK67" s="650"/>
      <c r="BL67" s="650"/>
      <c r="BM67" s="653"/>
      <c r="BN67" s="694"/>
      <c r="BO67" s="600"/>
      <c r="BP67" s="445"/>
      <c r="BQ67" s="461"/>
      <c r="BR67" s="476"/>
      <c r="BS67" s="476"/>
      <c r="BT67" s="516"/>
      <c r="BU67" s="740"/>
      <c r="BV67" s="733"/>
      <c r="BW67" s="445"/>
      <c r="BX67" s="461"/>
      <c r="BY67" s="476"/>
      <c r="BZ67" s="476"/>
      <c r="CA67" s="473"/>
      <c r="CB67" s="477"/>
      <c r="CC67" s="730"/>
      <c r="CD67" s="475"/>
      <c r="CE67" s="445"/>
      <c r="CF67" s="461"/>
      <c r="CG67" s="476"/>
      <c r="CH67" s="476"/>
      <c r="CI67" s="473"/>
      <c r="CJ67" s="477"/>
      <c r="CK67" s="458"/>
      <c r="CL67" s="445"/>
      <c r="CM67" s="804"/>
      <c r="CN67" s="525"/>
    </row>
    <row r="68" spans="1:93" ht="112.5" customHeight="1" x14ac:dyDescent="0.25">
      <c r="A68" s="561"/>
      <c r="B68" s="445"/>
      <c r="C68" s="558"/>
      <c r="D68" s="548" t="s">
        <v>197</v>
      </c>
      <c r="E68" s="445" t="s">
        <v>198</v>
      </c>
      <c r="F68" s="47" t="s">
        <v>199</v>
      </c>
      <c r="G68" s="47" t="s">
        <v>195</v>
      </c>
      <c r="H68" s="85" t="s">
        <v>1024</v>
      </c>
      <c r="I68" s="32" t="s">
        <v>170</v>
      </c>
      <c r="J68" s="47" t="s">
        <v>196</v>
      </c>
      <c r="K68" s="516" t="s">
        <v>291</v>
      </c>
      <c r="L68" s="516" t="s">
        <v>354</v>
      </c>
      <c r="M68" s="445">
        <v>3301052</v>
      </c>
      <c r="N68" s="445" t="s">
        <v>357</v>
      </c>
      <c r="O68" s="445">
        <v>330105203</v>
      </c>
      <c r="P68" s="445" t="s">
        <v>358</v>
      </c>
      <c r="Q68" s="109" t="s">
        <v>196</v>
      </c>
      <c r="R68" s="93">
        <v>160</v>
      </c>
      <c r="S68" s="47">
        <v>92</v>
      </c>
      <c r="T68" s="40">
        <f>S68/R68</f>
        <v>0.57499999999999996</v>
      </c>
      <c r="U68" s="55" t="s">
        <v>474</v>
      </c>
      <c r="V68" s="55" t="s">
        <v>475</v>
      </c>
      <c r="W68" s="516"/>
      <c r="X68" s="587" t="s">
        <v>476</v>
      </c>
      <c r="Y68" s="93">
        <v>160</v>
      </c>
      <c r="Z68" s="47">
        <v>92</v>
      </c>
      <c r="AA68" s="40">
        <f>Z68/Y68</f>
        <v>0.57499999999999996</v>
      </c>
      <c r="AB68" s="55"/>
      <c r="AC68" s="55"/>
      <c r="AD68" s="516"/>
      <c r="AE68" s="588"/>
      <c r="AF68" s="177">
        <v>1</v>
      </c>
      <c r="AG68" s="85">
        <v>1</v>
      </c>
      <c r="AH68" s="40">
        <f>AG68/AF68</f>
        <v>1</v>
      </c>
      <c r="AI68" s="628"/>
      <c r="AJ68" s="628"/>
      <c r="AK68" s="516"/>
      <c r="AL68" s="629"/>
      <c r="AM68" s="177">
        <v>1</v>
      </c>
      <c r="AN68" s="85">
        <v>1</v>
      </c>
      <c r="AO68" s="40">
        <f>AN68/AM68</f>
        <v>1</v>
      </c>
      <c r="AP68" s="628"/>
      <c r="AQ68" s="628"/>
      <c r="AR68" s="516"/>
      <c r="AS68" s="629"/>
      <c r="AT68" s="171">
        <v>1</v>
      </c>
      <c r="AU68" s="125">
        <v>1</v>
      </c>
      <c r="AV68" s="40">
        <f>AU68/AT68</f>
        <v>1</v>
      </c>
      <c r="AW68" s="766"/>
      <c r="AX68" s="766"/>
      <c r="AY68" s="516"/>
      <c r="AZ68" s="774"/>
      <c r="BA68" s="148">
        <v>34</v>
      </c>
      <c r="BB68" s="74">
        <v>55</v>
      </c>
      <c r="BC68" s="40">
        <f>BB68/(2*BA68)</f>
        <v>0.80882352941176472</v>
      </c>
      <c r="BD68" s="650"/>
      <c r="BE68" s="650"/>
      <c r="BF68" s="516"/>
      <c r="BG68" s="786"/>
      <c r="BH68" s="153">
        <v>140</v>
      </c>
      <c r="BI68" s="74">
        <v>54</v>
      </c>
      <c r="BJ68" s="77">
        <f>(BI68/BH68)*1</f>
        <v>0.38571428571428573</v>
      </c>
      <c r="BK68" s="73">
        <v>139800000</v>
      </c>
      <c r="BL68" s="73">
        <v>139700000</v>
      </c>
      <c r="BM68" s="653"/>
      <c r="BN68" s="143" t="s">
        <v>562</v>
      </c>
      <c r="BO68" s="93">
        <v>160</v>
      </c>
      <c r="BP68" s="47">
        <v>92</v>
      </c>
      <c r="BQ68" s="40">
        <f>BP68/BO68</f>
        <v>0.57499999999999996</v>
      </c>
      <c r="BR68" s="55" t="s">
        <v>640</v>
      </c>
      <c r="BS68" s="55" t="s">
        <v>475</v>
      </c>
      <c r="BT68" s="516"/>
      <c r="BU68" s="143" t="s">
        <v>641</v>
      </c>
      <c r="BV68" s="68">
        <v>180</v>
      </c>
      <c r="BW68" s="47">
        <v>92</v>
      </c>
      <c r="BX68" s="40">
        <f>BW68/BV68</f>
        <v>0.51111111111111107</v>
      </c>
      <c r="BY68" s="242">
        <v>918000000</v>
      </c>
      <c r="BZ68" s="55">
        <f>23000000+148497504</f>
        <v>171497504</v>
      </c>
      <c r="CA68" s="216">
        <f>BZ68/BY68</f>
        <v>0.18681645315904138</v>
      </c>
      <c r="CB68" s="85" t="s">
        <v>1024</v>
      </c>
      <c r="CC68" s="250" t="s">
        <v>1099</v>
      </c>
      <c r="CD68" s="368">
        <v>200</v>
      </c>
      <c r="CE68" s="279">
        <v>0</v>
      </c>
      <c r="CF68" s="256">
        <f>CE68/CD68</f>
        <v>0</v>
      </c>
      <c r="CG68" s="421">
        <f>918000000+1516035847</f>
        <v>2434035847</v>
      </c>
      <c r="CH68" s="428">
        <f>23000000+148497504</f>
        <v>171497504</v>
      </c>
      <c r="CI68" s="267">
        <f>CH68/CG68</f>
        <v>7.0458084753096076E-2</v>
      </c>
      <c r="CJ68" s="278" t="s">
        <v>1024</v>
      </c>
      <c r="CK68" s="418" t="s">
        <v>1151</v>
      </c>
      <c r="CL68" s="47">
        <v>200</v>
      </c>
      <c r="CM68" s="215">
        <v>92</v>
      </c>
      <c r="CN68" s="216">
        <f>CM68/CL68</f>
        <v>0.46</v>
      </c>
    </row>
    <row r="69" spans="1:93" ht="65.25" customHeight="1" x14ac:dyDescent="0.25">
      <c r="A69" s="561"/>
      <c r="B69" s="445"/>
      <c r="C69" s="558"/>
      <c r="D69" s="548"/>
      <c r="E69" s="445"/>
      <c r="F69" s="47" t="s">
        <v>200</v>
      </c>
      <c r="G69" s="47" t="s">
        <v>195</v>
      </c>
      <c r="H69" s="85" t="s">
        <v>1024</v>
      </c>
      <c r="I69" s="32" t="s">
        <v>170</v>
      </c>
      <c r="J69" s="47" t="s">
        <v>196</v>
      </c>
      <c r="K69" s="516"/>
      <c r="L69" s="516"/>
      <c r="M69" s="445"/>
      <c r="N69" s="445"/>
      <c r="O69" s="445"/>
      <c r="P69" s="445"/>
      <c r="Q69" s="109" t="s">
        <v>196</v>
      </c>
      <c r="R69" s="94">
        <v>160</v>
      </c>
      <c r="S69" s="53">
        <v>93</v>
      </c>
      <c r="T69" s="40">
        <f>S69/R69</f>
        <v>0.58125000000000004</v>
      </c>
      <c r="U69" s="52"/>
      <c r="V69" s="52"/>
      <c r="W69" s="516"/>
      <c r="X69" s="588"/>
      <c r="Y69" s="94">
        <v>160</v>
      </c>
      <c r="Z69" s="53">
        <v>93</v>
      </c>
      <c r="AA69" s="40">
        <f>Z69/Y69</f>
        <v>0.58125000000000004</v>
      </c>
      <c r="AB69" s="52"/>
      <c r="AC69" s="52"/>
      <c r="AD69" s="516"/>
      <c r="AE69" s="588"/>
      <c r="AF69" s="177">
        <v>3</v>
      </c>
      <c r="AG69" s="85">
        <v>3</v>
      </c>
      <c r="AH69" s="40">
        <f>AG69/AF69</f>
        <v>1</v>
      </c>
      <c r="AI69" s="628"/>
      <c r="AJ69" s="628"/>
      <c r="AK69" s="516"/>
      <c r="AL69" s="192" t="s">
        <v>766</v>
      </c>
      <c r="AM69" s="147">
        <v>3</v>
      </c>
      <c r="AN69" s="68">
        <v>3</v>
      </c>
      <c r="AO69" s="40">
        <f>AN69/AM69</f>
        <v>1</v>
      </c>
      <c r="AP69" s="628"/>
      <c r="AQ69" s="628"/>
      <c r="AR69" s="516"/>
      <c r="AS69" s="629"/>
      <c r="AT69" s="171">
        <v>3</v>
      </c>
      <c r="AU69" s="125">
        <v>3</v>
      </c>
      <c r="AV69" s="40">
        <f>AU69/AT69</f>
        <v>1</v>
      </c>
      <c r="AW69" s="181" t="s">
        <v>856</v>
      </c>
      <c r="AX69" s="181" t="s">
        <v>856</v>
      </c>
      <c r="AY69" s="516"/>
      <c r="AZ69" s="174" t="s">
        <v>905</v>
      </c>
      <c r="BA69" s="148">
        <v>34</v>
      </c>
      <c r="BB69" s="74">
        <v>55</v>
      </c>
      <c r="BC69" s="40">
        <f>BB69/(2*BA69)</f>
        <v>0.80882352941176472</v>
      </c>
      <c r="BD69" s="650"/>
      <c r="BE69" s="650"/>
      <c r="BF69" s="516"/>
      <c r="BG69" s="786"/>
      <c r="BH69" s="149">
        <v>1.4</v>
      </c>
      <c r="BI69" s="79">
        <v>0</v>
      </c>
      <c r="BJ69" s="77">
        <f>(BI69/BH69)*1</f>
        <v>0</v>
      </c>
      <c r="BK69" s="82"/>
      <c r="BL69" s="82"/>
      <c r="BM69" s="653"/>
      <c r="BN69" s="143" t="s">
        <v>563</v>
      </c>
      <c r="BO69" s="94">
        <v>160</v>
      </c>
      <c r="BP69" s="53">
        <v>93</v>
      </c>
      <c r="BQ69" s="40">
        <f>BP69/BO69</f>
        <v>0.58125000000000004</v>
      </c>
      <c r="BR69" s="52"/>
      <c r="BS69" s="52"/>
      <c r="BT69" s="516"/>
      <c r="BU69" s="144" t="s">
        <v>642</v>
      </c>
      <c r="BV69" s="68">
        <v>160</v>
      </c>
      <c r="BW69" s="53">
        <v>93</v>
      </c>
      <c r="BX69" s="40">
        <f>BW69/BV69</f>
        <v>0.58125000000000004</v>
      </c>
      <c r="BY69" s="55">
        <v>918000000</v>
      </c>
      <c r="BZ69" s="55">
        <f>23000000+148497504</f>
        <v>171497504</v>
      </c>
      <c r="CA69" s="216">
        <f>BZ69/BY69</f>
        <v>0.18681645315904138</v>
      </c>
      <c r="CB69" s="85" t="s">
        <v>1024</v>
      </c>
      <c r="CC69" s="76" t="s">
        <v>1069</v>
      </c>
      <c r="CD69" s="368">
        <v>200</v>
      </c>
      <c r="CE69" s="422">
        <v>0</v>
      </c>
      <c r="CF69" s="256">
        <f>CE69/CD69</f>
        <v>0</v>
      </c>
      <c r="CG69" s="272">
        <f>918000000+600000</f>
        <v>918600000</v>
      </c>
      <c r="CH69" s="428">
        <f>23000000+148497504+600000</f>
        <v>172097504</v>
      </c>
      <c r="CI69" s="267">
        <f>CH69/CG69</f>
        <v>0.18734759851948618</v>
      </c>
      <c r="CJ69" s="278" t="s">
        <v>1024</v>
      </c>
      <c r="CK69" s="419" t="s">
        <v>1152</v>
      </c>
      <c r="CL69" s="47">
        <v>200</v>
      </c>
      <c r="CM69" s="53">
        <v>93</v>
      </c>
      <c r="CN69" s="216">
        <f t="shared" ref="CN69" si="10">CM69/CL69</f>
        <v>0.46500000000000002</v>
      </c>
    </row>
    <row r="70" spans="1:93" ht="54" customHeight="1" thickBot="1" x14ac:dyDescent="0.3">
      <c r="A70" s="561"/>
      <c r="B70" s="445"/>
      <c r="C70" s="558"/>
      <c r="D70" s="111" t="s">
        <v>201</v>
      </c>
      <c r="E70" s="47" t="s">
        <v>202</v>
      </c>
      <c r="F70" s="47" t="s">
        <v>449</v>
      </c>
      <c r="G70" s="47" t="s">
        <v>195</v>
      </c>
      <c r="H70" s="225" t="s">
        <v>1024</v>
      </c>
      <c r="I70" s="32">
        <v>6</v>
      </c>
      <c r="J70" s="47">
        <v>60</v>
      </c>
      <c r="K70" s="516"/>
      <c r="L70" s="516"/>
      <c r="M70" s="445"/>
      <c r="N70" s="445"/>
      <c r="O70" s="445"/>
      <c r="P70" s="445"/>
      <c r="Q70" s="109">
        <v>60</v>
      </c>
      <c r="R70" s="95">
        <v>48</v>
      </c>
      <c r="S70" s="47">
        <v>1</v>
      </c>
      <c r="T70" s="40">
        <v>0.5</v>
      </c>
      <c r="U70" s="55" t="s">
        <v>477</v>
      </c>
      <c r="V70" s="55" t="s">
        <v>478</v>
      </c>
      <c r="W70" s="516"/>
      <c r="X70" s="190" t="s">
        <v>488</v>
      </c>
      <c r="Y70" s="95">
        <v>48</v>
      </c>
      <c r="Z70" s="47">
        <v>1</v>
      </c>
      <c r="AA70" s="40">
        <v>0.5</v>
      </c>
      <c r="AB70" s="55"/>
      <c r="AC70" s="55"/>
      <c r="AD70" s="516"/>
      <c r="AE70" s="133"/>
      <c r="AF70" s="626">
        <v>0.8</v>
      </c>
      <c r="AG70" s="627">
        <v>0.8</v>
      </c>
      <c r="AH70" s="40">
        <v>0.5</v>
      </c>
      <c r="AI70" s="628" t="s">
        <v>694</v>
      </c>
      <c r="AJ70" s="628" t="s">
        <v>695</v>
      </c>
      <c r="AK70" s="516"/>
      <c r="AL70" s="629" t="s">
        <v>767</v>
      </c>
      <c r="AM70" s="630">
        <v>0.9</v>
      </c>
      <c r="AN70" s="631">
        <v>1</v>
      </c>
      <c r="AO70" s="40">
        <v>0.5</v>
      </c>
      <c r="AP70" s="632" t="s">
        <v>780</v>
      </c>
      <c r="AQ70" s="632" t="s">
        <v>781</v>
      </c>
      <c r="AR70" s="516"/>
      <c r="AS70" s="757" t="s">
        <v>845</v>
      </c>
      <c r="AT70" s="762">
        <v>1</v>
      </c>
      <c r="AU70" s="763">
        <v>1</v>
      </c>
      <c r="AV70" s="40">
        <v>0.5</v>
      </c>
      <c r="AW70" s="767">
        <v>25000000</v>
      </c>
      <c r="AX70" s="767">
        <v>23933333</v>
      </c>
      <c r="AY70" s="516"/>
      <c r="AZ70" s="775" t="s">
        <v>906</v>
      </c>
      <c r="BA70" s="148">
        <v>30</v>
      </c>
      <c r="BB70" s="74">
        <v>29</v>
      </c>
      <c r="BC70" s="40">
        <v>0.5</v>
      </c>
      <c r="BD70" s="650"/>
      <c r="BE70" s="650"/>
      <c r="BF70" s="516"/>
      <c r="BG70" s="786"/>
      <c r="BH70" s="150">
        <v>42</v>
      </c>
      <c r="BI70" s="74">
        <v>1</v>
      </c>
      <c r="BJ70" s="77">
        <f>(BI70/BH70)*1</f>
        <v>2.3809523809523808E-2</v>
      </c>
      <c r="BK70" s="73">
        <v>12000000</v>
      </c>
      <c r="BL70" s="73">
        <v>12000000</v>
      </c>
      <c r="BM70" s="653"/>
      <c r="BN70" s="143" t="s">
        <v>564</v>
      </c>
      <c r="BO70" s="95">
        <v>48</v>
      </c>
      <c r="BP70" s="47">
        <v>1</v>
      </c>
      <c r="BQ70" s="40">
        <v>0.5</v>
      </c>
      <c r="BR70" s="55" t="s">
        <v>643</v>
      </c>
      <c r="BS70" s="55" t="s">
        <v>478</v>
      </c>
      <c r="BT70" s="516"/>
      <c r="BU70" s="145" t="s">
        <v>644</v>
      </c>
      <c r="BV70" s="68">
        <v>54</v>
      </c>
      <c r="BW70" s="47">
        <v>1</v>
      </c>
      <c r="BX70" s="40">
        <v>1.7999999999999999E-2</v>
      </c>
      <c r="BY70" s="55">
        <f>17100000+11400000+5700000</f>
        <v>34200000</v>
      </c>
      <c r="BZ70" s="55">
        <f>17100000+11400000+5700000</f>
        <v>34200000</v>
      </c>
      <c r="CA70" s="40">
        <f>BZ70/BY70</f>
        <v>1</v>
      </c>
      <c r="CB70" s="225" t="s">
        <v>1024</v>
      </c>
      <c r="CC70" s="251" t="s">
        <v>1070</v>
      </c>
      <c r="CD70" s="289">
        <v>60</v>
      </c>
      <c r="CE70" s="279">
        <v>0</v>
      </c>
      <c r="CF70" s="256">
        <v>1.7999999999999999E-2</v>
      </c>
      <c r="CG70" s="272">
        <f>17100000+11400000+5700000+7000000</f>
        <v>41200000</v>
      </c>
      <c r="CH70" s="428">
        <f>17100000+11400000+5700000+7000000</f>
        <v>41200000</v>
      </c>
      <c r="CI70" s="256">
        <f>CH70/CG70</f>
        <v>1</v>
      </c>
      <c r="CJ70" s="423" t="s">
        <v>1024</v>
      </c>
      <c r="CK70" s="277" t="s">
        <v>1153</v>
      </c>
      <c r="CL70" s="57">
        <v>60</v>
      </c>
      <c r="CM70" s="57">
        <v>34</v>
      </c>
      <c r="CN70" s="216">
        <f>CM70/CL70</f>
        <v>0.56666666666666665</v>
      </c>
    </row>
    <row r="71" spans="1:93" ht="18.75" customHeight="1" x14ac:dyDescent="0.25">
      <c r="A71" s="569" t="s">
        <v>203</v>
      </c>
      <c r="B71" s="551" t="s">
        <v>204</v>
      </c>
      <c r="C71" s="553" t="s">
        <v>205</v>
      </c>
      <c r="D71" s="548" t="s">
        <v>206</v>
      </c>
      <c r="E71" s="445" t="s">
        <v>207</v>
      </c>
      <c r="F71" s="445" t="s">
        <v>208</v>
      </c>
      <c r="G71" s="445" t="s">
        <v>209</v>
      </c>
      <c r="H71" s="483" t="s">
        <v>1025</v>
      </c>
      <c r="I71" s="565">
        <v>0</v>
      </c>
      <c r="J71" s="445">
        <v>100</v>
      </c>
      <c r="K71" s="516" t="s">
        <v>291</v>
      </c>
      <c r="L71" s="516" t="s">
        <v>292</v>
      </c>
      <c r="M71" s="516" t="s">
        <v>293</v>
      </c>
      <c r="N71" s="516" t="s">
        <v>423</v>
      </c>
      <c r="O71" s="516" t="s">
        <v>293</v>
      </c>
      <c r="P71" s="516" t="s">
        <v>400</v>
      </c>
      <c r="Q71" s="606">
        <v>1</v>
      </c>
      <c r="R71" s="598">
        <v>0.5</v>
      </c>
      <c r="S71" s="481">
        <v>0.5</v>
      </c>
      <c r="T71" s="461">
        <v>1</v>
      </c>
      <c r="U71" s="476">
        <v>11540000</v>
      </c>
      <c r="V71" s="476">
        <v>0</v>
      </c>
      <c r="W71" s="445" t="s">
        <v>255</v>
      </c>
      <c r="X71" s="586" t="s">
        <v>479</v>
      </c>
      <c r="Y71" s="598">
        <v>0.5</v>
      </c>
      <c r="Z71" s="481">
        <v>0.5</v>
      </c>
      <c r="AA71" s="461">
        <v>1</v>
      </c>
      <c r="AB71" s="476"/>
      <c r="AC71" s="476"/>
      <c r="AD71" s="445" t="s">
        <v>255</v>
      </c>
      <c r="AE71" s="586"/>
      <c r="AF71" s="626"/>
      <c r="AG71" s="627"/>
      <c r="AH71" s="461">
        <v>1</v>
      </c>
      <c r="AI71" s="628"/>
      <c r="AJ71" s="628"/>
      <c r="AK71" s="445" t="s">
        <v>255</v>
      </c>
      <c r="AL71" s="629"/>
      <c r="AM71" s="630"/>
      <c r="AN71" s="631"/>
      <c r="AO71" s="461">
        <v>1</v>
      </c>
      <c r="AP71" s="632"/>
      <c r="AQ71" s="632"/>
      <c r="AR71" s="445" t="s">
        <v>255</v>
      </c>
      <c r="AS71" s="757"/>
      <c r="AT71" s="755"/>
      <c r="AU71" s="756"/>
      <c r="AV71" s="461">
        <v>1</v>
      </c>
      <c r="AW71" s="756"/>
      <c r="AX71" s="756"/>
      <c r="AY71" s="445" t="s">
        <v>255</v>
      </c>
      <c r="AZ71" s="775"/>
      <c r="BA71" s="654">
        <v>1</v>
      </c>
      <c r="BB71" s="655">
        <v>0.9</v>
      </c>
      <c r="BC71" s="461">
        <v>1</v>
      </c>
      <c r="BD71" s="650">
        <v>32000000</v>
      </c>
      <c r="BE71" s="650">
        <v>31440300</v>
      </c>
      <c r="BF71" s="445" t="s">
        <v>255</v>
      </c>
      <c r="BG71" s="651" t="s">
        <v>967</v>
      </c>
      <c r="BH71" s="626">
        <v>0.5</v>
      </c>
      <c r="BI71" s="627">
        <v>0</v>
      </c>
      <c r="BJ71" s="741">
        <v>0</v>
      </c>
      <c r="BK71" s="628"/>
      <c r="BL71" s="628"/>
      <c r="BM71" s="543" t="s">
        <v>255</v>
      </c>
      <c r="BN71" s="691" t="s">
        <v>565</v>
      </c>
      <c r="BO71" s="598">
        <v>0.5</v>
      </c>
      <c r="BP71" s="481">
        <v>0.5</v>
      </c>
      <c r="BQ71" s="461">
        <v>1</v>
      </c>
      <c r="BR71" s="476">
        <v>11540000</v>
      </c>
      <c r="BS71" s="476">
        <v>0</v>
      </c>
      <c r="BT71" s="445" t="s">
        <v>255</v>
      </c>
      <c r="BU71" s="586" t="s">
        <v>645</v>
      </c>
      <c r="BV71" s="478">
        <v>0.5</v>
      </c>
      <c r="BW71" s="481">
        <v>0.5</v>
      </c>
      <c r="BX71" s="461">
        <v>1</v>
      </c>
      <c r="BY71" s="476">
        <v>271452800</v>
      </c>
      <c r="BZ71" s="476">
        <v>223685832</v>
      </c>
      <c r="CA71" s="466">
        <f>BZ71/BY71</f>
        <v>0.82403214113098111</v>
      </c>
      <c r="CB71" s="483" t="s">
        <v>1025</v>
      </c>
      <c r="CC71" s="730" t="s">
        <v>1071</v>
      </c>
      <c r="CD71" s="478">
        <v>0.5</v>
      </c>
      <c r="CE71" s="481">
        <v>0.5</v>
      </c>
      <c r="CF71" s="461">
        <v>1</v>
      </c>
      <c r="CG71" s="476">
        <v>271452800</v>
      </c>
      <c r="CH71" s="476">
        <v>223685832</v>
      </c>
      <c r="CI71" s="466">
        <f>CH71/CG71</f>
        <v>0.82403214113098111</v>
      </c>
      <c r="CJ71" s="483" t="s">
        <v>1025</v>
      </c>
      <c r="CK71" s="484" t="s">
        <v>1134</v>
      </c>
      <c r="CL71" s="481">
        <v>1</v>
      </c>
      <c r="CM71" s="805">
        <v>0.5</v>
      </c>
      <c r="CN71" s="541">
        <f>CM71/CL71</f>
        <v>0.5</v>
      </c>
    </row>
    <row r="72" spans="1:93" ht="57.75" customHeight="1" x14ac:dyDescent="0.25">
      <c r="A72" s="563"/>
      <c r="B72" s="551"/>
      <c r="C72" s="553"/>
      <c r="D72" s="548"/>
      <c r="E72" s="445"/>
      <c r="F72" s="445"/>
      <c r="G72" s="445"/>
      <c r="H72" s="455"/>
      <c r="I72" s="565"/>
      <c r="J72" s="445"/>
      <c r="K72" s="516"/>
      <c r="L72" s="516"/>
      <c r="M72" s="516"/>
      <c r="N72" s="516"/>
      <c r="O72" s="516"/>
      <c r="P72" s="516"/>
      <c r="Q72" s="593"/>
      <c r="R72" s="598"/>
      <c r="S72" s="481"/>
      <c r="T72" s="461"/>
      <c r="U72" s="476"/>
      <c r="V72" s="476"/>
      <c r="W72" s="445"/>
      <c r="X72" s="586"/>
      <c r="Y72" s="598"/>
      <c r="Z72" s="481"/>
      <c r="AA72" s="461"/>
      <c r="AB72" s="476"/>
      <c r="AC72" s="476"/>
      <c r="AD72" s="445"/>
      <c r="AE72" s="586"/>
      <c r="AF72" s="626"/>
      <c r="AG72" s="627"/>
      <c r="AH72" s="461"/>
      <c r="AI72" s="628"/>
      <c r="AJ72" s="628"/>
      <c r="AK72" s="445"/>
      <c r="AL72" s="629"/>
      <c r="AM72" s="630"/>
      <c r="AN72" s="631"/>
      <c r="AO72" s="461"/>
      <c r="AP72" s="632"/>
      <c r="AQ72" s="632"/>
      <c r="AR72" s="445"/>
      <c r="AS72" s="757"/>
      <c r="AT72" s="755"/>
      <c r="AU72" s="756"/>
      <c r="AV72" s="461"/>
      <c r="AW72" s="756"/>
      <c r="AX72" s="756"/>
      <c r="AY72" s="445"/>
      <c r="AZ72" s="775"/>
      <c r="BA72" s="654"/>
      <c r="BB72" s="653"/>
      <c r="BC72" s="461"/>
      <c r="BD72" s="650"/>
      <c r="BE72" s="650"/>
      <c r="BF72" s="445"/>
      <c r="BG72" s="651"/>
      <c r="BH72" s="626"/>
      <c r="BI72" s="627"/>
      <c r="BJ72" s="741"/>
      <c r="BK72" s="628"/>
      <c r="BL72" s="628"/>
      <c r="BM72" s="543"/>
      <c r="BN72" s="691"/>
      <c r="BO72" s="598"/>
      <c r="BP72" s="481"/>
      <c r="BQ72" s="461"/>
      <c r="BR72" s="476"/>
      <c r="BS72" s="476"/>
      <c r="BT72" s="445"/>
      <c r="BU72" s="586"/>
      <c r="BV72" s="479"/>
      <c r="BW72" s="481"/>
      <c r="BX72" s="461"/>
      <c r="BY72" s="476"/>
      <c r="BZ72" s="476"/>
      <c r="CA72" s="482"/>
      <c r="CB72" s="455"/>
      <c r="CC72" s="730"/>
      <c r="CD72" s="479"/>
      <c r="CE72" s="481"/>
      <c r="CF72" s="461"/>
      <c r="CG72" s="476"/>
      <c r="CH72" s="476"/>
      <c r="CI72" s="482"/>
      <c r="CJ72" s="455"/>
      <c r="CK72" s="484"/>
      <c r="CL72" s="445"/>
      <c r="CM72" s="806"/>
      <c r="CN72" s="541"/>
    </row>
    <row r="73" spans="1:93" ht="82.5" customHeight="1" x14ac:dyDescent="0.25">
      <c r="A73" s="563"/>
      <c r="B73" s="551"/>
      <c r="C73" s="574"/>
      <c r="D73" s="548"/>
      <c r="E73" s="445"/>
      <c r="F73" s="445"/>
      <c r="G73" s="445"/>
      <c r="H73" s="477"/>
      <c r="I73" s="565"/>
      <c r="J73" s="445"/>
      <c r="K73" s="516"/>
      <c r="L73" s="516"/>
      <c r="M73" s="516"/>
      <c r="N73" s="516"/>
      <c r="O73" s="516"/>
      <c r="P73" s="516"/>
      <c r="Q73" s="593"/>
      <c r="R73" s="598"/>
      <c r="S73" s="481"/>
      <c r="T73" s="461"/>
      <c r="U73" s="476"/>
      <c r="V73" s="476"/>
      <c r="W73" s="445"/>
      <c r="X73" s="586"/>
      <c r="Y73" s="598"/>
      <c r="Z73" s="481"/>
      <c r="AA73" s="461"/>
      <c r="AB73" s="476"/>
      <c r="AC73" s="476"/>
      <c r="AD73" s="445"/>
      <c r="AE73" s="586"/>
      <c r="AF73" s="177">
        <v>1</v>
      </c>
      <c r="AG73" s="85">
        <v>1</v>
      </c>
      <c r="AH73" s="461"/>
      <c r="AI73" s="69" t="s">
        <v>37</v>
      </c>
      <c r="AJ73" s="69" t="s">
        <v>37</v>
      </c>
      <c r="AK73" s="445"/>
      <c r="AL73" s="192" t="s">
        <v>768</v>
      </c>
      <c r="AM73" s="147">
        <v>1</v>
      </c>
      <c r="AN73" s="68">
        <v>1</v>
      </c>
      <c r="AO73" s="461"/>
      <c r="AP73" s="120" t="s">
        <v>700</v>
      </c>
      <c r="AQ73" s="120" t="s">
        <v>700</v>
      </c>
      <c r="AR73" s="445"/>
      <c r="AS73" s="163" t="s">
        <v>846</v>
      </c>
      <c r="AT73" s="755">
        <v>1</v>
      </c>
      <c r="AU73" s="756">
        <v>5</v>
      </c>
      <c r="AV73" s="461"/>
      <c r="AW73" s="768">
        <v>25000000</v>
      </c>
      <c r="AX73" s="768">
        <v>23933333</v>
      </c>
      <c r="AY73" s="445"/>
      <c r="AZ73" s="789" t="s">
        <v>907</v>
      </c>
      <c r="BA73" s="654"/>
      <c r="BB73" s="653"/>
      <c r="BC73" s="461"/>
      <c r="BD73" s="650"/>
      <c r="BE73" s="650"/>
      <c r="BF73" s="445"/>
      <c r="BG73" s="651"/>
      <c r="BH73" s="626"/>
      <c r="BI73" s="627"/>
      <c r="BJ73" s="741"/>
      <c r="BK73" s="628"/>
      <c r="BL73" s="628"/>
      <c r="BM73" s="543"/>
      <c r="BN73" s="691"/>
      <c r="BO73" s="598"/>
      <c r="BP73" s="481"/>
      <c r="BQ73" s="461"/>
      <c r="BR73" s="476"/>
      <c r="BS73" s="476"/>
      <c r="BT73" s="445"/>
      <c r="BU73" s="586"/>
      <c r="BV73" s="480"/>
      <c r="BW73" s="481"/>
      <c r="BX73" s="461"/>
      <c r="BY73" s="476"/>
      <c r="BZ73" s="476"/>
      <c r="CA73" s="473"/>
      <c r="CB73" s="477"/>
      <c r="CC73" s="731"/>
      <c r="CD73" s="480"/>
      <c r="CE73" s="481"/>
      <c r="CF73" s="461"/>
      <c r="CG73" s="476"/>
      <c r="CH73" s="476"/>
      <c r="CI73" s="473"/>
      <c r="CJ73" s="477"/>
      <c r="CK73" s="485"/>
      <c r="CL73" s="445"/>
      <c r="CM73" s="807"/>
      <c r="CN73" s="504"/>
    </row>
    <row r="74" spans="1:93" ht="159.75" customHeight="1" x14ac:dyDescent="0.25">
      <c r="A74" s="563"/>
      <c r="B74" s="551"/>
      <c r="C74" s="108" t="s">
        <v>210</v>
      </c>
      <c r="D74" s="111" t="s">
        <v>211</v>
      </c>
      <c r="E74" s="47" t="s">
        <v>212</v>
      </c>
      <c r="F74" s="47" t="s">
        <v>213</v>
      </c>
      <c r="G74" s="47" t="s">
        <v>209</v>
      </c>
      <c r="H74" s="85" t="s">
        <v>1026</v>
      </c>
      <c r="I74" s="32">
        <v>0</v>
      </c>
      <c r="J74" s="47">
        <v>10</v>
      </c>
      <c r="K74" s="57" t="s">
        <v>295</v>
      </c>
      <c r="L74" s="57" t="s">
        <v>359</v>
      </c>
      <c r="M74" s="47">
        <v>3902017</v>
      </c>
      <c r="N74" s="47" t="s">
        <v>360</v>
      </c>
      <c r="O74" s="47">
        <v>390201700</v>
      </c>
      <c r="P74" s="47" t="s">
        <v>360</v>
      </c>
      <c r="Q74" s="109">
        <v>10</v>
      </c>
      <c r="R74" s="95">
        <v>8</v>
      </c>
      <c r="S74" s="47">
        <v>20</v>
      </c>
      <c r="T74" s="54">
        <v>1</v>
      </c>
      <c r="U74" s="55"/>
      <c r="V74" s="55"/>
      <c r="W74" s="47" t="s">
        <v>273</v>
      </c>
      <c r="X74" s="191" t="s">
        <v>480</v>
      </c>
      <c r="Y74" s="95">
        <v>8</v>
      </c>
      <c r="Z74" s="47">
        <v>20</v>
      </c>
      <c r="AA74" s="54">
        <v>1</v>
      </c>
      <c r="AB74" s="55"/>
      <c r="AC74" s="59"/>
      <c r="AD74" s="47" t="s">
        <v>273</v>
      </c>
      <c r="AE74" s="191"/>
      <c r="AF74" s="602">
        <v>1</v>
      </c>
      <c r="AG74" s="543">
        <v>1</v>
      </c>
      <c r="AH74" s="54">
        <v>1</v>
      </c>
      <c r="AI74" s="628" t="s">
        <v>694</v>
      </c>
      <c r="AJ74" s="628" t="s">
        <v>695</v>
      </c>
      <c r="AK74" s="47" t="s">
        <v>273</v>
      </c>
      <c r="AL74" s="629" t="s">
        <v>769</v>
      </c>
      <c r="AM74" s="636">
        <v>1</v>
      </c>
      <c r="AN74" s="635">
        <v>1</v>
      </c>
      <c r="AO74" s="54">
        <v>1</v>
      </c>
      <c r="AP74" s="734">
        <v>205750000</v>
      </c>
      <c r="AQ74" s="734">
        <v>102060000</v>
      </c>
      <c r="AR74" s="47" t="s">
        <v>273</v>
      </c>
      <c r="AS74" s="629" t="s">
        <v>847</v>
      </c>
      <c r="AT74" s="755"/>
      <c r="AU74" s="756"/>
      <c r="AV74" s="54">
        <v>1</v>
      </c>
      <c r="AW74" s="768"/>
      <c r="AX74" s="768"/>
      <c r="AY74" s="47" t="s">
        <v>273</v>
      </c>
      <c r="AZ74" s="789"/>
      <c r="BA74" s="148">
        <v>10</v>
      </c>
      <c r="BB74" s="74">
        <v>20</v>
      </c>
      <c r="BC74" s="54">
        <v>1</v>
      </c>
      <c r="BD74" s="73">
        <v>519754832</v>
      </c>
      <c r="BE74" s="73">
        <v>74220990</v>
      </c>
      <c r="BF74" s="47" t="s">
        <v>273</v>
      </c>
      <c r="BG74" s="142" t="s">
        <v>968</v>
      </c>
      <c r="BH74" s="154">
        <v>7</v>
      </c>
      <c r="BI74" s="85">
        <v>0</v>
      </c>
      <c r="BJ74" s="75">
        <v>0</v>
      </c>
      <c r="BK74" s="69"/>
      <c r="BL74" s="69"/>
      <c r="BM74" s="85" t="s">
        <v>273</v>
      </c>
      <c r="BN74" s="192" t="s">
        <v>566</v>
      </c>
      <c r="BO74" s="95">
        <v>8</v>
      </c>
      <c r="BP74" s="47">
        <v>20</v>
      </c>
      <c r="BQ74" s="54">
        <v>1</v>
      </c>
      <c r="BR74" s="55"/>
      <c r="BS74" s="55"/>
      <c r="BT74" s="47" t="s">
        <v>273</v>
      </c>
      <c r="BU74" s="191" t="s">
        <v>646</v>
      </c>
      <c r="BV74" s="243">
        <v>9</v>
      </c>
      <c r="BW74" s="47">
        <v>9</v>
      </c>
      <c r="BX74" s="54">
        <v>1</v>
      </c>
      <c r="BY74" s="229">
        <v>451220071</v>
      </c>
      <c r="BZ74" s="229">
        <f>BY74/2</f>
        <v>225610035.5</v>
      </c>
      <c r="CA74" s="207">
        <f>BZ74/BY74</f>
        <v>0.5</v>
      </c>
      <c r="CB74" s="85" t="s">
        <v>1026</v>
      </c>
      <c r="CC74" s="253" t="s">
        <v>1072</v>
      </c>
      <c r="CD74" s="368">
        <v>10</v>
      </c>
      <c r="CE74" s="47">
        <v>9</v>
      </c>
      <c r="CF74" s="54">
        <v>1</v>
      </c>
      <c r="CG74" s="229">
        <f>451220071+35948539+25833670+6400000</f>
        <v>519402280</v>
      </c>
      <c r="CH74" s="432">
        <f>(CG74/2)+28564200+1546720</f>
        <v>289812060</v>
      </c>
      <c r="CI74" s="207">
        <f>CH74/CG74</f>
        <v>0.55797225225888492</v>
      </c>
      <c r="CJ74" s="85" t="s">
        <v>1026</v>
      </c>
      <c r="CK74" s="418" t="s">
        <v>1135</v>
      </c>
      <c r="CL74" s="47">
        <v>10</v>
      </c>
      <c r="CM74" s="215">
        <v>43</v>
      </c>
      <c r="CN74" s="207">
        <v>1</v>
      </c>
    </row>
    <row r="75" spans="1:93" ht="27" customHeight="1" x14ac:dyDescent="0.25">
      <c r="A75" s="563"/>
      <c r="B75" s="551"/>
      <c r="C75" s="571" t="s">
        <v>214</v>
      </c>
      <c r="D75" s="548" t="s">
        <v>215</v>
      </c>
      <c r="E75" s="445" t="s">
        <v>216</v>
      </c>
      <c r="F75" s="445" t="s">
        <v>217</v>
      </c>
      <c r="G75" s="445" t="s">
        <v>209</v>
      </c>
      <c r="H75" s="454" t="s">
        <v>1026</v>
      </c>
      <c r="I75" s="565">
        <v>0</v>
      </c>
      <c r="J75" s="445">
        <v>10</v>
      </c>
      <c r="K75" s="516" t="s">
        <v>291</v>
      </c>
      <c r="L75" s="516" t="s">
        <v>312</v>
      </c>
      <c r="M75" s="516" t="s">
        <v>293</v>
      </c>
      <c r="N75" s="516" t="s">
        <v>313</v>
      </c>
      <c r="O75" s="516" t="s">
        <v>293</v>
      </c>
      <c r="P75" s="516" t="s">
        <v>314</v>
      </c>
      <c r="Q75" s="593">
        <v>10</v>
      </c>
      <c r="R75" s="590">
        <v>8</v>
      </c>
      <c r="S75" s="445">
        <v>11</v>
      </c>
      <c r="T75" s="446">
        <f>S75/S75</f>
        <v>1</v>
      </c>
      <c r="U75" s="476">
        <v>60844000</v>
      </c>
      <c r="V75" s="476">
        <v>9900000</v>
      </c>
      <c r="W75" s="445" t="s">
        <v>274</v>
      </c>
      <c r="X75" s="586" t="s">
        <v>481</v>
      </c>
      <c r="Y75" s="590">
        <v>8</v>
      </c>
      <c r="Z75" s="445">
        <v>11</v>
      </c>
      <c r="AA75" s="446">
        <f>Z75/Z75</f>
        <v>1</v>
      </c>
      <c r="AB75" s="476"/>
      <c r="AC75" s="476"/>
      <c r="AD75" s="445" t="s">
        <v>274</v>
      </c>
      <c r="AE75" s="586"/>
      <c r="AF75" s="602"/>
      <c r="AG75" s="543"/>
      <c r="AH75" s="446" t="e">
        <f>AG75/AG75</f>
        <v>#DIV/0!</v>
      </c>
      <c r="AI75" s="628"/>
      <c r="AJ75" s="628"/>
      <c r="AK75" s="445" t="s">
        <v>274</v>
      </c>
      <c r="AL75" s="629"/>
      <c r="AM75" s="636"/>
      <c r="AN75" s="635"/>
      <c r="AO75" s="446" t="e">
        <f>AN75/AN75</f>
        <v>#DIV/0!</v>
      </c>
      <c r="AP75" s="735"/>
      <c r="AQ75" s="735"/>
      <c r="AR75" s="445" t="s">
        <v>274</v>
      </c>
      <c r="AS75" s="629"/>
      <c r="AT75" s="755">
        <v>3</v>
      </c>
      <c r="AU75" s="756">
        <v>1</v>
      </c>
      <c r="AV75" s="446">
        <f>AU75/AU75</f>
        <v>1</v>
      </c>
      <c r="AW75" s="768" t="s">
        <v>856</v>
      </c>
      <c r="AX75" s="764" t="s">
        <v>856</v>
      </c>
      <c r="AY75" s="445" t="s">
        <v>274</v>
      </c>
      <c r="AZ75" s="774" t="s">
        <v>1037</v>
      </c>
      <c r="BA75" s="652">
        <v>6</v>
      </c>
      <c r="BB75" s="653" t="s">
        <v>920</v>
      </c>
      <c r="BC75" s="446" t="e">
        <f>BB75/BB75</f>
        <v>#VALUE!</v>
      </c>
      <c r="BD75" s="650">
        <v>1563620850</v>
      </c>
      <c r="BE75" s="650">
        <v>1172715638</v>
      </c>
      <c r="BF75" s="445" t="s">
        <v>274</v>
      </c>
      <c r="BG75" s="651" t="s">
        <v>969</v>
      </c>
      <c r="BH75" s="787">
        <v>7</v>
      </c>
      <c r="BI75" s="543">
        <v>2</v>
      </c>
      <c r="BJ75" s="788">
        <f>(BI75/BH75)*1</f>
        <v>0.2857142857142857</v>
      </c>
      <c r="BK75" s="628"/>
      <c r="BL75" s="628"/>
      <c r="BM75" s="543" t="s">
        <v>274</v>
      </c>
      <c r="BN75" s="690" t="s">
        <v>567</v>
      </c>
      <c r="BO75" s="590">
        <v>8</v>
      </c>
      <c r="BP75" s="445">
        <v>5</v>
      </c>
      <c r="BQ75" s="446">
        <f>BP75/BP75</f>
        <v>1</v>
      </c>
      <c r="BR75" s="476">
        <v>60844000</v>
      </c>
      <c r="BS75" s="476">
        <v>9900000</v>
      </c>
      <c r="BT75" s="445" t="s">
        <v>274</v>
      </c>
      <c r="BU75" s="695" t="s">
        <v>647</v>
      </c>
      <c r="BV75" s="442">
        <v>9</v>
      </c>
      <c r="BW75" s="445">
        <v>11</v>
      </c>
      <c r="BX75" s="446">
        <f>BW75/BW75</f>
        <v>1</v>
      </c>
      <c r="BY75" s="736">
        <v>2673832466</v>
      </c>
      <c r="BZ75" s="736">
        <f>BY75*6</f>
        <v>16042994796</v>
      </c>
      <c r="CA75" s="440">
        <v>1</v>
      </c>
      <c r="CB75" s="454" t="s">
        <v>1026</v>
      </c>
      <c r="CC75" s="729" t="s">
        <v>1073</v>
      </c>
      <c r="CD75" s="442">
        <v>10</v>
      </c>
      <c r="CE75" s="445">
        <v>11</v>
      </c>
      <c r="CF75" s="446">
        <f>CE75/CE75</f>
        <v>1</v>
      </c>
      <c r="CG75" s="447">
        <f>2759841966*6+23454000+9775000</f>
        <v>16592280796</v>
      </c>
      <c r="CH75" s="450">
        <f>2673832466+44965000+41044500</f>
        <v>2759841966</v>
      </c>
      <c r="CI75" s="440">
        <f>CH75/CG75</f>
        <v>0.16633288695700785</v>
      </c>
      <c r="CJ75" s="454" t="s">
        <v>1026</v>
      </c>
      <c r="CK75" s="457" t="s">
        <v>1136</v>
      </c>
      <c r="CL75" s="445">
        <v>10</v>
      </c>
      <c r="CM75" s="803">
        <v>11</v>
      </c>
      <c r="CN75" s="446">
        <v>1</v>
      </c>
    </row>
    <row r="76" spans="1:93" ht="107.25" customHeight="1" x14ac:dyDescent="0.25">
      <c r="A76" s="563"/>
      <c r="B76" s="551"/>
      <c r="C76" s="572"/>
      <c r="D76" s="548"/>
      <c r="E76" s="445"/>
      <c r="F76" s="445"/>
      <c r="G76" s="445"/>
      <c r="H76" s="455"/>
      <c r="I76" s="565"/>
      <c r="J76" s="445"/>
      <c r="K76" s="516"/>
      <c r="L76" s="516"/>
      <c r="M76" s="516"/>
      <c r="N76" s="516"/>
      <c r="O76" s="516"/>
      <c r="P76" s="516"/>
      <c r="Q76" s="593"/>
      <c r="R76" s="590"/>
      <c r="S76" s="445"/>
      <c r="T76" s="446"/>
      <c r="U76" s="476"/>
      <c r="V76" s="476"/>
      <c r="W76" s="445"/>
      <c r="X76" s="586"/>
      <c r="Y76" s="590"/>
      <c r="Z76" s="445"/>
      <c r="AA76" s="446"/>
      <c r="AB76" s="476"/>
      <c r="AC76" s="476"/>
      <c r="AD76" s="445"/>
      <c r="AE76" s="586"/>
      <c r="AF76" s="602"/>
      <c r="AG76" s="543"/>
      <c r="AH76" s="446"/>
      <c r="AI76" s="628"/>
      <c r="AJ76" s="628"/>
      <c r="AK76" s="445"/>
      <c r="AL76" s="629"/>
      <c r="AM76" s="636"/>
      <c r="AN76" s="635"/>
      <c r="AO76" s="446"/>
      <c r="AP76" s="735"/>
      <c r="AQ76" s="735"/>
      <c r="AR76" s="445"/>
      <c r="AS76" s="629"/>
      <c r="AT76" s="755"/>
      <c r="AU76" s="756"/>
      <c r="AV76" s="446"/>
      <c r="AW76" s="756"/>
      <c r="AX76" s="764"/>
      <c r="AY76" s="445"/>
      <c r="AZ76" s="774"/>
      <c r="BA76" s="652"/>
      <c r="BB76" s="653"/>
      <c r="BC76" s="446"/>
      <c r="BD76" s="650"/>
      <c r="BE76" s="650"/>
      <c r="BF76" s="445"/>
      <c r="BG76" s="651"/>
      <c r="BH76" s="787"/>
      <c r="BI76" s="543"/>
      <c r="BJ76" s="788"/>
      <c r="BK76" s="628"/>
      <c r="BL76" s="628"/>
      <c r="BM76" s="543"/>
      <c r="BN76" s="690"/>
      <c r="BO76" s="590"/>
      <c r="BP76" s="445"/>
      <c r="BQ76" s="446"/>
      <c r="BR76" s="476"/>
      <c r="BS76" s="476"/>
      <c r="BT76" s="445"/>
      <c r="BU76" s="695"/>
      <c r="BV76" s="443"/>
      <c r="BW76" s="445"/>
      <c r="BX76" s="446"/>
      <c r="BY76" s="737"/>
      <c r="BZ76" s="737"/>
      <c r="CA76" s="441"/>
      <c r="CB76" s="455"/>
      <c r="CC76" s="730"/>
      <c r="CD76" s="443"/>
      <c r="CE76" s="445"/>
      <c r="CF76" s="446"/>
      <c r="CG76" s="448"/>
      <c r="CH76" s="451"/>
      <c r="CI76" s="441"/>
      <c r="CJ76" s="455"/>
      <c r="CK76" s="458"/>
      <c r="CL76" s="445"/>
      <c r="CM76" s="551"/>
      <c r="CN76" s="446"/>
      <c r="CO76" s="736"/>
    </row>
    <row r="77" spans="1:93" ht="218.25" customHeight="1" thickBot="1" x14ac:dyDescent="0.3">
      <c r="A77" s="566"/>
      <c r="B77" s="567"/>
      <c r="C77" s="573"/>
      <c r="D77" s="111" t="s">
        <v>218</v>
      </c>
      <c r="E77" s="47" t="s">
        <v>219</v>
      </c>
      <c r="F77" s="445"/>
      <c r="G77" s="445"/>
      <c r="H77" s="456"/>
      <c r="I77" s="565"/>
      <c r="J77" s="445"/>
      <c r="K77" s="516"/>
      <c r="L77" s="516"/>
      <c r="M77" s="516"/>
      <c r="N77" s="516"/>
      <c r="O77" s="516"/>
      <c r="P77" s="516"/>
      <c r="Q77" s="593"/>
      <c r="R77" s="590"/>
      <c r="S77" s="445"/>
      <c r="T77" s="446"/>
      <c r="U77" s="476"/>
      <c r="V77" s="476"/>
      <c r="W77" s="445"/>
      <c r="X77" s="586"/>
      <c r="Y77" s="590"/>
      <c r="Z77" s="445"/>
      <c r="AA77" s="446"/>
      <c r="AB77" s="476"/>
      <c r="AC77" s="476"/>
      <c r="AD77" s="445"/>
      <c r="AE77" s="586"/>
      <c r="AF77" s="195">
        <v>1</v>
      </c>
      <c r="AG77" s="117">
        <v>1</v>
      </c>
      <c r="AH77" s="446"/>
      <c r="AI77" s="628" t="s">
        <v>694</v>
      </c>
      <c r="AJ77" s="628" t="s">
        <v>695</v>
      </c>
      <c r="AK77" s="445"/>
      <c r="AL77" s="192" t="s">
        <v>770</v>
      </c>
      <c r="AM77" s="147" t="s">
        <v>779</v>
      </c>
      <c r="AN77" s="68" t="s">
        <v>779</v>
      </c>
      <c r="AO77" s="446"/>
      <c r="AP77" s="121">
        <v>24350000</v>
      </c>
      <c r="AQ77" s="121">
        <v>12000000</v>
      </c>
      <c r="AR77" s="445"/>
      <c r="AS77" s="163" t="s">
        <v>848</v>
      </c>
      <c r="AT77" s="177">
        <v>12</v>
      </c>
      <c r="AU77" s="85">
        <v>12</v>
      </c>
      <c r="AV77" s="446"/>
      <c r="AW77" s="127">
        <v>25000000</v>
      </c>
      <c r="AX77" s="128">
        <v>23933333</v>
      </c>
      <c r="AY77" s="445"/>
      <c r="AZ77" s="163" t="s">
        <v>908</v>
      </c>
      <c r="BA77" s="652"/>
      <c r="BB77" s="653"/>
      <c r="BC77" s="446"/>
      <c r="BD77" s="650"/>
      <c r="BE77" s="650"/>
      <c r="BF77" s="445"/>
      <c r="BG77" s="651"/>
      <c r="BH77" s="787"/>
      <c r="BI77" s="543"/>
      <c r="BJ77" s="788"/>
      <c r="BK77" s="628"/>
      <c r="BL77" s="628"/>
      <c r="BM77" s="543"/>
      <c r="BN77" s="690"/>
      <c r="BO77" s="590"/>
      <c r="BP77" s="445"/>
      <c r="BQ77" s="446"/>
      <c r="BR77" s="476"/>
      <c r="BS77" s="476"/>
      <c r="BT77" s="445"/>
      <c r="BU77" s="695"/>
      <c r="BV77" s="444"/>
      <c r="BW77" s="445"/>
      <c r="BX77" s="446"/>
      <c r="BY77" s="738"/>
      <c r="BZ77" s="738"/>
      <c r="CA77" s="453"/>
      <c r="CB77" s="456"/>
      <c r="CC77" s="730"/>
      <c r="CD77" s="444"/>
      <c r="CE77" s="445"/>
      <c r="CF77" s="446"/>
      <c r="CG77" s="449"/>
      <c r="CH77" s="452"/>
      <c r="CI77" s="453"/>
      <c r="CJ77" s="456"/>
      <c r="CK77" s="458"/>
      <c r="CL77" s="445"/>
      <c r="CM77" s="804"/>
      <c r="CN77" s="446"/>
      <c r="CO77" s="737"/>
    </row>
    <row r="78" spans="1:93" ht="98.25" customHeight="1" x14ac:dyDescent="0.25">
      <c r="A78" s="562" t="s">
        <v>220</v>
      </c>
      <c r="B78" s="550" t="s">
        <v>221</v>
      </c>
      <c r="C78" s="552" t="s">
        <v>222</v>
      </c>
      <c r="D78" s="111" t="s">
        <v>223</v>
      </c>
      <c r="E78" s="47" t="s">
        <v>224</v>
      </c>
      <c r="F78" s="47" t="s">
        <v>225</v>
      </c>
      <c r="G78" s="47" t="s">
        <v>226</v>
      </c>
      <c r="H78" s="224" t="s">
        <v>227</v>
      </c>
      <c r="I78" s="32">
        <v>0</v>
      </c>
      <c r="J78" s="47">
        <v>1</v>
      </c>
      <c r="K78" s="57" t="s">
        <v>361</v>
      </c>
      <c r="L78" s="57" t="s">
        <v>362</v>
      </c>
      <c r="M78" s="47" t="s">
        <v>37</v>
      </c>
      <c r="N78" s="47" t="s">
        <v>363</v>
      </c>
      <c r="O78" s="47" t="s">
        <v>37</v>
      </c>
      <c r="P78" s="47" t="s">
        <v>364</v>
      </c>
      <c r="Q78" s="109">
        <v>1</v>
      </c>
      <c r="R78" s="96" t="s">
        <v>402</v>
      </c>
      <c r="S78" s="44" t="s">
        <v>422</v>
      </c>
      <c r="T78" s="54">
        <v>1</v>
      </c>
      <c r="U78" s="55"/>
      <c r="V78" s="55">
        <v>8655000</v>
      </c>
      <c r="W78" s="516" t="s">
        <v>255</v>
      </c>
      <c r="X78" s="97" t="s">
        <v>482</v>
      </c>
      <c r="Y78" s="96" t="s">
        <v>402</v>
      </c>
      <c r="Z78" s="44" t="s">
        <v>422</v>
      </c>
      <c r="AA78" s="54">
        <v>1</v>
      </c>
      <c r="AB78" s="55"/>
      <c r="AC78" s="55"/>
      <c r="AD78" s="516" t="s">
        <v>255</v>
      </c>
      <c r="AE78" s="97"/>
      <c r="AF78" s="195">
        <v>1</v>
      </c>
      <c r="AG78" s="117">
        <v>1</v>
      </c>
      <c r="AH78" s="54">
        <v>1</v>
      </c>
      <c r="AI78" s="628"/>
      <c r="AJ78" s="628"/>
      <c r="AK78" s="516" t="s">
        <v>255</v>
      </c>
      <c r="AL78" s="192" t="s">
        <v>771</v>
      </c>
      <c r="AM78" s="164">
        <v>1</v>
      </c>
      <c r="AN78" s="118">
        <v>0</v>
      </c>
      <c r="AO78" s="54">
        <v>1</v>
      </c>
      <c r="AP78" s="121">
        <v>25000000</v>
      </c>
      <c r="AQ78" s="68">
        <v>0</v>
      </c>
      <c r="AR78" s="516" t="s">
        <v>255</v>
      </c>
      <c r="AS78" s="172" t="s">
        <v>849</v>
      </c>
      <c r="AT78" s="178">
        <v>1</v>
      </c>
      <c r="AU78" s="126">
        <v>1</v>
      </c>
      <c r="AV78" s="54">
        <v>1</v>
      </c>
      <c r="AW78" s="181" t="s">
        <v>856</v>
      </c>
      <c r="AX78" s="181" t="s">
        <v>856</v>
      </c>
      <c r="AY78" s="516" t="s">
        <v>255</v>
      </c>
      <c r="AZ78" s="172" t="s">
        <v>909</v>
      </c>
      <c r="BA78" s="198">
        <v>12</v>
      </c>
      <c r="BB78" s="189">
        <v>12</v>
      </c>
      <c r="BC78" s="54">
        <v>1</v>
      </c>
      <c r="BD78" s="82">
        <v>32000000</v>
      </c>
      <c r="BE78" s="82">
        <v>31440300</v>
      </c>
      <c r="BF78" s="516" t="s">
        <v>255</v>
      </c>
      <c r="BG78" s="146" t="s">
        <v>970</v>
      </c>
      <c r="BH78" s="155" t="s">
        <v>402</v>
      </c>
      <c r="BI78" s="86" t="s">
        <v>568</v>
      </c>
      <c r="BJ78" s="75">
        <v>0</v>
      </c>
      <c r="BK78" s="73"/>
      <c r="BL78" s="73"/>
      <c r="BM78" s="653" t="s">
        <v>255</v>
      </c>
      <c r="BN78" s="146" t="s">
        <v>569</v>
      </c>
      <c r="BO78" s="96" t="s">
        <v>402</v>
      </c>
      <c r="BP78" s="44" t="s">
        <v>422</v>
      </c>
      <c r="BQ78" s="54">
        <v>1</v>
      </c>
      <c r="BR78" s="55"/>
      <c r="BS78" s="55">
        <v>8655000</v>
      </c>
      <c r="BT78" s="516" t="s">
        <v>255</v>
      </c>
      <c r="BU78" s="97" t="s">
        <v>648</v>
      </c>
      <c r="BV78" s="68">
        <v>1</v>
      </c>
      <c r="BW78" s="44" t="s">
        <v>422</v>
      </c>
      <c r="BX78" s="54">
        <v>1</v>
      </c>
      <c r="BY78" s="55">
        <v>0</v>
      </c>
      <c r="BZ78" s="55">
        <v>0</v>
      </c>
      <c r="CA78" s="208">
        <v>0</v>
      </c>
      <c r="CB78" s="224" t="s">
        <v>227</v>
      </c>
      <c r="CC78" s="252" t="s">
        <v>1074</v>
      </c>
      <c r="CD78" s="68">
        <v>1</v>
      </c>
      <c r="CE78" s="44" t="s">
        <v>422</v>
      </c>
      <c r="CF78" s="54">
        <v>1</v>
      </c>
      <c r="CG78" s="55">
        <v>0</v>
      </c>
      <c r="CH78" s="429">
        <v>0</v>
      </c>
      <c r="CI78" s="208">
        <v>0</v>
      </c>
      <c r="CJ78" s="224" t="s">
        <v>227</v>
      </c>
      <c r="CK78" s="270" t="s">
        <v>1137</v>
      </c>
      <c r="CL78" s="47">
        <v>1</v>
      </c>
      <c r="CM78" s="218" t="s">
        <v>422</v>
      </c>
      <c r="CN78" s="226">
        <v>1</v>
      </c>
      <c r="CO78" s="738"/>
    </row>
    <row r="79" spans="1:93" ht="65.25" customHeight="1" x14ac:dyDescent="0.25">
      <c r="A79" s="569"/>
      <c r="B79" s="551"/>
      <c r="C79" s="553"/>
      <c r="D79" s="111" t="s">
        <v>228</v>
      </c>
      <c r="E79" s="47" t="s">
        <v>229</v>
      </c>
      <c r="F79" s="47" t="s">
        <v>230</v>
      </c>
      <c r="G79" s="47" t="s">
        <v>226</v>
      </c>
      <c r="H79" s="85" t="s">
        <v>1027</v>
      </c>
      <c r="I79" s="32">
        <v>0</v>
      </c>
      <c r="J79" s="61">
        <v>1</v>
      </c>
      <c r="K79" s="516" t="s">
        <v>291</v>
      </c>
      <c r="L79" s="516" t="s">
        <v>292</v>
      </c>
      <c r="M79" s="516" t="s">
        <v>293</v>
      </c>
      <c r="N79" s="516" t="s">
        <v>423</v>
      </c>
      <c r="O79" s="516" t="s">
        <v>293</v>
      </c>
      <c r="P79" s="516" t="s">
        <v>392</v>
      </c>
      <c r="Q79" s="110">
        <v>1</v>
      </c>
      <c r="R79" s="98">
        <v>0.5</v>
      </c>
      <c r="S79" s="45">
        <v>0.5</v>
      </c>
      <c r="T79" s="34">
        <f>(S79/R79)*1</f>
        <v>1</v>
      </c>
      <c r="U79" s="55">
        <v>0</v>
      </c>
      <c r="V79" s="55">
        <v>8655000</v>
      </c>
      <c r="W79" s="516"/>
      <c r="X79" s="99" t="s">
        <v>483</v>
      </c>
      <c r="Y79" s="98">
        <v>0.5</v>
      </c>
      <c r="Z79" s="45">
        <v>0.5</v>
      </c>
      <c r="AA79" s="34">
        <f>(Z79/Y79)*1</f>
        <v>1</v>
      </c>
      <c r="AB79" s="55"/>
      <c r="AC79" s="55"/>
      <c r="AD79" s="516"/>
      <c r="AE79" s="99"/>
      <c r="AF79" s="602">
        <v>4</v>
      </c>
      <c r="AG79" s="543">
        <v>2</v>
      </c>
      <c r="AH79" s="34">
        <f>(AG79/AF79)*1</f>
        <v>0.5</v>
      </c>
      <c r="AI79" s="628"/>
      <c r="AJ79" s="628"/>
      <c r="AK79" s="516"/>
      <c r="AL79" s="629" t="s">
        <v>772</v>
      </c>
      <c r="AM79" s="636">
        <v>4</v>
      </c>
      <c r="AN79" s="635">
        <v>2</v>
      </c>
      <c r="AO79" s="34">
        <f>(AN79/AM79)*1</f>
        <v>0.5</v>
      </c>
      <c r="AP79" s="749">
        <v>24350000</v>
      </c>
      <c r="AQ79" s="749">
        <v>12000000</v>
      </c>
      <c r="AR79" s="516"/>
      <c r="AS79" s="629" t="s">
        <v>850</v>
      </c>
      <c r="AT79" s="755">
        <v>4</v>
      </c>
      <c r="AU79" s="756">
        <v>11</v>
      </c>
      <c r="AV79" s="34">
        <f>(AU79/AT79)*1</f>
        <v>2.75</v>
      </c>
      <c r="AW79" s="778">
        <v>25000000</v>
      </c>
      <c r="AX79" s="767">
        <v>23933333</v>
      </c>
      <c r="AY79" s="516"/>
      <c r="AZ79" s="629" t="s">
        <v>910</v>
      </c>
      <c r="BA79" s="156">
        <v>1</v>
      </c>
      <c r="BB79" s="130">
        <v>0.9</v>
      </c>
      <c r="BC79" s="34">
        <f>(BB79/BA79)*1</f>
        <v>0.9</v>
      </c>
      <c r="BD79" s="82"/>
      <c r="BE79" s="82"/>
      <c r="BF79" s="516"/>
      <c r="BG79" s="135" t="s">
        <v>971</v>
      </c>
      <c r="BH79" s="156">
        <v>0.9</v>
      </c>
      <c r="BI79" s="87">
        <v>0.9</v>
      </c>
      <c r="BJ79" s="70">
        <f>(BI79/BH79)*1</f>
        <v>1</v>
      </c>
      <c r="BK79" s="73"/>
      <c r="BL79" s="73"/>
      <c r="BM79" s="653"/>
      <c r="BN79" s="135" t="s">
        <v>570</v>
      </c>
      <c r="BO79" s="98">
        <v>0.5</v>
      </c>
      <c r="BP79" s="45">
        <v>0.5</v>
      </c>
      <c r="BQ79" s="34">
        <f>(BP79/BO79)*1</f>
        <v>1</v>
      </c>
      <c r="BR79" s="55">
        <v>0</v>
      </c>
      <c r="BS79" s="55">
        <v>8655000</v>
      </c>
      <c r="BT79" s="516"/>
      <c r="BU79" s="99" t="s">
        <v>649</v>
      </c>
      <c r="BV79" s="118">
        <v>0.5</v>
      </c>
      <c r="BW79" s="45">
        <v>0.5</v>
      </c>
      <c r="BX79" s="34">
        <f>(BW79/BV79)*1</f>
        <v>1</v>
      </c>
      <c r="BY79" s="55">
        <v>0</v>
      </c>
      <c r="BZ79" s="55">
        <v>0</v>
      </c>
      <c r="CA79" s="34">
        <v>0</v>
      </c>
      <c r="CB79" s="85" t="s">
        <v>1027</v>
      </c>
      <c r="CC79" s="248" t="s">
        <v>1085</v>
      </c>
      <c r="CD79" s="118">
        <v>0.5</v>
      </c>
      <c r="CE79" s="45">
        <v>0.5</v>
      </c>
      <c r="CF79" s="34">
        <f>(CE79/CD79)*1</f>
        <v>1</v>
      </c>
      <c r="CG79" s="55">
        <v>0</v>
      </c>
      <c r="CH79" s="429">
        <v>0</v>
      </c>
      <c r="CI79" s="34">
        <v>0</v>
      </c>
      <c r="CJ79" s="85" t="s">
        <v>1027</v>
      </c>
      <c r="CK79" s="271" t="s">
        <v>1138</v>
      </c>
      <c r="CL79" s="61">
        <v>1</v>
      </c>
      <c r="CM79" s="45">
        <v>0.5</v>
      </c>
      <c r="CN79" s="46">
        <f>CM79/CL79</f>
        <v>0.5</v>
      </c>
    </row>
    <row r="80" spans="1:93" ht="33.75" customHeight="1" x14ac:dyDescent="0.25">
      <c r="A80" s="569"/>
      <c r="B80" s="551"/>
      <c r="C80" s="553"/>
      <c r="D80" s="548" t="s">
        <v>231</v>
      </c>
      <c r="E80" s="445" t="s">
        <v>232</v>
      </c>
      <c r="F80" s="445" t="s">
        <v>233</v>
      </c>
      <c r="G80" s="445" t="s">
        <v>21</v>
      </c>
      <c r="H80" s="454" t="s">
        <v>1028</v>
      </c>
      <c r="I80" s="565">
        <v>3</v>
      </c>
      <c r="J80" s="445">
        <v>10</v>
      </c>
      <c r="K80" s="516"/>
      <c r="L80" s="516"/>
      <c r="M80" s="516"/>
      <c r="N80" s="516"/>
      <c r="O80" s="516"/>
      <c r="P80" s="516"/>
      <c r="Q80" s="593">
        <v>10</v>
      </c>
      <c r="R80" s="590">
        <v>8</v>
      </c>
      <c r="S80" s="445">
        <v>7</v>
      </c>
      <c r="T80" s="461">
        <f>(S80/R80)*1</f>
        <v>0.875</v>
      </c>
      <c r="U80" s="591">
        <v>8655000</v>
      </c>
      <c r="V80" s="476">
        <v>8655000</v>
      </c>
      <c r="W80" s="516"/>
      <c r="X80" s="587" t="s">
        <v>484</v>
      </c>
      <c r="Y80" s="590">
        <v>8</v>
      </c>
      <c r="Z80" s="445">
        <v>7</v>
      </c>
      <c r="AA80" s="461">
        <f>(Z80/Y80)*1</f>
        <v>0.875</v>
      </c>
      <c r="AB80" s="591"/>
      <c r="AC80" s="476"/>
      <c r="AD80" s="516"/>
      <c r="AE80" s="587"/>
      <c r="AF80" s="602"/>
      <c r="AG80" s="543"/>
      <c r="AH80" s="461" t="e">
        <f>(AG80/AF80)*1</f>
        <v>#DIV/0!</v>
      </c>
      <c r="AI80" s="628"/>
      <c r="AJ80" s="628"/>
      <c r="AK80" s="516"/>
      <c r="AL80" s="629"/>
      <c r="AM80" s="636"/>
      <c r="AN80" s="635"/>
      <c r="AO80" s="461" t="e">
        <f>(AN80/AM80)*1</f>
        <v>#DIV/0!</v>
      </c>
      <c r="AP80" s="749"/>
      <c r="AQ80" s="749"/>
      <c r="AR80" s="516"/>
      <c r="AS80" s="629"/>
      <c r="AT80" s="755"/>
      <c r="AU80" s="756"/>
      <c r="AV80" s="461" t="e">
        <f>(AU80/AT80)*1</f>
        <v>#DIV/0!</v>
      </c>
      <c r="AW80" s="778"/>
      <c r="AX80" s="767"/>
      <c r="AY80" s="516"/>
      <c r="AZ80" s="629"/>
      <c r="BA80" s="652">
        <v>4</v>
      </c>
      <c r="BB80" s="653">
        <v>3</v>
      </c>
      <c r="BC80" s="461">
        <f>(BB80/BA80)*1</f>
        <v>0.75</v>
      </c>
      <c r="BD80" s="650">
        <v>32000000</v>
      </c>
      <c r="BE80" s="650">
        <v>31440300</v>
      </c>
      <c r="BF80" s="516"/>
      <c r="BG80" s="651" t="s">
        <v>972</v>
      </c>
      <c r="BH80" s="785">
        <v>7</v>
      </c>
      <c r="BI80" s="653">
        <v>0</v>
      </c>
      <c r="BJ80" s="741">
        <f>(BI80/BH80)*1</f>
        <v>0</v>
      </c>
      <c r="BK80" s="689"/>
      <c r="BL80" s="650"/>
      <c r="BM80" s="653"/>
      <c r="BN80" s="786" t="s">
        <v>571</v>
      </c>
      <c r="BO80" s="590">
        <v>8</v>
      </c>
      <c r="BP80" s="445">
        <v>7</v>
      </c>
      <c r="BQ80" s="461">
        <f>(BP80/BO80)*1</f>
        <v>0.875</v>
      </c>
      <c r="BR80" s="591">
        <v>8655000</v>
      </c>
      <c r="BS80" s="476">
        <v>8655000</v>
      </c>
      <c r="BT80" s="516"/>
      <c r="BU80" s="786" t="s">
        <v>650</v>
      </c>
      <c r="BV80" s="742">
        <v>1</v>
      </c>
      <c r="BW80" s="445">
        <v>1</v>
      </c>
      <c r="BX80" s="461">
        <f>(BW80/BV80)*1</f>
        <v>1</v>
      </c>
      <c r="BY80" s="727">
        <v>28313000</v>
      </c>
      <c r="BZ80" s="470">
        <v>35000000</v>
      </c>
      <c r="CA80" s="466">
        <f>BY80/BZ80</f>
        <v>0.80894285714285719</v>
      </c>
      <c r="CB80" s="454" t="s">
        <v>1028</v>
      </c>
      <c r="CC80" s="728" t="s">
        <v>1075</v>
      </c>
      <c r="CD80" s="459">
        <v>1</v>
      </c>
      <c r="CE80" s="445">
        <v>1</v>
      </c>
      <c r="CF80" s="461">
        <f>(CE80/CD80)*1</f>
        <v>1</v>
      </c>
      <c r="CG80" s="462">
        <v>55000000</v>
      </c>
      <c r="CH80" s="464">
        <v>13973333</v>
      </c>
      <c r="CI80" s="466">
        <f>CH80/CG80</f>
        <v>0.25406060000000003</v>
      </c>
      <c r="CJ80" s="454" t="s">
        <v>1028</v>
      </c>
      <c r="CK80" s="468" t="s">
        <v>1139</v>
      </c>
      <c r="CL80" s="445">
        <v>10</v>
      </c>
      <c r="CM80" s="803">
        <v>8</v>
      </c>
      <c r="CN80" s="503">
        <f>CM80/CL80</f>
        <v>0.8</v>
      </c>
    </row>
    <row r="81" spans="1:92" ht="126.75" customHeight="1" thickBot="1" x14ac:dyDescent="0.3">
      <c r="A81" s="570"/>
      <c r="B81" s="567"/>
      <c r="C81" s="568"/>
      <c r="D81" s="548"/>
      <c r="E81" s="445"/>
      <c r="F81" s="445"/>
      <c r="G81" s="445"/>
      <c r="H81" s="456"/>
      <c r="I81" s="565"/>
      <c r="J81" s="445"/>
      <c r="K81" s="516"/>
      <c r="L81" s="516"/>
      <c r="M81" s="57"/>
      <c r="N81" s="516"/>
      <c r="O81" s="516"/>
      <c r="P81" s="516"/>
      <c r="Q81" s="593"/>
      <c r="R81" s="590"/>
      <c r="S81" s="445"/>
      <c r="T81" s="461"/>
      <c r="U81" s="591"/>
      <c r="V81" s="476"/>
      <c r="W81" s="516"/>
      <c r="X81" s="587"/>
      <c r="Y81" s="590"/>
      <c r="Z81" s="445"/>
      <c r="AA81" s="461"/>
      <c r="AB81" s="591"/>
      <c r="AC81" s="476"/>
      <c r="AD81" s="516"/>
      <c r="AE81" s="587"/>
      <c r="AF81" s="196">
        <v>7</v>
      </c>
      <c r="AG81" s="116">
        <v>7</v>
      </c>
      <c r="AH81" s="461"/>
      <c r="AI81" s="628"/>
      <c r="AJ81" s="628"/>
      <c r="AK81" s="516"/>
      <c r="AL81" s="192" t="s">
        <v>773</v>
      </c>
      <c r="AM81" s="147">
        <v>12</v>
      </c>
      <c r="AN81" s="68">
        <v>12</v>
      </c>
      <c r="AO81" s="461"/>
      <c r="AP81" s="749">
        <v>24350000</v>
      </c>
      <c r="AQ81" s="749">
        <v>12000000</v>
      </c>
      <c r="AR81" s="516"/>
      <c r="AS81" s="163" t="s">
        <v>851</v>
      </c>
      <c r="AT81" s="171">
        <v>12</v>
      </c>
      <c r="AU81" s="125">
        <v>12</v>
      </c>
      <c r="AV81" s="461"/>
      <c r="AW81" s="778">
        <v>25000000</v>
      </c>
      <c r="AX81" s="764">
        <v>23933333</v>
      </c>
      <c r="AY81" s="516"/>
      <c r="AZ81" s="174" t="s">
        <v>911</v>
      </c>
      <c r="BA81" s="652"/>
      <c r="BB81" s="653"/>
      <c r="BC81" s="461"/>
      <c r="BD81" s="650"/>
      <c r="BE81" s="650"/>
      <c r="BF81" s="516"/>
      <c r="BG81" s="651"/>
      <c r="BH81" s="785"/>
      <c r="BI81" s="653"/>
      <c r="BJ81" s="741"/>
      <c r="BK81" s="689"/>
      <c r="BL81" s="650"/>
      <c r="BM81" s="653"/>
      <c r="BN81" s="786"/>
      <c r="BO81" s="590"/>
      <c r="BP81" s="445"/>
      <c r="BQ81" s="461"/>
      <c r="BR81" s="591"/>
      <c r="BS81" s="476"/>
      <c r="BT81" s="516"/>
      <c r="BU81" s="587"/>
      <c r="BV81" s="480"/>
      <c r="BW81" s="445"/>
      <c r="BX81" s="461"/>
      <c r="BY81" s="463"/>
      <c r="BZ81" s="471"/>
      <c r="CA81" s="467"/>
      <c r="CB81" s="456"/>
      <c r="CC81" s="728"/>
      <c r="CD81" s="460"/>
      <c r="CE81" s="445"/>
      <c r="CF81" s="461"/>
      <c r="CG81" s="463"/>
      <c r="CH81" s="465"/>
      <c r="CI81" s="467"/>
      <c r="CJ81" s="456"/>
      <c r="CK81" s="469"/>
      <c r="CL81" s="445"/>
      <c r="CM81" s="567"/>
      <c r="CN81" s="542"/>
    </row>
    <row r="82" spans="1:92" ht="121.5" customHeight="1" x14ac:dyDescent="0.25">
      <c r="A82" s="562" t="s">
        <v>234</v>
      </c>
      <c r="B82" s="550" t="s">
        <v>235</v>
      </c>
      <c r="C82" s="552" t="s">
        <v>236</v>
      </c>
      <c r="D82" s="111" t="s">
        <v>237</v>
      </c>
      <c r="E82" s="47" t="s">
        <v>238</v>
      </c>
      <c r="F82" s="47" t="s">
        <v>239</v>
      </c>
      <c r="G82" s="47" t="s">
        <v>209</v>
      </c>
      <c r="H82" s="224" t="s">
        <v>1029</v>
      </c>
      <c r="I82" s="47">
        <v>5</v>
      </c>
      <c r="J82" s="47">
        <v>12</v>
      </c>
      <c r="K82" s="516" t="s">
        <v>291</v>
      </c>
      <c r="L82" s="516" t="s">
        <v>292</v>
      </c>
      <c r="M82" s="516" t="s">
        <v>293</v>
      </c>
      <c r="N82" s="516" t="s">
        <v>423</v>
      </c>
      <c r="O82" s="516" t="s">
        <v>365</v>
      </c>
      <c r="P82" s="516" t="s">
        <v>392</v>
      </c>
      <c r="Q82" s="109">
        <v>12</v>
      </c>
      <c r="R82" s="100">
        <v>5</v>
      </c>
      <c r="S82" s="63">
        <v>7</v>
      </c>
      <c r="T82" s="46">
        <v>1</v>
      </c>
      <c r="U82" s="55">
        <v>8655000</v>
      </c>
      <c r="V82" s="55">
        <v>8655000</v>
      </c>
      <c r="W82" s="516" t="s">
        <v>255</v>
      </c>
      <c r="X82" s="142" t="s">
        <v>485</v>
      </c>
      <c r="Y82" s="100">
        <v>5</v>
      </c>
      <c r="Z82" s="63">
        <v>7</v>
      </c>
      <c r="AA82" s="46">
        <v>1</v>
      </c>
      <c r="AB82" s="55"/>
      <c r="AC82" s="55"/>
      <c r="AD82" s="516" t="s">
        <v>255</v>
      </c>
      <c r="AE82" s="142"/>
      <c r="AF82" s="196">
        <v>0</v>
      </c>
      <c r="AG82" s="116">
        <v>0</v>
      </c>
      <c r="AH82" s="46">
        <v>1</v>
      </c>
      <c r="AI82" s="628"/>
      <c r="AJ82" s="628"/>
      <c r="AK82" s="516" t="s">
        <v>255</v>
      </c>
      <c r="AL82" s="192" t="s">
        <v>774</v>
      </c>
      <c r="AM82" s="147">
        <v>13</v>
      </c>
      <c r="AN82" s="68">
        <v>13</v>
      </c>
      <c r="AO82" s="46">
        <v>1</v>
      </c>
      <c r="AP82" s="749"/>
      <c r="AQ82" s="749"/>
      <c r="AR82" s="516" t="s">
        <v>255</v>
      </c>
      <c r="AS82" s="163" t="s">
        <v>852</v>
      </c>
      <c r="AT82" s="171">
        <v>13</v>
      </c>
      <c r="AU82" s="125">
        <v>0</v>
      </c>
      <c r="AV82" s="46">
        <v>1</v>
      </c>
      <c r="AW82" s="778"/>
      <c r="AX82" s="764"/>
      <c r="AY82" s="516" t="s">
        <v>255</v>
      </c>
      <c r="AZ82" s="174" t="s">
        <v>912</v>
      </c>
      <c r="BA82" s="157">
        <v>12</v>
      </c>
      <c r="BB82" s="131">
        <v>7</v>
      </c>
      <c r="BC82" s="46">
        <v>1</v>
      </c>
      <c r="BD82" s="650">
        <v>32000000</v>
      </c>
      <c r="BE82" s="650">
        <v>32000000</v>
      </c>
      <c r="BF82" s="516" t="s">
        <v>255</v>
      </c>
      <c r="BG82" s="142" t="s">
        <v>973</v>
      </c>
      <c r="BH82" s="157">
        <v>3</v>
      </c>
      <c r="BI82" s="88">
        <v>4</v>
      </c>
      <c r="BJ82" s="89">
        <v>1</v>
      </c>
      <c r="BK82" s="73"/>
      <c r="BL82" s="73"/>
      <c r="BM82" s="653" t="s">
        <v>255</v>
      </c>
      <c r="BN82" s="142" t="s">
        <v>572</v>
      </c>
      <c r="BO82" s="100">
        <v>5</v>
      </c>
      <c r="BP82" s="63">
        <v>6</v>
      </c>
      <c r="BQ82" s="46">
        <v>1</v>
      </c>
      <c r="BR82" s="55">
        <v>8655000</v>
      </c>
      <c r="BS82" s="55">
        <v>8655000</v>
      </c>
      <c r="BT82" s="516" t="s">
        <v>255</v>
      </c>
      <c r="BU82" s="141" t="s">
        <v>651</v>
      </c>
      <c r="BV82" s="68">
        <v>12</v>
      </c>
      <c r="BW82" s="63">
        <v>5</v>
      </c>
      <c r="BX82" s="46">
        <f>BW82/BV82</f>
        <v>0.41666666666666669</v>
      </c>
      <c r="BY82" s="55">
        <f>34620000+
500000000</f>
        <v>534620000</v>
      </c>
      <c r="BZ82" s="240">
        <f>28800000+
50000000</f>
        <v>78800000</v>
      </c>
      <c r="CA82" s="46">
        <f>BZ82/BY82</f>
        <v>0.14739441098350231</v>
      </c>
      <c r="CB82" s="224" t="s">
        <v>1029</v>
      </c>
      <c r="CC82" s="255" t="s">
        <v>1076</v>
      </c>
      <c r="CD82" s="68">
        <v>5</v>
      </c>
      <c r="CE82" s="63">
        <v>5</v>
      </c>
      <c r="CF82" s="46">
        <f>CE82/CD82</f>
        <v>1</v>
      </c>
      <c r="CG82" s="55">
        <f>55000000+34620000+714286+
500000000</f>
        <v>590334286</v>
      </c>
      <c r="CH82" s="425">
        <f>28800000+714286+
50000000</f>
        <v>79514286</v>
      </c>
      <c r="CI82" s="46">
        <f>CH82/CG82</f>
        <v>0.13469366066940588</v>
      </c>
      <c r="CJ82" s="224" t="s">
        <v>1029</v>
      </c>
      <c r="CK82" s="424" t="s">
        <v>1154</v>
      </c>
      <c r="CL82" s="47">
        <v>12</v>
      </c>
      <c r="CM82" s="219">
        <v>5</v>
      </c>
      <c r="CN82" s="46">
        <f>CM82/CL82</f>
        <v>0.41666666666666669</v>
      </c>
    </row>
    <row r="83" spans="1:92" ht="267" customHeight="1" x14ac:dyDescent="0.25">
      <c r="A83" s="563"/>
      <c r="B83" s="551"/>
      <c r="C83" s="553"/>
      <c r="D83" s="111" t="s">
        <v>240</v>
      </c>
      <c r="E83" s="47" t="s">
        <v>241</v>
      </c>
      <c r="F83" s="47" t="s">
        <v>242</v>
      </c>
      <c r="G83" s="47" t="s">
        <v>243</v>
      </c>
      <c r="H83" s="85" t="s">
        <v>1030</v>
      </c>
      <c r="I83" s="47">
        <v>2</v>
      </c>
      <c r="J83" s="47">
        <v>13</v>
      </c>
      <c r="K83" s="516"/>
      <c r="L83" s="516"/>
      <c r="M83" s="516"/>
      <c r="N83" s="516"/>
      <c r="O83" s="516"/>
      <c r="P83" s="516"/>
      <c r="Q83" s="109">
        <v>13</v>
      </c>
      <c r="R83" s="100">
        <v>0</v>
      </c>
      <c r="S83" s="63">
        <v>12</v>
      </c>
      <c r="T83" s="46">
        <v>1</v>
      </c>
      <c r="U83" s="55">
        <v>8655000</v>
      </c>
      <c r="V83" s="55">
        <v>8655000</v>
      </c>
      <c r="W83" s="516"/>
      <c r="X83" s="97" t="s">
        <v>489</v>
      </c>
      <c r="Y83" s="100">
        <v>0</v>
      </c>
      <c r="Z83" s="63">
        <v>12</v>
      </c>
      <c r="AA83" s="46">
        <v>1</v>
      </c>
      <c r="AB83" s="55"/>
      <c r="AC83" s="55"/>
      <c r="AD83" s="516"/>
      <c r="AE83" s="97"/>
      <c r="AF83" s="196">
        <v>12</v>
      </c>
      <c r="AG83" s="116">
        <v>12</v>
      </c>
      <c r="AH83" s="46">
        <v>1</v>
      </c>
      <c r="AI83" s="628"/>
      <c r="AJ83" s="628"/>
      <c r="AK83" s="516"/>
      <c r="AL83" s="192" t="s">
        <v>775</v>
      </c>
      <c r="AM83" s="147">
        <v>12</v>
      </c>
      <c r="AN83" s="68">
        <v>12</v>
      </c>
      <c r="AO83" s="46">
        <v>1</v>
      </c>
      <c r="AP83" s="749"/>
      <c r="AQ83" s="749"/>
      <c r="AR83" s="516"/>
      <c r="AS83" s="163" t="s">
        <v>853</v>
      </c>
      <c r="AT83" s="171">
        <v>12</v>
      </c>
      <c r="AU83" s="125">
        <v>13</v>
      </c>
      <c r="AV83" s="46">
        <v>1</v>
      </c>
      <c r="AW83" s="778"/>
      <c r="AX83" s="764"/>
      <c r="AY83" s="516"/>
      <c r="AZ83" s="174" t="s">
        <v>913</v>
      </c>
      <c r="BA83" s="157">
        <v>13</v>
      </c>
      <c r="BB83" s="131">
        <v>13</v>
      </c>
      <c r="BC83" s="46">
        <v>1</v>
      </c>
      <c r="BD83" s="650"/>
      <c r="BE83" s="650"/>
      <c r="BF83" s="516"/>
      <c r="BG83" s="168" t="s">
        <v>1038</v>
      </c>
      <c r="BH83" s="157">
        <v>0</v>
      </c>
      <c r="BI83" s="88">
        <v>0</v>
      </c>
      <c r="BJ83" s="89">
        <v>1</v>
      </c>
      <c r="BK83" s="73" t="s">
        <v>573</v>
      </c>
      <c r="BL83" s="73" t="s">
        <v>574</v>
      </c>
      <c r="BM83" s="653"/>
      <c r="BN83" s="146" t="s">
        <v>575</v>
      </c>
      <c r="BO83" s="100">
        <v>0</v>
      </c>
      <c r="BP83" s="63">
        <v>12</v>
      </c>
      <c r="BQ83" s="46">
        <v>1</v>
      </c>
      <c r="BR83" s="55">
        <v>8655000</v>
      </c>
      <c r="BS83" s="55">
        <v>8655000</v>
      </c>
      <c r="BT83" s="516"/>
      <c r="BU83" s="97" t="s">
        <v>652</v>
      </c>
      <c r="BV83" s="68">
        <v>12</v>
      </c>
      <c r="BW83" s="63">
        <v>12</v>
      </c>
      <c r="BX83" s="46">
        <v>1</v>
      </c>
      <c r="BY83" s="55">
        <v>34620000</v>
      </c>
      <c r="BZ83" s="240">
        <v>28800000</v>
      </c>
      <c r="CA83" s="46">
        <f>BZ83/BY83</f>
        <v>0.83188908145580587</v>
      </c>
      <c r="CB83" s="85" t="s">
        <v>1030</v>
      </c>
      <c r="CC83" s="252" t="s">
        <v>1077</v>
      </c>
      <c r="CD83" s="68">
        <v>13</v>
      </c>
      <c r="CE83" s="63">
        <v>12</v>
      </c>
      <c r="CF83" s="46">
        <f>CE83/CD83</f>
        <v>0.92307692307692313</v>
      </c>
      <c r="CG83" s="55">
        <f>55000000+34620000+714286</f>
        <v>90334286</v>
      </c>
      <c r="CH83" s="425">
        <f>28800000+714286</f>
        <v>29514286</v>
      </c>
      <c r="CI83" s="46">
        <f>CH83/CG83</f>
        <v>0.32672296762272524</v>
      </c>
      <c r="CJ83" s="85" t="s">
        <v>1030</v>
      </c>
      <c r="CK83" s="419" t="s">
        <v>1140</v>
      </c>
      <c r="CL83" s="47">
        <v>13</v>
      </c>
      <c r="CM83" s="63">
        <v>13</v>
      </c>
      <c r="CN83" s="46">
        <f>CM83/CL83</f>
        <v>1</v>
      </c>
    </row>
    <row r="84" spans="1:92" ht="236.25" customHeight="1" x14ac:dyDescent="0.25">
      <c r="A84" s="563"/>
      <c r="B84" s="551"/>
      <c r="C84" s="553"/>
      <c r="D84" s="111" t="s">
        <v>244</v>
      </c>
      <c r="E84" s="47" t="s">
        <v>245</v>
      </c>
      <c r="F84" s="47" t="s">
        <v>246</v>
      </c>
      <c r="G84" s="47" t="s">
        <v>247</v>
      </c>
      <c r="H84" s="85" t="s">
        <v>1030</v>
      </c>
      <c r="I84" s="47">
        <v>12</v>
      </c>
      <c r="J84" s="47">
        <v>13</v>
      </c>
      <c r="K84" s="516"/>
      <c r="L84" s="516"/>
      <c r="M84" s="516"/>
      <c r="N84" s="516"/>
      <c r="O84" s="516"/>
      <c r="P84" s="516"/>
      <c r="Q84" s="109">
        <v>13</v>
      </c>
      <c r="R84" s="100">
        <v>12</v>
      </c>
      <c r="S84" s="63">
        <v>12</v>
      </c>
      <c r="T84" s="34">
        <f t="shared" ref="T84" si="11">(S84/R84)*1</f>
        <v>1</v>
      </c>
      <c r="U84" s="55">
        <v>8655000</v>
      </c>
      <c r="V84" s="55">
        <v>8655000</v>
      </c>
      <c r="W84" s="516"/>
      <c r="X84" s="97" t="s">
        <v>486</v>
      </c>
      <c r="Y84" s="100">
        <v>12</v>
      </c>
      <c r="Z84" s="63">
        <v>12</v>
      </c>
      <c r="AA84" s="34">
        <f t="shared" ref="AA84" si="12">(Z84/Y84)*1</f>
        <v>1</v>
      </c>
      <c r="AB84" s="55"/>
      <c r="AC84" s="55"/>
      <c r="AD84" s="516"/>
      <c r="AE84" s="97"/>
      <c r="AF84" s="196">
        <v>13</v>
      </c>
      <c r="AG84" s="116">
        <v>5</v>
      </c>
      <c r="AH84" s="34">
        <f t="shared" ref="AH84" si="13">(AG84/AF84)*1</f>
        <v>0.38461538461538464</v>
      </c>
      <c r="AI84" s="628"/>
      <c r="AJ84" s="628"/>
      <c r="AK84" s="516"/>
      <c r="AL84" s="192" t="s">
        <v>776</v>
      </c>
      <c r="AM84" s="147">
        <v>13</v>
      </c>
      <c r="AN84" s="68">
        <v>10</v>
      </c>
      <c r="AO84" s="34">
        <f t="shared" ref="AO84" si="14">(AN84/AM84)*1</f>
        <v>0.76923076923076927</v>
      </c>
      <c r="AP84" s="749"/>
      <c r="AQ84" s="749"/>
      <c r="AR84" s="516"/>
      <c r="AS84" s="163" t="s">
        <v>854</v>
      </c>
      <c r="AT84" s="171">
        <v>13</v>
      </c>
      <c r="AU84" s="125">
        <v>11</v>
      </c>
      <c r="AV84" s="34">
        <f t="shared" ref="AV84" si="15">(AU84/AT84)*1</f>
        <v>0.84615384615384615</v>
      </c>
      <c r="AW84" s="778"/>
      <c r="AX84" s="764"/>
      <c r="AY84" s="516"/>
      <c r="AZ84" s="174" t="s">
        <v>914</v>
      </c>
      <c r="BA84" s="157">
        <v>12</v>
      </c>
      <c r="BB84" s="131">
        <v>12</v>
      </c>
      <c r="BC84" s="34">
        <f t="shared" ref="BC84" si="16">(BB84/BA84)*1</f>
        <v>1</v>
      </c>
      <c r="BD84" s="650"/>
      <c r="BE84" s="650"/>
      <c r="BF84" s="516"/>
      <c r="BG84" s="168" t="s">
        <v>974</v>
      </c>
      <c r="BH84" s="157">
        <v>11</v>
      </c>
      <c r="BI84" s="88">
        <v>11</v>
      </c>
      <c r="BJ84" s="70">
        <f t="shared" ref="BJ84" si="17">(BI84/BH84)*1</f>
        <v>1</v>
      </c>
      <c r="BK84" s="73" t="s">
        <v>576</v>
      </c>
      <c r="BL84" s="73" t="s">
        <v>577</v>
      </c>
      <c r="BM84" s="653"/>
      <c r="BN84" s="146" t="s">
        <v>578</v>
      </c>
      <c r="BO84" s="100">
        <v>12</v>
      </c>
      <c r="BP84" s="63">
        <v>11</v>
      </c>
      <c r="BQ84" s="34">
        <f t="shared" ref="BQ84" si="18">(BP84/BO84)*1</f>
        <v>0.91666666666666663</v>
      </c>
      <c r="BR84" s="55">
        <v>8655000</v>
      </c>
      <c r="BS84" s="55">
        <v>8655000</v>
      </c>
      <c r="BT84" s="516"/>
      <c r="BU84" s="146" t="s">
        <v>653</v>
      </c>
      <c r="BV84" s="68">
        <v>13</v>
      </c>
      <c r="BW84" s="63">
        <v>13</v>
      </c>
      <c r="BX84" s="34">
        <f t="shared" ref="BX84" si="19">(BW84/BV84)*1</f>
        <v>1</v>
      </c>
      <c r="BY84" s="55">
        <v>34620000</v>
      </c>
      <c r="BZ84" s="240">
        <v>28850000</v>
      </c>
      <c r="CA84" s="34">
        <f>BZ84/BY84</f>
        <v>0.83333333333333337</v>
      </c>
      <c r="CB84" s="85" t="s">
        <v>1030</v>
      </c>
      <c r="CC84" s="252" t="s">
        <v>1078</v>
      </c>
      <c r="CD84" s="68">
        <v>13</v>
      </c>
      <c r="CE84" s="63">
        <v>13</v>
      </c>
      <c r="CF84" s="34">
        <f t="shared" ref="CF84" si="20">(CE84/CD84)*1</f>
        <v>1</v>
      </c>
      <c r="CG84" s="55">
        <f>55000000+34620000+714286</f>
        <v>90334286</v>
      </c>
      <c r="CH84" s="425">
        <f>28850000+714286</f>
        <v>29564286</v>
      </c>
      <c r="CI84" s="34">
        <f>CH84/CG84</f>
        <v>0.32727646732050331</v>
      </c>
      <c r="CJ84" s="85" t="s">
        <v>1030</v>
      </c>
      <c r="CK84" s="419" t="s">
        <v>1155</v>
      </c>
      <c r="CL84" s="47">
        <v>13</v>
      </c>
      <c r="CM84" s="63">
        <v>13</v>
      </c>
      <c r="CN84" s="46">
        <f>CM84/CL84</f>
        <v>1</v>
      </c>
    </row>
    <row r="85" spans="1:92" ht="171" customHeight="1" thickBot="1" x14ac:dyDescent="0.3">
      <c r="A85" s="566"/>
      <c r="B85" s="567"/>
      <c r="C85" s="568"/>
      <c r="D85" s="113" t="s">
        <v>248</v>
      </c>
      <c r="E85" s="64" t="s">
        <v>249</v>
      </c>
      <c r="F85" s="64" t="s">
        <v>250</v>
      </c>
      <c r="G85" s="64" t="s">
        <v>247</v>
      </c>
      <c r="H85" s="225" t="s">
        <v>1030</v>
      </c>
      <c r="I85" s="64">
        <v>0</v>
      </c>
      <c r="J85" s="64">
        <v>13</v>
      </c>
      <c r="K85" s="585"/>
      <c r="L85" s="585"/>
      <c r="M85" s="585"/>
      <c r="N85" s="585"/>
      <c r="O85" s="585"/>
      <c r="P85" s="585"/>
      <c r="Q85" s="114">
        <v>13</v>
      </c>
      <c r="R85" s="101">
        <v>13</v>
      </c>
      <c r="S85" s="102">
        <v>4</v>
      </c>
      <c r="T85" s="103">
        <f>S85/R85</f>
        <v>0.30769230769230771</v>
      </c>
      <c r="U85" s="104">
        <v>8655000</v>
      </c>
      <c r="V85" s="105">
        <v>8655000</v>
      </c>
      <c r="W85" s="585"/>
      <c r="X85" s="106" t="s">
        <v>487</v>
      </c>
      <c r="Y85" s="101">
        <v>13</v>
      </c>
      <c r="Z85" s="102">
        <v>10</v>
      </c>
      <c r="AA85" s="103">
        <f>Z85/Y85</f>
        <v>0.76923076923076927</v>
      </c>
      <c r="AB85" s="104"/>
      <c r="AC85" s="104"/>
      <c r="AD85" s="585"/>
      <c r="AE85" s="106"/>
      <c r="AF85" s="101">
        <v>13</v>
      </c>
      <c r="AG85" s="102">
        <v>4</v>
      </c>
      <c r="AH85" s="103">
        <f>AG85/AF85</f>
        <v>0.30769230769230771</v>
      </c>
      <c r="AI85" s="104">
        <v>8655000</v>
      </c>
      <c r="AJ85" s="105">
        <v>8655000</v>
      </c>
      <c r="AK85" s="585"/>
      <c r="AL85" s="106"/>
      <c r="AM85" s="101">
        <v>13</v>
      </c>
      <c r="AN85" s="102">
        <v>10</v>
      </c>
      <c r="AO85" s="103">
        <f>AN85/AM85</f>
        <v>0.76923076923076927</v>
      </c>
      <c r="AP85" s="104" t="s">
        <v>491</v>
      </c>
      <c r="AQ85" s="104" t="s">
        <v>490</v>
      </c>
      <c r="AR85" s="585"/>
      <c r="AS85" s="106" t="s">
        <v>464</v>
      </c>
      <c r="AT85" s="101">
        <v>13</v>
      </c>
      <c r="AU85" s="102">
        <v>4</v>
      </c>
      <c r="AV85" s="103">
        <f>AU85/AT85</f>
        <v>0.30769230769230771</v>
      </c>
      <c r="AW85" s="104">
        <v>8655000</v>
      </c>
      <c r="AX85" s="105">
        <v>8655000</v>
      </c>
      <c r="AY85" s="585"/>
      <c r="AZ85" s="106" t="s">
        <v>487</v>
      </c>
      <c r="BA85" s="158">
        <v>13</v>
      </c>
      <c r="BB85" s="169">
        <v>13</v>
      </c>
      <c r="BC85" s="103">
        <f>BB85/BA85</f>
        <v>1</v>
      </c>
      <c r="BD85" s="777"/>
      <c r="BE85" s="777"/>
      <c r="BF85" s="585"/>
      <c r="BG85" s="170" t="s">
        <v>975</v>
      </c>
      <c r="BH85" s="158">
        <v>13</v>
      </c>
      <c r="BI85" s="132">
        <v>7</v>
      </c>
      <c r="BJ85" s="159">
        <f>(BI85/BH85)*1</f>
        <v>0.53846153846153844</v>
      </c>
      <c r="BK85" s="160" t="s">
        <v>579</v>
      </c>
      <c r="BL85" s="161">
        <v>400</v>
      </c>
      <c r="BM85" s="696"/>
      <c r="BN85" s="162" t="s">
        <v>580</v>
      </c>
      <c r="BO85" s="101">
        <v>13</v>
      </c>
      <c r="BP85" s="102">
        <v>5</v>
      </c>
      <c r="BQ85" s="103">
        <f>BP85/BO85</f>
        <v>0.38461538461538464</v>
      </c>
      <c r="BR85" s="104">
        <v>8655000</v>
      </c>
      <c r="BS85" s="105">
        <v>8655000</v>
      </c>
      <c r="BT85" s="585"/>
      <c r="BU85" s="106" t="s">
        <v>654</v>
      </c>
      <c r="BV85" s="68">
        <v>13</v>
      </c>
      <c r="BW85" s="223">
        <v>13</v>
      </c>
      <c r="BX85" s="103">
        <f>BW85/BV85</f>
        <v>1</v>
      </c>
      <c r="BY85" s="55">
        <f>34620000+
273979122+
950000+1360000</f>
        <v>310909122</v>
      </c>
      <c r="BZ85" s="55">
        <f>28850000+
142116458+
950000+1360000</f>
        <v>173276458</v>
      </c>
      <c r="CA85" s="31">
        <f>BZ85/BY85</f>
        <v>0.55732188520348402</v>
      </c>
      <c r="CB85" s="225" t="s">
        <v>1030</v>
      </c>
      <c r="CC85" s="247" t="s">
        <v>1086</v>
      </c>
      <c r="CD85" s="68">
        <v>13</v>
      </c>
      <c r="CE85" s="223">
        <v>13</v>
      </c>
      <c r="CF85" s="103">
        <f>CE85/CD85</f>
        <v>1</v>
      </c>
      <c r="CG85" s="55">
        <f>34620000+714286+
273979122+
950000+1360000</f>
        <v>311623408</v>
      </c>
      <c r="CH85" s="429">
        <f>28850000+714286+
142116458+
950000+1360000</f>
        <v>173990744</v>
      </c>
      <c r="CI85" s="31">
        <f>CH85/CG85</f>
        <v>0.55833656757903116</v>
      </c>
      <c r="CJ85" s="225" t="s">
        <v>1030</v>
      </c>
      <c r="CK85" s="420" t="s">
        <v>1141</v>
      </c>
      <c r="CL85" s="64">
        <v>13</v>
      </c>
      <c r="CM85" s="63">
        <v>13</v>
      </c>
      <c r="CN85" s="46">
        <f>CM85/CL85</f>
        <v>1</v>
      </c>
    </row>
    <row r="86" spans="1:92" x14ac:dyDescent="0.25">
      <c r="C86" s="48"/>
      <c r="Q86" s="67"/>
      <c r="R86" s="29"/>
      <c r="T86" s="15"/>
      <c r="U86" s="51"/>
      <c r="V86" s="51"/>
      <c r="W86" s="2"/>
      <c r="X86" s="2"/>
      <c r="Y86" s="29"/>
      <c r="AA86" s="15"/>
      <c r="AB86" s="51"/>
      <c r="AC86" s="51"/>
      <c r="AD86" s="2"/>
      <c r="AE86" s="2"/>
      <c r="AI86" s="2"/>
      <c r="AJ86" s="2"/>
      <c r="AK86" s="2"/>
      <c r="AL86" s="2"/>
      <c r="AM86" s="2"/>
      <c r="AN86" s="2"/>
      <c r="AO86" s="2"/>
      <c r="AP86" s="2"/>
      <c r="AQ86" s="2"/>
      <c r="AR86" s="2"/>
      <c r="AS86" s="2"/>
      <c r="AT86" s="2"/>
      <c r="AU86" s="2"/>
      <c r="AV86" s="2"/>
      <c r="AW86" s="2"/>
      <c r="AX86" s="2"/>
      <c r="AY86" s="2"/>
      <c r="AZ86" s="2"/>
      <c r="BA86" s="2"/>
      <c r="BB86" s="2"/>
      <c r="BC86" s="2"/>
      <c r="BD86" s="2"/>
      <c r="BE86" s="2"/>
      <c r="BW86" s="2"/>
      <c r="CE86" s="2"/>
    </row>
    <row r="87" spans="1:92" ht="15.75" thickBot="1" x14ac:dyDescent="0.3">
      <c r="Q87" s="67"/>
      <c r="R87" s="29"/>
      <c r="S87" s="29"/>
      <c r="T87" s="15"/>
      <c r="U87" s="51"/>
      <c r="V87" s="51"/>
      <c r="W87" s="2"/>
      <c r="X87" s="2"/>
      <c r="Y87" s="29"/>
      <c r="Z87" s="29"/>
      <c r="AA87" s="15"/>
      <c r="AB87" s="51"/>
      <c r="AC87" s="51"/>
      <c r="AD87" s="2"/>
      <c r="AE87" s="2"/>
      <c r="AI87" s="2"/>
      <c r="AJ87" s="2"/>
      <c r="AK87" s="2"/>
      <c r="AL87" s="2"/>
      <c r="AM87" s="2"/>
      <c r="AN87" s="2"/>
      <c r="AO87" s="2"/>
      <c r="AP87" s="2"/>
      <c r="AQ87" s="2"/>
      <c r="AR87" s="2"/>
      <c r="AS87" s="2"/>
      <c r="AT87" s="2"/>
      <c r="AU87" s="2"/>
      <c r="AV87" s="2"/>
      <c r="AW87" s="2"/>
      <c r="AX87" s="2"/>
      <c r="AY87" s="2"/>
      <c r="AZ87" s="2"/>
      <c r="BA87" s="2"/>
      <c r="BB87" s="2"/>
      <c r="BC87" s="2"/>
      <c r="BD87" s="2"/>
      <c r="BE87" s="2"/>
      <c r="BX87" s="238">
        <f>AVERAGE(BX4:BX85)</f>
        <v>0.72294908925318746</v>
      </c>
      <c r="BZ87" t="s">
        <v>1032</v>
      </c>
      <c r="CA87" s="233">
        <f>AVERAGE(CA4:CA85)</f>
        <v>0.52647452829838126</v>
      </c>
      <c r="CF87" s="238">
        <f>AVERAGE(CF4:CF85)</f>
        <v>0.69252730839288212</v>
      </c>
      <c r="CH87" s="433" t="s">
        <v>1032</v>
      </c>
      <c r="CI87" s="233" t="e">
        <f>AVERAGE(CI4:CI85)</f>
        <v>#VALUE!</v>
      </c>
      <c r="CL87" t="s">
        <v>986</v>
      </c>
      <c r="CN87" s="236">
        <f>AVERAGE(CN4:CN85)</f>
        <v>0.63623224043715854</v>
      </c>
    </row>
    <row r="88" spans="1:92" x14ac:dyDescent="0.25">
      <c r="Q88" s="67"/>
      <c r="R88" s="29"/>
      <c r="S88" s="29"/>
      <c r="T88" s="15"/>
      <c r="U88" s="3"/>
      <c r="V88" s="3"/>
      <c r="W88" s="2"/>
      <c r="X88" s="2"/>
      <c r="Y88" s="29"/>
      <c r="Z88" s="29"/>
      <c r="AA88" s="15"/>
      <c r="AB88" s="3"/>
      <c r="AC88" s="3"/>
      <c r="AD88" s="2"/>
      <c r="AE88" s="2"/>
      <c r="AI88" s="2"/>
      <c r="AJ88" s="2"/>
      <c r="AK88" s="2"/>
      <c r="AL88" s="2"/>
      <c r="AM88" s="2"/>
      <c r="AN88" s="2"/>
      <c r="AO88" s="2"/>
      <c r="AP88" s="2"/>
      <c r="AQ88" s="2"/>
      <c r="AR88" s="2"/>
      <c r="AS88" s="2"/>
      <c r="AT88" s="2"/>
      <c r="AU88" s="2"/>
      <c r="AV88" s="2"/>
      <c r="AW88" s="2"/>
      <c r="AX88" s="2"/>
      <c r="AY88" s="2"/>
      <c r="AZ88" s="2"/>
      <c r="BA88" s="2"/>
      <c r="BB88" s="2"/>
      <c r="BC88" s="2"/>
      <c r="BD88" s="2"/>
      <c r="BE88" s="2"/>
      <c r="BU88" s="802"/>
      <c r="BV88" s="802"/>
      <c r="BW88" s="802"/>
      <c r="BX88" s="220"/>
    </row>
    <row r="89" spans="1:92" x14ac:dyDescent="0.25">
      <c r="Q89" s="67"/>
      <c r="R89" s="29"/>
      <c r="S89" s="29"/>
      <c r="T89" s="15"/>
      <c r="U89" s="3"/>
      <c r="V89" s="3"/>
      <c r="W89" s="2"/>
      <c r="X89" s="2"/>
      <c r="Y89" s="29"/>
      <c r="Z89" s="29"/>
      <c r="AA89" s="15"/>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92" x14ac:dyDescent="0.25">
      <c r="Q90" s="67"/>
      <c r="R90" s="29"/>
      <c r="S90" s="29"/>
      <c r="T90" s="15"/>
      <c r="U90" s="3"/>
      <c r="V90" s="3"/>
      <c r="W90" s="2"/>
      <c r="X90" s="2"/>
      <c r="Y90" s="29"/>
      <c r="Z90" s="29"/>
      <c r="AA90" s="15"/>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92" x14ac:dyDescent="0.25">
      <c r="Q91" s="67"/>
      <c r="R91" s="29"/>
      <c r="S91" s="29"/>
      <c r="T91" s="15"/>
      <c r="U91" s="3"/>
      <c r="V91" s="3"/>
      <c r="W91" s="2"/>
      <c r="X91" s="2"/>
      <c r="Y91" s="29"/>
      <c r="Z91" s="29"/>
      <c r="AA91" s="15"/>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92" x14ac:dyDescent="0.25">
      <c r="Q92" s="67"/>
      <c r="R92" s="29"/>
      <c r="S92" s="29"/>
      <c r="T92" s="15"/>
      <c r="U92" s="3"/>
      <c r="V92" s="3"/>
      <c r="W92" s="2"/>
      <c r="X92" s="2"/>
      <c r="Y92" s="29"/>
      <c r="Z92" s="29"/>
      <c r="AA92" s="15"/>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92" x14ac:dyDescent="0.25">
      <c r="Q93" s="67"/>
      <c r="R93" s="29"/>
      <c r="S93" s="29"/>
      <c r="T93" s="15"/>
      <c r="U93" s="3"/>
      <c r="V93" s="3"/>
      <c r="W93" s="2"/>
      <c r="X93" s="2"/>
      <c r="Y93" s="29"/>
      <c r="Z93" s="29"/>
      <c r="AA93" s="15"/>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92" x14ac:dyDescent="0.25">
      <c r="Q94" s="67"/>
      <c r="R94" s="29"/>
      <c r="S94" s="29"/>
      <c r="T94" s="15"/>
      <c r="U94" s="3"/>
      <c r="V94" s="3"/>
      <c r="W94" s="2"/>
      <c r="X94" s="2"/>
      <c r="Y94" s="29"/>
      <c r="Z94" s="29"/>
      <c r="AA94" s="15"/>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92" x14ac:dyDescent="0.25">
      <c r="Q95" s="67"/>
      <c r="R95" s="29"/>
      <c r="S95" s="29"/>
      <c r="T95" s="15"/>
      <c r="U95" s="3"/>
      <c r="V95" s="3"/>
      <c r="W95" s="2"/>
      <c r="X95" s="2"/>
      <c r="Y95" s="29"/>
      <c r="Z95" s="29"/>
      <c r="AA95" s="15"/>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92" x14ac:dyDescent="0.25">
      <c r="Q96" s="67"/>
      <c r="R96" s="29"/>
      <c r="S96" s="29"/>
      <c r="T96" s="15"/>
      <c r="U96" s="3"/>
      <c r="V96" s="3"/>
      <c r="W96" s="2"/>
      <c r="X96" s="2"/>
      <c r="Y96" s="29"/>
      <c r="Z96" s="29"/>
      <c r="AA96" s="15"/>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67"/>
      <c r="R97" s="29"/>
      <c r="S97" s="29"/>
      <c r="T97" s="15"/>
      <c r="U97" s="3"/>
      <c r="V97" s="3"/>
      <c r="W97" s="2"/>
      <c r="X97" s="2"/>
      <c r="Y97" s="29"/>
      <c r="Z97" s="29"/>
      <c r="AA97" s="15"/>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67"/>
      <c r="R98" s="29"/>
      <c r="S98" s="29"/>
      <c r="T98" s="15"/>
      <c r="U98" s="3"/>
      <c r="V98" s="3"/>
      <c r="W98" s="2"/>
      <c r="X98" s="2"/>
      <c r="Y98" s="29"/>
      <c r="Z98" s="29"/>
      <c r="AA98" s="15"/>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67"/>
      <c r="R99" s="29"/>
      <c r="S99" s="29"/>
      <c r="T99" s="15"/>
      <c r="U99" s="3"/>
      <c r="V99" s="3"/>
      <c r="W99" s="2"/>
      <c r="X99" s="2"/>
      <c r="Y99" s="29"/>
      <c r="Z99" s="29"/>
      <c r="AA99" s="15"/>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67"/>
      <c r="R100" s="29"/>
      <c r="S100" s="29"/>
      <c r="T100" s="15"/>
      <c r="U100" s="3"/>
      <c r="V100" s="3"/>
      <c r="W100" s="2"/>
      <c r="X100" s="2"/>
      <c r="Y100" s="29"/>
      <c r="Z100" s="29"/>
      <c r="AA100" s="15"/>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67"/>
      <c r="R101" s="29"/>
      <c r="S101" s="29"/>
      <c r="T101" s="15"/>
      <c r="U101" s="3"/>
      <c r="V101" s="3"/>
      <c r="W101" s="2"/>
      <c r="X101" s="2"/>
      <c r="Y101" s="29"/>
      <c r="Z101" s="29"/>
      <c r="AA101" s="15"/>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67"/>
      <c r="R102" s="29"/>
      <c r="S102" s="29"/>
      <c r="T102" s="15"/>
      <c r="U102" s="3"/>
      <c r="V102" s="3"/>
      <c r="W102" s="2"/>
      <c r="X102" s="2"/>
      <c r="Y102" s="29"/>
      <c r="Z102" s="29"/>
      <c r="AA102" s="15"/>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67"/>
      <c r="R103" s="29"/>
      <c r="S103" s="29"/>
      <c r="T103" s="15"/>
      <c r="U103" s="3"/>
      <c r="V103" s="3"/>
      <c r="W103" s="2"/>
      <c r="X103" s="2"/>
      <c r="Y103" s="29"/>
      <c r="Z103" s="29"/>
      <c r="AA103" s="15"/>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67"/>
      <c r="R104" s="29"/>
      <c r="S104" s="29"/>
      <c r="T104" s="15"/>
      <c r="U104" s="3"/>
      <c r="V104" s="3"/>
      <c r="W104" s="2"/>
      <c r="X104" s="2"/>
      <c r="Y104" s="29"/>
      <c r="Z104" s="29"/>
      <c r="AA104" s="15"/>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67"/>
      <c r="R105" s="29"/>
      <c r="S105" s="29"/>
      <c r="T105" s="15"/>
      <c r="U105" s="3"/>
      <c r="V105" s="3"/>
      <c r="W105" s="2"/>
      <c r="X105" s="2"/>
      <c r="Y105" s="29"/>
      <c r="Z105" s="29"/>
      <c r="AA105" s="15"/>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67"/>
      <c r="R106" s="29"/>
      <c r="S106" s="29"/>
      <c r="T106" s="15"/>
      <c r="U106" s="3"/>
      <c r="V106" s="3"/>
      <c r="W106" s="2"/>
      <c r="X106" s="2"/>
      <c r="Y106" s="29"/>
      <c r="Z106" s="29"/>
      <c r="AA106" s="15"/>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67"/>
      <c r="R107" s="29"/>
      <c r="S107" s="29"/>
      <c r="T107" s="15"/>
      <c r="U107" s="3"/>
      <c r="V107" s="3"/>
      <c r="W107" s="2"/>
      <c r="X107" s="2"/>
      <c r="Y107" s="29"/>
      <c r="Z107" s="29"/>
      <c r="AA107" s="15"/>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67"/>
      <c r="R108" s="29"/>
      <c r="S108" s="29"/>
      <c r="T108" s="15"/>
      <c r="U108" s="3"/>
      <c r="V108" s="3"/>
      <c r="W108" s="2"/>
      <c r="X108" s="2"/>
      <c r="Y108" s="29"/>
      <c r="Z108" s="29"/>
      <c r="AA108" s="15"/>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67"/>
      <c r="R109" s="29"/>
      <c r="S109" s="29"/>
      <c r="T109" s="15"/>
      <c r="U109" s="3"/>
      <c r="V109" s="3"/>
      <c r="W109" s="2"/>
      <c r="X109" s="2"/>
      <c r="Y109" s="29"/>
      <c r="Z109" s="29"/>
      <c r="AA109" s="15"/>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29"/>
      <c r="S110" s="29"/>
      <c r="T110" s="15"/>
      <c r="U110" s="3"/>
      <c r="V110" s="3"/>
      <c r="W110" s="2"/>
      <c r="X110" s="2"/>
      <c r="Y110" s="29"/>
      <c r="Z110" s="29"/>
      <c r="AA110" s="15"/>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29"/>
      <c r="S111" s="29"/>
      <c r="T111" s="15"/>
      <c r="U111" s="3"/>
      <c r="V111" s="3"/>
      <c r="W111" s="2"/>
      <c r="X111" s="2"/>
      <c r="Y111" s="29"/>
      <c r="Z111" s="29"/>
      <c r="AA111" s="15"/>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29"/>
      <c r="S112" s="29"/>
      <c r="T112" s="15"/>
      <c r="U112" s="3"/>
      <c r="V112" s="3"/>
      <c r="W112" s="2"/>
      <c r="X112" s="2"/>
      <c r="Y112" s="29"/>
      <c r="Z112" s="29"/>
      <c r="AA112" s="15"/>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29"/>
      <c r="S113" s="29"/>
      <c r="T113" s="15"/>
      <c r="U113" s="3"/>
      <c r="V113" s="3"/>
      <c r="W113" s="2"/>
      <c r="X113" s="2"/>
      <c r="Y113" s="29"/>
      <c r="Z113" s="29"/>
      <c r="AA113" s="15"/>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29"/>
      <c r="S114" s="29"/>
      <c r="T114" s="15"/>
      <c r="U114" s="3"/>
      <c r="V114" s="3"/>
      <c r="W114" s="2"/>
      <c r="X114" s="2"/>
      <c r="Y114" s="29"/>
      <c r="Z114" s="29"/>
      <c r="AA114" s="15"/>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29"/>
      <c r="S115" s="29"/>
      <c r="T115" s="15"/>
      <c r="U115" s="3"/>
      <c r="V115" s="3"/>
      <c r="W115" s="2"/>
      <c r="X115" s="2"/>
      <c r="Y115" s="29"/>
      <c r="Z115" s="29"/>
      <c r="AA115" s="15"/>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29"/>
      <c r="S116" s="29"/>
      <c r="T116" s="15"/>
      <c r="U116" s="3"/>
      <c r="V116" s="3"/>
      <c r="W116" s="2"/>
      <c r="X116" s="2"/>
      <c r="Y116" s="29"/>
      <c r="Z116" s="29"/>
      <c r="AA116" s="15"/>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29"/>
      <c r="S117" s="29"/>
      <c r="T117" s="15"/>
      <c r="U117" s="3"/>
      <c r="V117" s="3"/>
      <c r="W117" s="2"/>
      <c r="X117" s="2"/>
      <c r="Y117" s="29"/>
      <c r="Z117" s="29"/>
      <c r="AA117" s="15"/>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29"/>
      <c r="S118" s="29"/>
      <c r="T118" s="15"/>
      <c r="U118" s="3"/>
      <c r="V118" s="3"/>
      <c r="W118" s="2"/>
      <c r="X118" s="2"/>
      <c r="Y118" s="29"/>
      <c r="Z118" s="29"/>
      <c r="AA118" s="15"/>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29"/>
      <c r="S119" s="29"/>
      <c r="T119" s="15"/>
      <c r="U119" s="3"/>
      <c r="V119" s="3"/>
      <c r="W119" s="2"/>
      <c r="X119" s="2"/>
      <c r="Y119" s="29"/>
      <c r="Z119" s="29"/>
      <c r="AA119" s="15"/>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29"/>
      <c r="S120" s="29"/>
      <c r="T120" s="15"/>
      <c r="U120" s="3"/>
      <c r="V120" s="3"/>
      <c r="W120" s="2"/>
      <c r="X120" s="2"/>
      <c r="Y120" s="29"/>
      <c r="Z120" s="29"/>
      <c r="AA120" s="15"/>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29"/>
      <c r="S121" s="29"/>
      <c r="T121" s="15"/>
      <c r="U121" s="3"/>
      <c r="V121" s="3"/>
      <c r="W121" s="2"/>
      <c r="X121" s="2"/>
      <c r="Y121" s="29"/>
      <c r="Z121" s="29"/>
      <c r="AA121" s="15"/>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29"/>
      <c r="S122" s="29"/>
      <c r="T122" s="15"/>
      <c r="U122" s="3"/>
      <c r="V122" s="3"/>
      <c r="W122" s="2"/>
      <c r="X122" s="2"/>
      <c r="Y122" s="29"/>
      <c r="Z122" s="29"/>
      <c r="AA122" s="15"/>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29"/>
      <c r="S123" s="29"/>
      <c r="T123" s="15"/>
      <c r="U123" s="3"/>
      <c r="V123" s="3"/>
      <c r="W123" s="2"/>
      <c r="X123" s="2"/>
      <c r="Y123" s="29"/>
      <c r="Z123" s="29"/>
      <c r="AA123" s="15"/>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29"/>
      <c r="S124" s="29"/>
      <c r="T124" s="15"/>
      <c r="U124" s="3"/>
      <c r="V124" s="3"/>
      <c r="W124" s="2"/>
      <c r="X124" s="2"/>
      <c r="Y124" s="29"/>
      <c r="Z124" s="29"/>
      <c r="AA124" s="15"/>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29"/>
      <c r="S125" s="29"/>
      <c r="T125" s="15"/>
      <c r="U125" s="3"/>
      <c r="V125" s="3"/>
      <c r="W125" s="2"/>
      <c r="X125" s="2"/>
      <c r="Y125" s="29"/>
      <c r="Z125" s="29"/>
      <c r="AA125" s="15"/>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29"/>
      <c r="S126" s="29"/>
      <c r="T126" s="15"/>
      <c r="U126" s="3"/>
      <c r="V126" s="3"/>
      <c r="W126" s="2"/>
      <c r="X126" s="2"/>
      <c r="Y126" s="29"/>
      <c r="Z126" s="29"/>
      <c r="AA126" s="15"/>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29"/>
      <c r="S127" s="29"/>
      <c r="T127" s="15"/>
      <c r="U127" s="3"/>
      <c r="V127" s="3"/>
      <c r="W127" s="2"/>
      <c r="X127" s="2"/>
      <c r="Y127" s="29"/>
      <c r="Z127" s="29"/>
      <c r="AA127" s="15"/>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29"/>
      <c r="S128" s="29"/>
      <c r="T128" s="15"/>
      <c r="U128" s="3"/>
      <c r="V128" s="3"/>
      <c r="W128" s="2"/>
      <c r="X128" s="2"/>
      <c r="Y128" s="29"/>
      <c r="Z128" s="29"/>
      <c r="AA128" s="15"/>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29"/>
      <c r="S129" s="29"/>
      <c r="T129" s="15"/>
      <c r="U129" s="3"/>
      <c r="V129" s="3"/>
      <c r="W129" s="2"/>
      <c r="X129" s="2"/>
      <c r="Y129" s="29"/>
      <c r="Z129" s="29"/>
      <c r="AA129" s="15"/>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29"/>
      <c r="S130" s="29"/>
      <c r="T130" s="15"/>
      <c r="U130" s="3"/>
      <c r="V130" s="3"/>
      <c r="W130" s="2"/>
      <c r="X130" s="2"/>
      <c r="Y130" s="29"/>
      <c r="Z130" s="29"/>
      <c r="AA130" s="15"/>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29"/>
      <c r="S131" s="29"/>
      <c r="T131" s="15"/>
      <c r="U131" s="3"/>
      <c r="V131" s="3"/>
      <c r="W131" s="2"/>
      <c r="X131" s="2"/>
      <c r="Y131" s="29"/>
      <c r="Z131" s="29"/>
      <c r="AA131" s="15"/>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29"/>
      <c r="S132" s="29"/>
      <c r="T132" s="15"/>
      <c r="U132" s="3"/>
      <c r="V132" s="3"/>
      <c r="W132" s="2"/>
      <c r="X132" s="2"/>
      <c r="Y132" s="29"/>
      <c r="Z132" s="29"/>
      <c r="AA132" s="15"/>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29"/>
      <c r="S133" s="29"/>
      <c r="T133" s="15"/>
      <c r="U133" s="3"/>
      <c r="V133" s="3"/>
      <c r="W133" s="2"/>
      <c r="X133" s="2"/>
      <c r="Y133" s="29"/>
      <c r="Z133" s="29"/>
      <c r="AA133" s="15"/>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29"/>
      <c r="S134" s="29"/>
      <c r="T134" s="15"/>
      <c r="U134" s="3"/>
      <c r="V134" s="3"/>
      <c r="W134" s="2"/>
      <c r="X134" s="2"/>
      <c r="Y134" s="29"/>
      <c r="Z134" s="29"/>
      <c r="AA134" s="15"/>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29"/>
      <c r="S135" s="29"/>
      <c r="T135" s="15"/>
      <c r="U135" s="3"/>
      <c r="V135" s="3"/>
      <c r="W135" s="2"/>
      <c r="X135" s="2"/>
      <c r="Y135" s="29"/>
      <c r="Z135" s="29"/>
      <c r="AA135" s="15"/>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29"/>
      <c r="S136" s="29"/>
      <c r="T136" s="15"/>
      <c r="U136" s="3"/>
      <c r="V136" s="3"/>
      <c r="W136" s="2"/>
      <c r="X136" s="2"/>
      <c r="Y136" s="29"/>
      <c r="Z136" s="29"/>
      <c r="AA136" s="15"/>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29"/>
      <c r="S137" s="29"/>
      <c r="T137" s="15"/>
      <c r="U137" s="3"/>
      <c r="V137" s="3"/>
      <c r="W137" s="2"/>
      <c r="X137" s="2"/>
      <c r="Y137" s="29"/>
      <c r="Z137" s="29"/>
      <c r="AA137" s="15"/>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29"/>
      <c r="S138" s="29"/>
      <c r="T138" s="15"/>
      <c r="U138" s="3"/>
      <c r="V138" s="3"/>
      <c r="W138" s="2"/>
      <c r="X138" s="2"/>
      <c r="Y138" s="29"/>
      <c r="Z138" s="29"/>
      <c r="AA138" s="15"/>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29"/>
      <c r="S139" s="29"/>
      <c r="T139" s="15"/>
      <c r="U139" s="3"/>
      <c r="V139" s="3"/>
      <c r="W139" s="2"/>
      <c r="X139" s="2"/>
      <c r="Y139" s="29"/>
      <c r="Z139" s="29"/>
      <c r="AA139" s="15"/>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29"/>
      <c r="S140" s="29"/>
      <c r="T140" s="15"/>
      <c r="U140" s="3"/>
      <c r="V140" s="3"/>
      <c r="W140" s="2"/>
      <c r="X140" s="2"/>
      <c r="Y140" s="29"/>
      <c r="Z140" s="29"/>
      <c r="AA140" s="15"/>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29"/>
      <c r="S141" s="29"/>
      <c r="T141" s="15"/>
      <c r="U141" s="3"/>
      <c r="V141" s="3"/>
      <c r="W141" s="2"/>
      <c r="X141" s="2"/>
      <c r="Y141" s="29"/>
      <c r="Z141" s="29"/>
      <c r="AA141" s="15"/>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29"/>
      <c r="S142" s="29"/>
      <c r="T142" s="15"/>
      <c r="U142" s="3"/>
      <c r="V142" s="3"/>
      <c r="W142" s="2"/>
      <c r="X142" s="2"/>
      <c r="Y142" s="29"/>
      <c r="Z142" s="29"/>
      <c r="AA142" s="15"/>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29"/>
      <c r="S143" s="29"/>
      <c r="T143" s="15"/>
      <c r="U143" s="3"/>
      <c r="V143" s="3"/>
      <c r="W143" s="2"/>
      <c r="X143" s="2"/>
      <c r="Y143" s="29"/>
      <c r="Z143" s="29"/>
      <c r="AA143" s="15"/>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29"/>
      <c r="S144" s="29"/>
      <c r="T144" s="15"/>
      <c r="U144" s="3"/>
      <c r="V144" s="3"/>
      <c r="W144" s="2"/>
      <c r="X144" s="2"/>
      <c r="Y144" s="29"/>
      <c r="Z144" s="29"/>
      <c r="AA144" s="15"/>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29"/>
      <c r="S145" s="29"/>
      <c r="T145" s="15"/>
      <c r="U145" s="3"/>
      <c r="V145" s="3"/>
      <c r="W145" s="2"/>
      <c r="X145" s="2"/>
      <c r="Y145" s="29"/>
      <c r="Z145" s="29"/>
      <c r="AA145" s="15"/>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29"/>
      <c r="S146" s="29"/>
      <c r="T146" s="15"/>
      <c r="U146" s="3"/>
      <c r="V146" s="3"/>
      <c r="W146" s="2"/>
      <c r="X146" s="2"/>
      <c r="Y146" s="29"/>
      <c r="Z146" s="29"/>
      <c r="AA146" s="15"/>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29"/>
      <c r="S147" s="29"/>
      <c r="T147" s="15"/>
      <c r="U147" s="3"/>
      <c r="V147" s="3"/>
      <c r="W147" s="2"/>
      <c r="X147" s="2"/>
      <c r="Y147" s="29"/>
      <c r="Z147" s="29"/>
      <c r="AA147" s="15"/>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29"/>
      <c r="S148" s="29"/>
      <c r="T148" s="15"/>
      <c r="U148" s="3"/>
      <c r="V148" s="3"/>
      <c r="W148" s="2"/>
      <c r="X148" s="2"/>
      <c r="Y148" s="29"/>
      <c r="Z148" s="29"/>
      <c r="AA148" s="15"/>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29"/>
      <c r="S149" s="29"/>
      <c r="T149" s="15"/>
      <c r="U149" s="3"/>
      <c r="V149" s="3"/>
      <c r="W149" s="2"/>
      <c r="X149" s="2"/>
      <c r="Y149" s="29"/>
      <c r="Z149" s="29"/>
      <c r="AA149" s="15"/>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29"/>
      <c r="S150" s="29"/>
      <c r="T150" s="15"/>
      <c r="U150" s="3"/>
      <c r="V150" s="3"/>
      <c r="W150" s="2"/>
      <c r="X150" s="2"/>
      <c r="Y150" s="29"/>
      <c r="Z150" s="29"/>
      <c r="AA150" s="15"/>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29"/>
      <c r="S151" s="29"/>
      <c r="T151" s="15"/>
      <c r="U151" s="3"/>
      <c r="V151" s="3"/>
      <c r="W151" s="2"/>
      <c r="X151" s="2"/>
      <c r="Y151" s="29"/>
      <c r="Z151" s="29"/>
      <c r="AA151" s="15"/>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29"/>
      <c r="S152" s="29"/>
      <c r="T152" s="15"/>
      <c r="U152" s="3"/>
      <c r="V152" s="3"/>
      <c r="W152" s="2"/>
      <c r="X152" s="2"/>
      <c r="Y152" s="29"/>
      <c r="Z152" s="29"/>
      <c r="AA152" s="15"/>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29"/>
      <c r="S153" s="29"/>
      <c r="T153" s="15"/>
      <c r="U153" s="3"/>
      <c r="V153" s="3"/>
      <c r="W153" s="2"/>
      <c r="X153" s="2"/>
      <c r="Y153" s="29"/>
      <c r="Z153" s="29"/>
      <c r="AA153" s="15"/>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29"/>
      <c r="S154" s="29"/>
      <c r="T154" s="15"/>
      <c r="U154" s="3"/>
      <c r="V154" s="3"/>
      <c r="W154" s="2"/>
      <c r="X154" s="2"/>
      <c r="Y154" s="29"/>
      <c r="Z154" s="29"/>
      <c r="AA154" s="15"/>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29"/>
      <c r="S155" s="29"/>
      <c r="T155" s="15"/>
      <c r="U155" s="3"/>
      <c r="V155" s="3"/>
      <c r="W155" s="2"/>
      <c r="X155" s="2"/>
      <c r="Y155" s="29"/>
      <c r="Z155" s="29"/>
      <c r="AA155" s="15"/>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29"/>
      <c r="S156" s="29"/>
      <c r="T156" s="15"/>
      <c r="U156" s="3"/>
      <c r="V156" s="3"/>
      <c r="W156" s="2"/>
      <c r="X156" s="2"/>
      <c r="Y156" s="29"/>
      <c r="Z156" s="29"/>
      <c r="AA156" s="15"/>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29"/>
      <c r="S157" s="29"/>
      <c r="T157" s="15"/>
      <c r="U157" s="3"/>
      <c r="V157" s="3"/>
      <c r="W157" s="2"/>
      <c r="X157" s="2"/>
      <c r="Y157" s="29"/>
      <c r="Z157" s="29"/>
      <c r="AA157" s="15"/>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29"/>
      <c r="S158" s="29"/>
      <c r="T158" s="15"/>
      <c r="U158" s="3"/>
      <c r="V158" s="3"/>
      <c r="W158" s="2"/>
      <c r="X158" s="2"/>
      <c r="Y158" s="29"/>
      <c r="Z158" s="29"/>
      <c r="AA158" s="15"/>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29"/>
      <c r="S159" s="29"/>
      <c r="T159" s="15"/>
      <c r="U159" s="3"/>
      <c r="V159" s="3"/>
      <c r="W159" s="2"/>
      <c r="X159" s="2"/>
      <c r="Y159" s="29"/>
      <c r="Z159" s="29"/>
      <c r="AA159" s="15"/>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29"/>
      <c r="S160" s="29"/>
      <c r="T160" s="15"/>
      <c r="U160" s="3"/>
      <c r="V160" s="3"/>
      <c r="W160" s="2"/>
      <c r="X160" s="2"/>
      <c r="Y160" s="29"/>
      <c r="Z160" s="29"/>
      <c r="AA160" s="15"/>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29"/>
      <c r="S161" s="29"/>
      <c r="T161" s="15"/>
      <c r="U161" s="3"/>
      <c r="V161" s="3"/>
      <c r="W161" s="2"/>
      <c r="X161" s="2"/>
      <c r="Y161" s="29"/>
      <c r="Z161" s="29"/>
      <c r="AA161" s="15"/>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29"/>
      <c r="S162" s="29"/>
      <c r="T162" s="15"/>
      <c r="U162" s="3"/>
      <c r="V162" s="3"/>
      <c r="W162" s="2"/>
      <c r="X162" s="2"/>
      <c r="Y162" s="29"/>
      <c r="Z162" s="29"/>
      <c r="AA162" s="15"/>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29"/>
      <c r="S163" s="29"/>
      <c r="T163" s="15"/>
      <c r="U163" s="3"/>
      <c r="V163" s="3"/>
      <c r="W163" s="2"/>
      <c r="X163" s="2"/>
      <c r="Y163" s="29"/>
      <c r="Z163" s="29"/>
      <c r="AA163" s="15"/>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29"/>
      <c r="S164" s="29"/>
      <c r="T164" s="15"/>
      <c r="U164" s="3"/>
      <c r="V164" s="3"/>
      <c r="W164" s="2"/>
      <c r="X164" s="2"/>
      <c r="Y164" s="29"/>
      <c r="Z164" s="29"/>
      <c r="AA164" s="15"/>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29"/>
      <c r="S165" s="29"/>
      <c r="T165" s="15"/>
      <c r="U165" s="3"/>
      <c r="V165" s="3"/>
      <c r="W165" s="2"/>
      <c r="X165" s="2"/>
      <c r="Y165" s="29"/>
      <c r="Z165" s="29"/>
      <c r="AA165" s="15"/>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29"/>
      <c r="S166" s="29"/>
      <c r="T166" s="15"/>
      <c r="U166" s="3"/>
      <c r="V166" s="3"/>
      <c r="W166" s="2"/>
      <c r="X166" s="2"/>
      <c r="Y166" s="29"/>
      <c r="Z166" s="29"/>
      <c r="AA166" s="15"/>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29"/>
      <c r="S167" s="29"/>
      <c r="T167" s="15"/>
      <c r="U167" s="3"/>
      <c r="V167" s="3"/>
      <c r="W167" s="2"/>
      <c r="X167" s="2"/>
      <c r="Y167" s="29"/>
      <c r="Z167" s="29"/>
      <c r="AA167" s="15"/>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29"/>
      <c r="S168" s="29"/>
      <c r="T168" s="15"/>
      <c r="U168" s="3"/>
      <c r="V168" s="3"/>
      <c r="W168" s="2"/>
      <c r="X168" s="2"/>
      <c r="Y168" s="29"/>
      <c r="Z168" s="29"/>
      <c r="AA168" s="15"/>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29"/>
      <c r="S169" s="29"/>
      <c r="T169" s="15"/>
      <c r="U169" s="3"/>
      <c r="V169" s="3"/>
      <c r="W169" s="2"/>
      <c r="X169" s="2"/>
      <c r="Y169" s="29"/>
      <c r="Z169" s="29"/>
      <c r="AA169" s="15"/>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29"/>
      <c r="S170" s="29"/>
      <c r="T170" s="15"/>
      <c r="U170" s="3"/>
      <c r="V170" s="3"/>
      <c r="W170" s="2"/>
      <c r="X170" s="2"/>
      <c r="Y170" s="29"/>
      <c r="Z170" s="29"/>
      <c r="AA170" s="15"/>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29"/>
      <c r="S171" s="29"/>
      <c r="T171" s="15"/>
      <c r="U171" s="3"/>
      <c r="V171" s="3"/>
      <c r="W171" s="2"/>
      <c r="X171" s="2"/>
      <c r="Y171" s="29"/>
      <c r="Z171" s="29"/>
      <c r="AA171" s="15"/>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29"/>
      <c r="S172" s="29"/>
      <c r="T172" s="15"/>
      <c r="U172" s="3"/>
      <c r="V172" s="3"/>
      <c r="W172" s="2"/>
      <c r="X172" s="2"/>
      <c r="Y172" s="29"/>
      <c r="Z172" s="29"/>
      <c r="AA172" s="15"/>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29"/>
      <c r="S173" s="29"/>
      <c r="T173" s="15"/>
      <c r="U173" s="3"/>
      <c r="V173" s="3"/>
      <c r="W173" s="2"/>
      <c r="X173" s="2"/>
      <c r="Y173" s="29"/>
      <c r="Z173" s="29"/>
      <c r="AA173" s="15"/>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29"/>
      <c r="S174" s="29"/>
      <c r="T174" s="15"/>
      <c r="U174" s="3"/>
      <c r="V174" s="3"/>
      <c r="W174" s="2"/>
      <c r="X174" s="2"/>
      <c r="Y174" s="29"/>
      <c r="Z174" s="29"/>
      <c r="AA174" s="15"/>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29"/>
      <c r="S175" s="29"/>
      <c r="T175" s="15"/>
      <c r="U175" s="3"/>
      <c r="V175" s="3"/>
      <c r="W175" s="2"/>
      <c r="X175" s="2"/>
      <c r="Y175" s="29"/>
      <c r="Z175" s="29"/>
      <c r="AA175" s="15"/>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29"/>
      <c r="S176" s="29"/>
      <c r="T176" s="15"/>
      <c r="U176" s="3"/>
      <c r="V176" s="3"/>
      <c r="W176" s="2"/>
      <c r="X176" s="2"/>
      <c r="Y176" s="29"/>
      <c r="Z176" s="29"/>
      <c r="AA176" s="15"/>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29"/>
      <c r="S177" s="29"/>
      <c r="T177" s="15"/>
      <c r="U177" s="3"/>
      <c r="V177" s="3"/>
      <c r="W177" s="2"/>
      <c r="X177" s="2"/>
      <c r="Y177" s="29"/>
      <c r="Z177" s="29"/>
      <c r="AA177" s="15"/>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29"/>
      <c r="S178" s="29"/>
      <c r="T178" s="15"/>
      <c r="U178" s="3"/>
      <c r="V178" s="3"/>
      <c r="W178" s="2"/>
      <c r="X178" s="2"/>
      <c r="Y178" s="29"/>
      <c r="Z178" s="29"/>
      <c r="AA178" s="15"/>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29"/>
      <c r="S179" s="29"/>
      <c r="T179" s="15"/>
      <c r="U179" s="3"/>
      <c r="V179" s="3"/>
      <c r="W179" s="2"/>
      <c r="X179" s="2"/>
      <c r="Y179" s="29"/>
      <c r="Z179" s="29"/>
      <c r="AA179" s="15"/>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29"/>
      <c r="S180" s="29"/>
      <c r="T180" s="15"/>
      <c r="U180" s="3"/>
      <c r="V180" s="3"/>
      <c r="W180" s="2"/>
      <c r="X180" s="2"/>
      <c r="Y180" s="29"/>
      <c r="Z180" s="29"/>
      <c r="AA180" s="15"/>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29"/>
      <c r="S181" s="29"/>
      <c r="T181" s="15"/>
      <c r="U181" s="3"/>
      <c r="V181" s="3"/>
      <c r="W181" s="2"/>
      <c r="X181" s="2"/>
      <c r="Y181" s="29"/>
      <c r="Z181" s="29"/>
      <c r="AA181" s="15"/>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29"/>
      <c r="S182" s="29"/>
      <c r="T182" s="15"/>
      <c r="U182" s="3"/>
      <c r="V182" s="3"/>
      <c r="W182" s="2"/>
      <c r="X182" s="2"/>
      <c r="Y182" s="29"/>
      <c r="Z182" s="29"/>
      <c r="AA182" s="15"/>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29"/>
      <c r="S183" s="29"/>
      <c r="T183" s="15"/>
      <c r="U183" s="3"/>
      <c r="V183" s="3"/>
      <c r="W183" s="2"/>
      <c r="X183" s="2"/>
      <c r="Y183" s="29"/>
      <c r="Z183" s="29"/>
      <c r="AA183" s="15"/>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29"/>
      <c r="S184" s="29"/>
      <c r="T184" s="15"/>
      <c r="U184" s="3"/>
      <c r="V184" s="3"/>
      <c r="W184" s="2"/>
      <c r="X184" s="2"/>
      <c r="Y184" s="29"/>
      <c r="Z184" s="29"/>
      <c r="AA184" s="15"/>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29"/>
      <c r="S185" s="29"/>
      <c r="T185" s="15"/>
      <c r="U185" s="3"/>
      <c r="V185" s="3"/>
      <c r="W185" s="2"/>
      <c r="X185" s="2"/>
      <c r="Y185" s="29"/>
      <c r="Z185" s="29"/>
      <c r="AA185" s="15"/>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29"/>
      <c r="S186" s="29"/>
      <c r="T186" s="15"/>
      <c r="U186" s="3"/>
      <c r="V186" s="3"/>
      <c r="W186" s="2"/>
      <c r="X186" s="2"/>
      <c r="Y186" s="29"/>
      <c r="Z186" s="29"/>
      <c r="AA186" s="15"/>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29"/>
      <c r="S187" s="29"/>
      <c r="T187" s="15"/>
      <c r="U187" s="3"/>
      <c r="V187" s="3"/>
      <c r="W187" s="2"/>
      <c r="X187" s="2"/>
      <c r="Y187" s="29"/>
      <c r="Z187" s="29"/>
      <c r="AA187" s="15"/>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29"/>
      <c r="S188" s="29"/>
      <c r="T188" s="15"/>
      <c r="U188" s="3"/>
      <c r="V188" s="3"/>
      <c r="W188" s="2"/>
      <c r="X188" s="2"/>
      <c r="Y188" s="29"/>
      <c r="Z188" s="29"/>
      <c r="AA188" s="15"/>
      <c r="AB188" s="3"/>
      <c r="AC188" s="3"/>
      <c r="AD188" s="2"/>
      <c r="AE188" s="2"/>
      <c r="AS188" s="2"/>
      <c r="AT188" s="2"/>
      <c r="AU188" s="2"/>
      <c r="AV188" s="2"/>
      <c r="AW188" s="2"/>
      <c r="AX188" s="2"/>
      <c r="AY188" s="2"/>
      <c r="AZ188" s="2"/>
      <c r="BA188" s="2"/>
      <c r="BB188" s="2"/>
      <c r="BC188" s="2"/>
      <c r="BD188" s="2"/>
      <c r="BE188" s="2"/>
    </row>
    <row r="189" spans="18:57" x14ac:dyDescent="0.25">
      <c r="R189" s="29"/>
      <c r="S189" s="29"/>
      <c r="T189" s="15"/>
      <c r="U189" s="3"/>
      <c r="V189" s="3"/>
      <c r="W189" s="2"/>
      <c r="X189" s="2"/>
      <c r="Y189" s="29"/>
      <c r="Z189" s="29"/>
      <c r="AA189" s="15"/>
      <c r="AB189" s="3"/>
      <c r="AC189" s="3"/>
      <c r="AD189" s="2"/>
      <c r="AE189" s="2"/>
    </row>
    <row r="190" spans="18:57" x14ac:dyDescent="0.25">
      <c r="R190" s="29"/>
      <c r="S190" s="29"/>
      <c r="T190" s="15"/>
      <c r="U190" s="3"/>
      <c r="V190" s="3"/>
      <c r="W190" s="2"/>
      <c r="X190" s="2"/>
      <c r="Y190" s="29"/>
      <c r="Z190" s="29"/>
      <c r="AA190" s="15"/>
      <c r="AB190" s="3"/>
      <c r="AC190" s="3"/>
      <c r="AD190" s="2"/>
      <c r="AE190" s="2"/>
    </row>
    <row r="191" spans="18:57" x14ac:dyDescent="0.25">
      <c r="R191" s="29"/>
      <c r="S191" s="29"/>
      <c r="T191" s="15"/>
      <c r="U191" s="3"/>
      <c r="V191" s="3"/>
      <c r="W191" s="2"/>
      <c r="X191" s="2"/>
      <c r="Y191" s="29"/>
      <c r="Z191" s="29"/>
      <c r="AA191" s="15"/>
      <c r="AB191" s="3"/>
      <c r="AC191" s="3"/>
      <c r="AD191" s="2"/>
      <c r="AE191" s="2"/>
    </row>
    <row r="192" spans="18:57" x14ac:dyDescent="0.25">
      <c r="R192" s="29"/>
      <c r="S192" s="29"/>
      <c r="T192" s="15"/>
      <c r="U192" s="3"/>
      <c r="V192" s="3"/>
      <c r="W192" s="2"/>
      <c r="X192" s="2"/>
      <c r="Y192" s="29"/>
      <c r="Z192" s="29"/>
      <c r="AA192" s="15"/>
      <c r="AB192" s="3"/>
      <c r="AC192" s="3"/>
      <c r="AD192" s="2"/>
      <c r="AE192" s="2"/>
    </row>
  </sheetData>
  <mergeCells count="1689">
    <mergeCell ref="CO76:CO78"/>
    <mergeCell ref="BU88:BW88"/>
    <mergeCell ref="CM66:CM67"/>
    <mergeCell ref="CM71:CM73"/>
    <mergeCell ref="CM75:CM77"/>
    <mergeCell ref="CM80:CM81"/>
    <mergeCell ref="CL1:CN1"/>
    <mergeCell ref="CM2:CM3"/>
    <mergeCell ref="CA2:CA3"/>
    <mergeCell ref="CM9:CM11"/>
    <mergeCell ref="CM14:CM15"/>
    <mergeCell ref="CM19:CM20"/>
    <mergeCell ref="CM21:CM24"/>
    <mergeCell ref="CM37:CM39"/>
    <mergeCell ref="CM44:CM45"/>
    <mergeCell ref="CM51:CM52"/>
    <mergeCell ref="CM56:CM57"/>
    <mergeCell ref="CM46:CM47"/>
    <mergeCell ref="CL2:CL3"/>
    <mergeCell ref="CL9:CL11"/>
    <mergeCell ref="CL14:CL15"/>
    <mergeCell ref="CL21:CL24"/>
    <mergeCell ref="CL37:CL39"/>
    <mergeCell ref="CL44:CL45"/>
    <mergeCell ref="CL46:CL47"/>
    <mergeCell ref="CL51:CL52"/>
    <mergeCell ref="CL53:CL54"/>
    <mergeCell ref="CL56:CL57"/>
    <mergeCell ref="CL66:CL67"/>
    <mergeCell ref="CL71:CL73"/>
    <mergeCell ref="CA9:CA11"/>
    <mergeCell ref="CL75:CL77"/>
    <mergeCell ref="CM53:CM54"/>
    <mergeCell ref="CN2:CN3"/>
    <mergeCell ref="CN9:CN11"/>
    <mergeCell ref="CN14:CN15"/>
    <mergeCell ref="CN21:CN24"/>
    <mergeCell ref="CN37:CN39"/>
    <mergeCell ref="CN44:CN45"/>
    <mergeCell ref="CN46:CN47"/>
    <mergeCell ref="CN51:CN52"/>
    <mergeCell ref="CN53:CN54"/>
    <mergeCell ref="CN66:CN67"/>
    <mergeCell ref="CN71:CN73"/>
    <mergeCell ref="CN75:CN77"/>
    <mergeCell ref="CC46:CC47"/>
    <mergeCell ref="CN19:CN20"/>
    <mergeCell ref="CN56:CN57"/>
    <mergeCell ref="CC75:CC77"/>
    <mergeCell ref="CD14:CD15"/>
    <mergeCell ref="CE14:CE15"/>
    <mergeCell ref="CF14:CF15"/>
    <mergeCell ref="CG14:CG15"/>
    <mergeCell ref="CH14:CH15"/>
    <mergeCell ref="CI14:CI15"/>
    <mergeCell ref="CJ14:CJ15"/>
    <mergeCell ref="CK14:CK15"/>
    <mergeCell ref="CG16:CG17"/>
    <mergeCell ref="CH16:CH17"/>
    <mergeCell ref="CK16:CK17"/>
    <mergeCell ref="CG18:CG20"/>
    <mergeCell ref="CH18:CH20"/>
    <mergeCell ref="CI18:CI20"/>
    <mergeCell ref="CE19:CE20"/>
    <mergeCell ref="CN80:CN81"/>
    <mergeCell ref="CM27:CM28"/>
    <mergeCell ref="CL27:CL28"/>
    <mergeCell ref="CA66:CA67"/>
    <mergeCell ref="CA71:CA73"/>
    <mergeCell ref="CA75:CA77"/>
    <mergeCell ref="CA55:CA57"/>
    <mergeCell ref="CA60:CA61"/>
    <mergeCell ref="CA62:CA63"/>
    <mergeCell ref="BE82:BE85"/>
    <mergeCell ref="BG27:BG29"/>
    <mergeCell ref="BG42:BG45"/>
    <mergeCell ref="BG56:BG57"/>
    <mergeCell ref="BG66:BG70"/>
    <mergeCell ref="BZ75:BZ77"/>
    <mergeCell ref="CB75:CB77"/>
    <mergeCell ref="BZ55:BZ57"/>
    <mergeCell ref="CC55:CC57"/>
    <mergeCell ref="BW56:BW57"/>
    <mergeCell ref="BX56:BX57"/>
    <mergeCell ref="CB56:CB57"/>
    <mergeCell ref="BY60:BY61"/>
    <mergeCell ref="BZ60:BZ61"/>
    <mergeCell ref="BV51:BV52"/>
    <mergeCell ref="CB80:CB81"/>
    <mergeCell ref="BW51:BW52"/>
    <mergeCell ref="BX51:BX52"/>
    <mergeCell ref="BY51:BY52"/>
    <mergeCell ref="BZ51:BZ52"/>
    <mergeCell ref="CB51:CB52"/>
    <mergeCell ref="CC51:CC52"/>
    <mergeCell ref="CL80:CL81"/>
    <mergeCell ref="BV53:BV54"/>
    <mergeCell ref="BX53:BX54"/>
    <mergeCell ref="BY53:BY54"/>
    <mergeCell ref="BZ53:BZ54"/>
    <mergeCell ref="CB53:CB54"/>
    <mergeCell ref="CC53:CC54"/>
    <mergeCell ref="BZ46:BZ47"/>
    <mergeCell ref="CB46:CB47"/>
    <mergeCell ref="CA80:CA81"/>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Y49:BY50"/>
    <mergeCell ref="BZ49:BZ50"/>
    <mergeCell ref="CA46:CA47"/>
    <mergeCell ref="CA51:CA52"/>
    <mergeCell ref="CA53:CA54"/>
    <mergeCell ref="BV37:BV39"/>
    <mergeCell ref="BW37:BW39"/>
    <mergeCell ref="BY37:BY39"/>
    <mergeCell ref="BZ37:BZ39"/>
    <mergeCell ref="BF82:BF85"/>
    <mergeCell ref="BA66:BA67"/>
    <mergeCell ref="BB66:BB67"/>
    <mergeCell ref="BD60:BD61"/>
    <mergeCell ref="BF60:BF61"/>
    <mergeCell ref="BC56:BC57"/>
    <mergeCell ref="BF56:BF57"/>
    <mergeCell ref="BC51:BC52"/>
    <mergeCell ref="BD51:BD52"/>
    <mergeCell ref="BE51:BE52"/>
    <mergeCell ref="BF51:BF52"/>
    <mergeCell ref="BD16:BD17"/>
    <mergeCell ref="BE16:BE17"/>
    <mergeCell ref="BF16:BF17"/>
    <mergeCell ref="BT78:BT81"/>
    <mergeCell ref="BH80:BH81"/>
    <mergeCell ref="BI80:BI81"/>
    <mergeCell ref="BJ80:BJ81"/>
    <mergeCell ref="BK80:BK81"/>
    <mergeCell ref="BL80:BL81"/>
    <mergeCell ref="BN80:BN81"/>
    <mergeCell ref="BO80:BO81"/>
    <mergeCell ref="BS80:BS81"/>
    <mergeCell ref="BU80:BU81"/>
    <mergeCell ref="BH75:BH77"/>
    <mergeCell ref="BI75:BI77"/>
    <mergeCell ref="BJ75:BJ77"/>
    <mergeCell ref="BK75:BK77"/>
    <mergeCell ref="BL75:BL77"/>
    <mergeCell ref="BW53:BW54"/>
    <mergeCell ref="BM78:BM81"/>
    <mergeCell ref="BF7:BF8"/>
    <mergeCell ref="BD82:BD85"/>
    <mergeCell ref="AY4:AY6"/>
    <mergeCell ref="BD62:BD63"/>
    <mergeCell ref="BE62:BE63"/>
    <mergeCell ref="BF62:BF63"/>
    <mergeCell ref="BA56:BA57"/>
    <mergeCell ref="BB56:BB57"/>
    <mergeCell ref="BC46:BC47"/>
    <mergeCell ref="BD46:BD47"/>
    <mergeCell ref="BE46:BE47"/>
    <mergeCell ref="BF46:BF4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AZ65:AZ66"/>
    <mergeCell ref="AZ67:AZ68"/>
    <mergeCell ref="AZ70:AZ72"/>
    <mergeCell ref="AY82:AY85"/>
    <mergeCell ref="AY66:AY70"/>
    <mergeCell ref="AY60:AY61"/>
    <mergeCell ref="AY62:AY63"/>
    <mergeCell ref="AY56:AY57"/>
    <mergeCell ref="AW4:AW6"/>
    <mergeCell ref="AX4:AX6"/>
    <mergeCell ref="AW17:AW19"/>
    <mergeCell ref="AX17:AX19"/>
    <mergeCell ref="AW20:AW21"/>
    <mergeCell ref="AX20:AX21"/>
    <mergeCell ref="AW22:AW23"/>
    <mergeCell ref="AX22:AX23"/>
    <mergeCell ref="AW26:AW27"/>
    <mergeCell ref="AX26:AX27"/>
    <mergeCell ref="AW7:AW8"/>
    <mergeCell ref="AX7:AX8"/>
    <mergeCell ref="AY7:AY8"/>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55:AW56"/>
    <mergeCell ref="AX55:AX56"/>
    <mergeCell ref="AP20:AP23"/>
    <mergeCell ref="AQ20:AQ23"/>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T55:AT56"/>
    <mergeCell ref="AU55:AU56"/>
    <mergeCell ref="AF18:AF19"/>
    <mergeCell ref="AG18:AG19"/>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P26:AP28"/>
    <mergeCell ref="AQ26:AQ28"/>
    <mergeCell ref="BY62:BY63"/>
    <mergeCell ref="BV56:BV57"/>
    <mergeCell ref="AP30:AP33"/>
    <mergeCell ref="AQ30:AQ33"/>
    <mergeCell ref="AP36:AP38"/>
    <mergeCell ref="AQ36:AQ38"/>
    <mergeCell ref="AP41:AP42"/>
    <mergeCell ref="AQ41:AQ42"/>
    <mergeCell ref="AP43:AP44"/>
    <mergeCell ref="AQ43:AQ44"/>
    <mergeCell ref="AP45:AP46"/>
    <mergeCell ref="R8:R9"/>
    <mergeCell ref="Y8:Y9"/>
    <mergeCell ref="Z57:Z58"/>
    <mergeCell ref="AE20:AE21"/>
    <mergeCell ref="AE27:AE28"/>
    <mergeCell ref="AE29:AE30"/>
    <mergeCell ref="AE32:AE34"/>
    <mergeCell ref="AE37:AE38"/>
    <mergeCell ref="AE41:AE42"/>
    <mergeCell ref="AE44:AE49"/>
    <mergeCell ref="AE52:AE54"/>
    <mergeCell ref="AE56:AE58"/>
    <mergeCell ref="AF55:AF56"/>
    <mergeCell ref="AG55:AG56"/>
    <mergeCell ref="AI54:AI56"/>
    <mergeCell ref="AJ54:AJ56"/>
    <mergeCell ref="AL54:AL56"/>
    <mergeCell ref="AM55:AM56"/>
    <mergeCell ref="AN55:AN56"/>
    <mergeCell ref="BP80:BP81"/>
    <mergeCell ref="BQ80:BQ81"/>
    <mergeCell ref="BR80:BR81"/>
    <mergeCell ref="AP74:AP76"/>
    <mergeCell ref="AQ74:AQ76"/>
    <mergeCell ref="AF20:AF23"/>
    <mergeCell ref="AG20:AG23"/>
    <mergeCell ref="AF27:AF28"/>
    <mergeCell ref="AG27:AG28"/>
    <mergeCell ref="AF36:AF38"/>
    <mergeCell ref="AG36:AG38"/>
    <mergeCell ref="AF43:AF44"/>
    <mergeCell ref="BV75:BV77"/>
    <mergeCell ref="BW75:BW77"/>
    <mergeCell ref="BX75:BX77"/>
    <mergeCell ref="BY75:BY77"/>
    <mergeCell ref="BY55:BY57"/>
    <mergeCell ref="BV46:BV47"/>
    <mergeCell ref="BW46:BW47"/>
    <mergeCell ref="BX46:BX47"/>
    <mergeCell ref="BY46:BY47"/>
    <mergeCell ref="BY27:BY29"/>
    <mergeCell ref="AL36:AL38"/>
    <mergeCell ref="AL41:AL44"/>
    <mergeCell ref="AL45:AL46"/>
    <mergeCell ref="AL48:AL49"/>
    <mergeCell ref="BU66:BU67"/>
    <mergeCell ref="BH71:BH73"/>
    <mergeCell ref="BI71:BI73"/>
    <mergeCell ref="BJ71:BJ73"/>
    <mergeCell ref="BK71:BK73"/>
    <mergeCell ref="BV80:BV81"/>
    <mergeCell ref="BW80:BW81"/>
    <mergeCell ref="BX80:BX81"/>
    <mergeCell ref="BY80:BY81"/>
    <mergeCell ref="BZ80:BZ81"/>
    <mergeCell ref="CC80:CC81"/>
    <mergeCell ref="CC66:CC67"/>
    <mergeCell ref="BV71:BV73"/>
    <mergeCell ref="BW71:BW73"/>
    <mergeCell ref="BX71:BX73"/>
    <mergeCell ref="BY71:BY73"/>
    <mergeCell ref="BZ71:BZ73"/>
    <mergeCell ref="CB71:CB73"/>
    <mergeCell ref="CC71:CC73"/>
    <mergeCell ref="BZ62:BZ63"/>
    <mergeCell ref="BV66:BV67"/>
    <mergeCell ref="BW66:BW67"/>
    <mergeCell ref="BX66:BX67"/>
    <mergeCell ref="BY66:BY67"/>
    <mergeCell ref="BZ66:BZ67"/>
    <mergeCell ref="CB66:CB67"/>
    <mergeCell ref="CB37:CB39"/>
    <mergeCell ref="CC37:CC39"/>
    <mergeCell ref="BV44:BV45"/>
    <mergeCell ref="BW44:BW45"/>
    <mergeCell ref="BX44:BX45"/>
    <mergeCell ref="BY44:BY45"/>
    <mergeCell ref="BZ44:BZ45"/>
    <mergeCell ref="CC44:CC45"/>
    <mergeCell ref="CB44:CB45"/>
    <mergeCell ref="CA49:CA50"/>
    <mergeCell ref="BZ27:BZ29"/>
    <mergeCell ref="BX28:BX29"/>
    <mergeCell ref="CC28:CC29"/>
    <mergeCell ref="CC31:CC32"/>
    <mergeCell ref="CA37:CA39"/>
    <mergeCell ref="CA44:CA45"/>
    <mergeCell ref="BY18:BY20"/>
    <mergeCell ref="BZ18:BZ20"/>
    <mergeCell ref="CC18:CC20"/>
    <mergeCell ref="BW19:BW20"/>
    <mergeCell ref="BX19:BX20"/>
    <mergeCell ref="BV21:BV24"/>
    <mergeCell ref="BW21:BW24"/>
    <mergeCell ref="BX21:BX24"/>
    <mergeCell ref="BY21:BY24"/>
    <mergeCell ref="BZ21:BZ24"/>
    <mergeCell ref="CB21:CB24"/>
    <mergeCell ref="CC21:CC24"/>
    <mergeCell ref="CB19:CB20"/>
    <mergeCell ref="CB28:CB29"/>
    <mergeCell ref="CA27:CA29"/>
    <mergeCell ref="BX37:BX39"/>
    <mergeCell ref="BV14:BV15"/>
    <mergeCell ref="BW14:BW15"/>
    <mergeCell ref="BX14:BX15"/>
    <mergeCell ref="BY14:BY15"/>
    <mergeCell ref="BZ14:BZ15"/>
    <mergeCell ref="CC14:CC15"/>
    <mergeCell ref="BY16:BY17"/>
    <mergeCell ref="BZ16:BZ17"/>
    <mergeCell ref="CC16:CC17"/>
    <mergeCell ref="CA14:CA15"/>
    <mergeCell ref="CA18:CA20"/>
    <mergeCell ref="CA21:CA24"/>
    <mergeCell ref="BY7:BY8"/>
    <mergeCell ref="BZ7:BZ8"/>
    <mergeCell ref="BV9:BV11"/>
    <mergeCell ref="BW9:BW11"/>
    <mergeCell ref="BX9:BX11"/>
    <mergeCell ref="BY9:BY11"/>
    <mergeCell ref="BZ9:BZ11"/>
    <mergeCell ref="CB9:CB11"/>
    <mergeCell ref="CB14:CB15"/>
    <mergeCell ref="CC9:CC11"/>
    <mergeCell ref="BV19:BV20"/>
    <mergeCell ref="BV1:CC1"/>
    <mergeCell ref="BV2:BV3"/>
    <mergeCell ref="BW2:BW3"/>
    <mergeCell ref="BX2:BX3"/>
    <mergeCell ref="BY2:BY3"/>
    <mergeCell ref="BZ2:BZ3"/>
    <mergeCell ref="CB2:CB3"/>
    <mergeCell ref="CC2:CC3"/>
    <mergeCell ref="BM82:BM85"/>
    <mergeCell ref="BT82:BT85"/>
    <mergeCell ref="D1:Q1"/>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BM75:BM77"/>
    <mergeCell ref="BN75:BN77"/>
    <mergeCell ref="BO75:BO77"/>
    <mergeCell ref="BP75:BP77"/>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U75:BU77"/>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AY37:AY39"/>
    <mergeCell ref="BA37:BA39"/>
    <mergeCell ref="BB37:BB39"/>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AY16:AY17"/>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F4:BF6"/>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G66:AG67"/>
    <mergeCell ref="AM66:AM67"/>
    <mergeCell ref="AN66:AN67"/>
    <mergeCell ref="AL79:AL80"/>
    <mergeCell ref="AP65:AP69"/>
    <mergeCell ref="AQ65:AQ69"/>
    <mergeCell ref="AM79:AM80"/>
    <mergeCell ref="AN79:AN80"/>
    <mergeCell ref="AH56:AH57"/>
    <mergeCell ref="AK56:AK57"/>
    <mergeCell ref="AO56:AO57"/>
    <mergeCell ref="AR56:AR57"/>
    <mergeCell ref="AR46:AR47"/>
    <mergeCell ref="AI45:AI46"/>
    <mergeCell ref="AJ45:AJ46"/>
    <mergeCell ref="AR51:AR52"/>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P48:AP49"/>
    <mergeCell ref="AI48:AI49"/>
    <mergeCell ref="AJ48:AJ49"/>
    <mergeCell ref="AP50:AP51"/>
    <mergeCell ref="AQ50:AQ51"/>
    <mergeCell ref="AQ48:AQ49"/>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H46:AH47"/>
    <mergeCell ref="AK46:AK47"/>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P17:AP19"/>
    <mergeCell ref="AQ17:AQ19"/>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Y71:Y73"/>
    <mergeCell ref="Y66:Y67"/>
    <mergeCell ref="AA66:AA67"/>
    <mergeCell ref="AA56:AA57"/>
    <mergeCell ref="Z71:Z73"/>
    <mergeCell ref="K16:K17"/>
    <mergeCell ref="L16:L17"/>
    <mergeCell ref="M16:M17"/>
    <mergeCell ref="K18:K20"/>
    <mergeCell ref="L18:L20"/>
    <mergeCell ref="M18:M20"/>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AE59:AE61"/>
    <mergeCell ref="AE62:AE65"/>
    <mergeCell ref="Y80:Y81"/>
    <mergeCell ref="AA80:AA81"/>
    <mergeCell ref="AD78:AD81"/>
    <mergeCell ref="Z75:Z77"/>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M14:M15"/>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H44:H45"/>
    <mergeCell ref="B66:B70"/>
    <mergeCell ref="C66:C70"/>
    <mergeCell ref="D66:D67"/>
    <mergeCell ref="E66:E67"/>
    <mergeCell ref="E46:E47"/>
    <mergeCell ref="H53:H54"/>
    <mergeCell ref="F46:F47"/>
    <mergeCell ref="G46:G47"/>
    <mergeCell ref="D46:D47"/>
    <mergeCell ref="I66:I67"/>
    <mergeCell ref="J66:J67"/>
    <mergeCell ref="D68:D69"/>
    <mergeCell ref="E68:E69"/>
    <mergeCell ref="F66:F67"/>
    <mergeCell ref="G66:G67"/>
    <mergeCell ref="I56:I57"/>
    <mergeCell ref="J56:J57"/>
    <mergeCell ref="F56:F57"/>
    <mergeCell ref="G56:G57"/>
    <mergeCell ref="B59:B65"/>
    <mergeCell ref="C59:C65"/>
    <mergeCell ref="D60:D61"/>
    <mergeCell ref="E60:E61"/>
    <mergeCell ref="D62:D63"/>
    <mergeCell ref="E62:E63"/>
    <mergeCell ref="B55:B58"/>
    <mergeCell ref="C55:C58"/>
    <mergeCell ref="D55:D57"/>
    <mergeCell ref="H56:H57"/>
    <mergeCell ref="H66:H67"/>
    <mergeCell ref="A2:A3"/>
    <mergeCell ref="B2:B3"/>
    <mergeCell ref="C2:C3"/>
    <mergeCell ref="D2:D3"/>
    <mergeCell ref="E2:E3"/>
    <mergeCell ref="F2:F3"/>
    <mergeCell ref="E7:E8"/>
    <mergeCell ref="D9:D11"/>
    <mergeCell ref="E9:E11"/>
    <mergeCell ref="F9:F11"/>
    <mergeCell ref="G9:G11"/>
    <mergeCell ref="I14:I15"/>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F44:F45"/>
    <mergeCell ref="G44:G45"/>
    <mergeCell ref="J37:J39"/>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C35:C53"/>
    <mergeCell ref="D37:D39"/>
    <mergeCell ref="E37:E39"/>
    <mergeCell ref="D44:D45"/>
    <mergeCell ref="E44:E45"/>
    <mergeCell ref="F37:F39"/>
    <mergeCell ref="A4:A11"/>
    <mergeCell ref="G37:G39"/>
    <mergeCell ref="F14:F15"/>
    <mergeCell ref="G14:G15"/>
    <mergeCell ref="D32:D33"/>
    <mergeCell ref="G53:G54"/>
    <mergeCell ref="D30:D31"/>
    <mergeCell ref="H37:H39"/>
    <mergeCell ref="I53:I54"/>
    <mergeCell ref="D42:D43"/>
    <mergeCell ref="E42:E43"/>
    <mergeCell ref="CL19:CL20"/>
    <mergeCell ref="J14:J15"/>
    <mergeCell ref="I21:I24"/>
    <mergeCell ref="D21:D24"/>
    <mergeCell ref="I37:I39"/>
    <mergeCell ref="I28:I29"/>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F28:F29"/>
    <mergeCell ref="G28:G29"/>
    <mergeCell ref="H28:H29"/>
    <mergeCell ref="D14:D15"/>
    <mergeCell ref="E14:E15"/>
    <mergeCell ref="H14:H15"/>
    <mergeCell ref="J28:J29"/>
    <mergeCell ref="J19:J20"/>
    <mergeCell ref="J21:J24"/>
    <mergeCell ref="H19:H20"/>
    <mergeCell ref="CD1:CK1"/>
    <mergeCell ref="CD2:CD3"/>
    <mergeCell ref="CE2:CE3"/>
    <mergeCell ref="CF2:CF3"/>
    <mergeCell ref="CG2:CG3"/>
    <mergeCell ref="CH2:CH3"/>
    <mergeCell ref="CI2:CI3"/>
    <mergeCell ref="CJ2:CJ3"/>
    <mergeCell ref="CK2:CK3"/>
    <mergeCell ref="CG7:CG8"/>
    <mergeCell ref="CH7:CH8"/>
    <mergeCell ref="CD9:CD11"/>
    <mergeCell ref="CE9:CE11"/>
    <mergeCell ref="CF9:CF11"/>
    <mergeCell ref="CG9:CG11"/>
    <mergeCell ref="CH9:CH11"/>
    <mergeCell ref="CI9:CI11"/>
    <mergeCell ref="CJ9:CJ11"/>
    <mergeCell ref="CK9:CK11"/>
    <mergeCell ref="CI7:CI8"/>
    <mergeCell ref="CF19:CF20"/>
    <mergeCell ref="CJ19:CJ20"/>
    <mergeCell ref="CD21:CD24"/>
    <mergeCell ref="CE21:CE24"/>
    <mergeCell ref="CF21:CF24"/>
    <mergeCell ref="CG21:CG24"/>
    <mergeCell ref="CH21:CH24"/>
    <mergeCell ref="CI21:CI24"/>
    <mergeCell ref="CJ21:CJ24"/>
    <mergeCell ref="CK21:CK24"/>
    <mergeCell ref="CD27:CD28"/>
    <mergeCell ref="CE27:CE28"/>
    <mergeCell ref="CG27:CG29"/>
    <mergeCell ref="CH27:CH29"/>
    <mergeCell ref="CI27:CI29"/>
    <mergeCell ref="CJ28:CJ29"/>
    <mergeCell ref="CK28:CK29"/>
    <mergeCell ref="CD19:CD20"/>
    <mergeCell ref="CF27:CF28"/>
    <mergeCell ref="CK18:CK20"/>
    <mergeCell ref="CK31:CK32"/>
    <mergeCell ref="CD37:CD39"/>
    <mergeCell ref="CE37:CE39"/>
    <mergeCell ref="CF37:CF39"/>
    <mergeCell ref="CG37:CG39"/>
    <mergeCell ref="CH37:CH39"/>
    <mergeCell ref="CI37:CI39"/>
    <mergeCell ref="CJ37:CJ39"/>
    <mergeCell ref="CK37:CK39"/>
    <mergeCell ref="CD44:CD45"/>
    <mergeCell ref="CE44:CE45"/>
    <mergeCell ref="CF44:CF45"/>
    <mergeCell ref="CG44:CG45"/>
    <mergeCell ref="CH44:CH45"/>
    <mergeCell ref="CI44:CI45"/>
    <mergeCell ref="CJ44:CJ45"/>
    <mergeCell ref="CK44:CK45"/>
    <mergeCell ref="CD46:CD47"/>
    <mergeCell ref="CE46:CE47"/>
    <mergeCell ref="CF46:CF47"/>
    <mergeCell ref="CG46:CG47"/>
    <mergeCell ref="CH46:CH47"/>
    <mergeCell ref="CI46:CI47"/>
    <mergeCell ref="CJ46:CJ47"/>
    <mergeCell ref="CK46:CK47"/>
    <mergeCell ref="CG49:CG50"/>
    <mergeCell ref="CH49:CH50"/>
    <mergeCell ref="CI49:CI50"/>
    <mergeCell ref="CD51:CD52"/>
    <mergeCell ref="CE51:CE52"/>
    <mergeCell ref="CF51:CF52"/>
    <mergeCell ref="CG51:CG52"/>
    <mergeCell ref="CH51:CH52"/>
    <mergeCell ref="CI51:CI52"/>
    <mergeCell ref="CJ51:CJ52"/>
    <mergeCell ref="CK51:CK52"/>
    <mergeCell ref="CH71:CH73"/>
    <mergeCell ref="CI71:CI73"/>
    <mergeCell ref="CJ71:CJ73"/>
    <mergeCell ref="CK71:CK73"/>
    <mergeCell ref="CD53:CD54"/>
    <mergeCell ref="CE53:CE54"/>
    <mergeCell ref="CF53:CF54"/>
    <mergeCell ref="CG53:CG54"/>
    <mergeCell ref="CH53:CH54"/>
    <mergeCell ref="CI53:CI54"/>
    <mergeCell ref="CJ53:CJ54"/>
    <mergeCell ref="CK53:CK54"/>
    <mergeCell ref="CG55:CG57"/>
    <mergeCell ref="CH55:CH57"/>
    <mergeCell ref="CI55:CI57"/>
    <mergeCell ref="CK55:CK57"/>
    <mergeCell ref="CD56:CD57"/>
    <mergeCell ref="CE56:CE57"/>
    <mergeCell ref="CF56:CF57"/>
    <mergeCell ref="CJ56:CJ57"/>
    <mergeCell ref="CG60:CG61"/>
    <mergeCell ref="CH60:CH61"/>
    <mergeCell ref="CI60:CI61"/>
    <mergeCell ref="CN27:CN28"/>
    <mergeCell ref="CD75:CD77"/>
    <mergeCell ref="CE75:CE77"/>
    <mergeCell ref="CF75:CF77"/>
    <mergeCell ref="CG75:CG77"/>
    <mergeCell ref="CH75:CH77"/>
    <mergeCell ref="CI75:CI77"/>
    <mergeCell ref="CJ75:CJ77"/>
    <mergeCell ref="CK75:CK77"/>
    <mergeCell ref="CD80:CD81"/>
    <mergeCell ref="CE80:CE81"/>
    <mergeCell ref="CF80:CF81"/>
    <mergeCell ref="CG80:CG81"/>
    <mergeCell ref="CH80:CH81"/>
    <mergeCell ref="CI80:CI81"/>
    <mergeCell ref="CJ80:CJ81"/>
    <mergeCell ref="CK80:CK81"/>
    <mergeCell ref="CG62:CG63"/>
    <mergeCell ref="CH62:CH63"/>
    <mergeCell ref="CI62:CI63"/>
    <mergeCell ref="CD66:CD67"/>
    <mergeCell ref="CE66:CE67"/>
    <mergeCell ref="CF66:CF67"/>
    <mergeCell ref="CG66:CG67"/>
    <mergeCell ref="CH66:CH67"/>
    <mergeCell ref="CI66:CI67"/>
    <mergeCell ref="CJ66:CJ67"/>
    <mergeCell ref="CK66:CK67"/>
    <mergeCell ref="CD71:CD73"/>
    <mergeCell ref="CE71:CE73"/>
    <mergeCell ref="CF71:CF73"/>
    <mergeCell ref="CG71:CG73"/>
  </mergeCells>
  <conditionalFormatting sqref="T4:T85">
    <cfRule type="cellIs" dxfId="64" priority="114" stopIfTrue="1" operator="between">
      <formula>0.8</formula>
      <formula>1.01</formula>
    </cfRule>
    <cfRule type="cellIs" dxfId="63" priority="115" stopIfTrue="1" operator="between">
      <formula>0.7</formula>
      <formula>0.79</formula>
    </cfRule>
    <cfRule type="cellIs" dxfId="62" priority="116" stopIfTrue="1" operator="between">
      <formula>0.6</formula>
      <formula>0.69</formula>
    </cfRule>
    <cfRule type="cellIs" dxfId="61" priority="117" stopIfTrue="1" operator="between">
      <formula>0.4</formula>
      <formula>0.59</formula>
    </cfRule>
    <cfRule type="cellIs" dxfId="60" priority="118" stopIfTrue="1" operator="between">
      <formula>0</formula>
      <formula>0.39</formula>
    </cfRule>
  </conditionalFormatting>
  <conditionalFormatting sqref="AA4:AA85">
    <cfRule type="cellIs" dxfId="59" priority="129" stopIfTrue="1" operator="between">
      <formula>0.8</formula>
      <formula>1.01</formula>
    </cfRule>
    <cfRule type="cellIs" dxfId="58" priority="130" stopIfTrue="1" operator="between">
      <formula>0.7</formula>
      <formula>0.79</formula>
    </cfRule>
    <cfRule type="cellIs" dxfId="57" priority="131" stopIfTrue="1" operator="between">
      <formula>0.6</formula>
      <formula>0.69</formula>
    </cfRule>
    <cfRule type="cellIs" dxfId="56" priority="132" stopIfTrue="1" operator="between">
      <formula>0.4</formula>
      <formula>0.59</formula>
    </cfRule>
    <cfRule type="cellIs" dxfId="55" priority="133" stopIfTrue="1" operator="between">
      <formula>0</formula>
      <formula>0.39</formula>
    </cfRule>
  </conditionalFormatting>
  <conditionalFormatting sqref="AH4:AH85">
    <cfRule type="cellIs" dxfId="54" priority="104" stopIfTrue="1" operator="between">
      <formula>0.8</formula>
      <formula>1.01</formula>
    </cfRule>
    <cfRule type="cellIs" dxfId="53" priority="105" stopIfTrue="1" operator="between">
      <formula>0.7</formula>
      <formula>0.79</formula>
    </cfRule>
    <cfRule type="cellIs" dxfId="52" priority="106" stopIfTrue="1" operator="between">
      <formula>0.6</formula>
      <formula>0.69</formula>
    </cfRule>
    <cfRule type="cellIs" dxfId="51" priority="107" stopIfTrue="1" operator="between">
      <formula>0.4</formula>
      <formula>0.59</formula>
    </cfRule>
    <cfRule type="cellIs" dxfId="50" priority="108" stopIfTrue="1" operator="between">
      <formula>0</formula>
      <formula>0.39</formula>
    </cfRule>
  </conditionalFormatting>
  <conditionalFormatting sqref="AO4:AO85">
    <cfRule type="cellIs" dxfId="49" priority="109" stopIfTrue="1" operator="between">
      <formula>0.8</formula>
      <formula>1.01</formula>
    </cfRule>
    <cfRule type="cellIs" dxfId="48" priority="110" stopIfTrue="1" operator="between">
      <formula>0.7</formula>
      <formula>0.79</formula>
    </cfRule>
    <cfRule type="cellIs" dxfId="47" priority="111" stopIfTrue="1" operator="between">
      <formula>0.6</formula>
      <formula>0.69</formula>
    </cfRule>
    <cfRule type="cellIs" dxfId="46" priority="112" stopIfTrue="1" operator="between">
      <formula>0.4</formula>
      <formula>0.59</formula>
    </cfRule>
    <cfRule type="cellIs" dxfId="45" priority="113" stopIfTrue="1" operator="between">
      <formula>0</formula>
      <formula>0.39</formula>
    </cfRule>
  </conditionalFormatting>
  <conditionalFormatting sqref="AV4:AV85">
    <cfRule type="cellIs" dxfId="44" priority="94" stopIfTrue="1" operator="between">
      <formula>0.8</formula>
      <formula>1.01</formula>
    </cfRule>
    <cfRule type="cellIs" dxfId="43" priority="95" stopIfTrue="1" operator="between">
      <formula>0.7</formula>
      <formula>0.79</formula>
    </cfRule>
    <cfRule type="cellIs" dxfId="42" priority="96" stopIfTrue="1" operator="between">
      <formula>0.6</formula>
      <formula>0.69</formula>
    </cfRule>
    <cfRule type="cellIs" dxfId="41" priority="97" stopIfTrue="1" operator="between">
      <formula>0.4</formula>
      <formula>0.59</formula>
    </cfRule>
    <cfRule type="cellIs" dxfId="40" priority="98" stopIfTrue="1" operator="between">
      <formula>0</formula>
      <formula>0.39</formula>
    </cfRule>
  </conditionalFormatting>
  <conditionalFormatting sqref="BC4:BC85">
    <cfRule type="cellIs" dxfId="39" priority="99" stopIfTrue="1" operator="between">
      <formula>0.8</formula>
      <formula>1.01</formula>
    </cfRule>
    <cfRule type="cellIs" dxfId="38" priority="100" stopIfTrue="1" operator="between">
      <formula>0.7</formula>
      <formula>0.79</formula>
    </cfRule>
    <cfRule type="cellIs" dxfId="37" priority="101" stopIfTrue="1" operator="between">
      <formula>0.6</formula>
      <formula>0.69</formula>
    </cfRule>
    <cfRule type="cellIs" dxfId="36" priority="102" stopIfTrue="1" operator="between">
      <formula>0.4</formula>
      <formula>0.59</formula>
    </cfRule>
    <cfRule type="cellIs" dxfId="35" priority="103" stopIfTrue="1" operator="between">
      <formula>0</formula>
      <formula>0.39</formula>
    </cfRule>
  </conditionalFormatting>
  <conditionalFormatting sqref="BJ2:BJ85">
    <cfRule type="cellIs" dxfId="34" priority="79" operator="between">
      <formula>0.8</formula>
      <formula>1.01</formula>
    </cfRule>
    <cfRule type="cellIs" dxfId="33" priority="80" operator="between">
      <formula>0.7</formula>
      <formula>0.79</formula>
    </cfRule>
    <cfRule type="cellIs" dxfId="32" priority="81" operator="between">
      <formula>0.6</formula>
      <formula>0.69</formula>
    </cfRule>
    <cfRule type="cellIs" dxfId="31" priority="82" operator="between">
      <formula>0.4</formula>
      <formula>0.59</formula>
    </cfRule>
    <cfRule type="cellIs" dxfId="30" priority="83" operator="between">
      <formula>0</formula>
      <formula>0.39</formula>
    </cfRule>
  </conditionalFormatting>
  <conditionalFormatting sqref="BQ4:BQ85">
    <cfRule type="cellIs" dxfId="29" priority="74" stopIfTrue="1" operator="between">
      <formula>0.8</formula>
      <formula>1.01</formula>
    </cfRule>
    <cfRule type="cellIs" dxfId="28" priority="75" stopIfTrue="1" operator="between">
      <formula>0.7</formula>
      <formula>0.79</formula>
    </cfRule>
    <cfRule type="cellIs" dxfId="27" priority="76" stopIfTrue="1" operator="between">
      <formula>0.6</formula>
      <formula>0.69</formula>
    </cfRule>
    <cfRule type="cellIs" dxfId="26" priority="77" stopIfTrue="1" operator="between">
      <formula>0.4</formula>
      <formula>0.59</formula>
    </cfRule>
    <cfRule type="cellIs" dxfId="25" priority="78" stopIfTrue="1" operator="between">
      <formula>0</formula>
      <formula>0.39</formula>
    </cfRule>
  </conditionalFormatting>
  <conditionalFormatting sqref="BX4:BX85">
    <cfRule type="cellIs" dxfId="24" priority="69" stopIfTrue="1" operator="between">
      <formula>0.8</formula>
      <formula>1.01</formula>
    </cfRule>
    <cfRule type="cellIs" dxfId="23" priority="70" stopIfTrue="1" operator="between">
      <formula>0.7</formula>
      <formula>0.79</formula>
    </cfRule>
    <cfRule type="cellIs" dxfId="22" priority="71" stopIfTrue="1" operator="between">
      <formula>0.6</formula>
      <formula>0.69</formula>
    </cfRule>
    <cfRule type="cellIs" dxfId="21" priority="72" stopIfTrue="1" operator="between">
      <formula>0.4</formula>
      <formula>0.59</formula>
    </cfRule>
    <cfRule type="cellIs" dxfId="20" priority="73" stopIfTrue="1" operator="between">
      <formula>0</formula>
      <formula>0.39</formula>
    </cfRule>
  </conditionalFormatting>
  <conditionalFormatting sqref="CA1:CA3 CA86:CA1048576">
    <cfRule type="cellIs" priority="38" operator="between">
      <formula>1</formula>
      <formula>100</formula>
    </cfRule>
  </conditionalFormatting>
  <conditionalFormatting sqref="CA4:CA85">
    <cfRule type="cellIs" dxfId="19" priority="33" operator="between">
      <formula>0.8</formula>
      <formula>1</formula>
    </cfRule>
    <cfRule type="cellIs" dxfId="18" priority="34" operator="between">
      <formula>0.7</formula>
      <formula>0.79</formula>
    </cfRule>
    <cfRule type="cellIs" dxfId="17" priority="35" operator="between">
      <formula>0.6</formula>
      <formula>0.69</formula>
    </cfRule>
    <cfRule type="cellIs" dxfId="16" priority="36" operator="between">
      <formula>0.4</formula>
      <formula>0.59</formula>
    </cfRule>
    <cfRule type="cellIs" dxfId="15" priority="37" stopIfTrue="1" operator="between">
      <formula>0</formula>
      <formula>0.39</formula>
    </cfRule>
  </conditionalFormatting>
  <conditionalFormatting sqref="CF4:CF27 CF29:CF85">
    <cfRule type="cellIs" dxfId="14" priority="17" stopIfTrue="1" operator="between">
      <formula>0.8</formula>
      <formula>1.01</formula>
    </cfRule>
    <cfRule type="cellIs" dxfId="13" priority="18" stopIfTrue="1" operator="between">
      <formula>0.7</formula>
      <formula>0.79</formula>
    </cfRule>
    <cfRule type="cellIs" dxfId="12" priority="19" stopIfTrue="1" operator="between">
      <formula>0.6</formula>
      <formula>0.69</formula>
    </cfRule>
    <cfRule type="cellIs" dxfId="11" priority="20" stopIfTrue="1" operator="between">
      <formula>0.4</formula>
      <formula>0.59</formula>
    </cfRule>
    <cfRule type="cellIs" dxfId="10" priority="21" stopIfTrue="1" operator="between">
      <formula>0</formula>
      <formula>0.39</formula>
    </cfRule>
  </conditionalFormatting>
  <conditionalFormatting sqref="CI1:CI3">
    <cfRule type="cellIs" priority="27" operator="between">
      <formula>1</formula>
      <formula>100</formula>
    </cfRule>
  </conditionalFormatting>
  <conditionalFormatting sqref="CI9:CI85 CI4:CI7">
    <cfRule type="cellIs" dxfId="9" priority="1" operator="between">
      <formula>0.8</formula>
      <formula>1</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stopIfTrue="1" operator="between">
      <formula>0</formula>
      <formula>0.39</formula>
    </cfRule>
  </conditionalFormatting>
  <conditionalFormatting sqref="CI86:CI87">
    <cfRule type="cellIs" priority="11" operator="between">
      <formula>1</formula>
      <formula>100</formula>
    </cfRule>
  </conditionalFormatting>
  <conditionalFormatting sqref="CN4:CN7 CN9:CN16 CN18 CN21:CN27 CN30:CN49 CN51:CN55 CN58:CN60 CN62 CN64:CN85">
    <cfRule type="cellIs" dxfId="4" priority="12" stopIfTrue="1" operator="between">
      <formula>0.8</formula>
      <formula>1.01</formula>
    </cfRule>
    <cfRule type="cellIs" dxfId="3" priority="13" stopIfTrue="1" operator="between">
      <formula>0.7</formula>
      <formula>0.79</formula>
    </cfRule>
    <cfRule type="cellIs" dxfId="2" priority="14" stopIfTrue="1" operator="between">
      <formula>0.6</formula>
      <formula>0.69</formula>
    </cfRule>
    <cfRule type="cellIs" dxfId="1" priority="15" stopIfTrue="1" operator="between">
      <formula>0.4</formula>
      <formula>0.59</formula>
    </cfRule>
    <cfRule type="cellIs" dxfId="0" priority="16" stopIfTrue="1" operator="between">
      <formula>0</formula>
      <formula>0.39</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13" zoomScale="90" zoomScaleNormal="90" workbookViewId="0">
      <selection activeCell="B8" sqref="B8"/>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5" t="s">
        <v>284</v>
      </c>
      <c r="B2" s="6" t="s">
        <v>285</v>
      </c>
    </row>
    <row r="3" spans="1:4" ht="15.75" thickBot="1" x14ac:dyDescent="0.3">
      <c r="A3" s="7" t="s">
        <v>411</v>
      </c>
      <c r="B3" s="8">
        <f>D35</f>
        <v>18</v>
      </c>
      <c r="D3" s="237"/>
    </row>
    <row r="4" spans="1:4" ht="15.75" thickBot="1" x14ac:dyDescent="0.3">
      <c r="A4" s="9" t="s">
        <v>405</v>
      </c>
      <c r="B4" s="8">
        <v>8</v>
      </c>
      <c r="D4" s="237"/>
    </row>
    <row r="5" spans="1:4" ht="15.75" thickBot="1" x14ac:dyDescent="0.3">
      <c r="A5" s="10" t="s">
        <v>406</v>
      </c>
      <c r="B5" s="8">
        <f>F35</f>
        <v>3</v>
      </c>
      <c r="D5" s="237"/>
    </row>
    <row r="6" spans="1:4" ht="15.75" thickBot="1" x14ac:dyDescent="0.3">
      <c r="A6" s="11" t="s">
        <v>407</v>
      </c>
      <c r="B6" s="8">
        <f>G35</f>
        <v>2</v>
      </c>
      <c r="D6" s="237"/>
    </row>
    <row r="7" spans="1:4" ht="15.75" thickBot="1" x14ac:dyDescent="0.3">
      <c r="A7" s="12" t="s">
        <v>408</v>
      </c>
      <c r="B7" s="8">
        <f>H35</f>
        <v>30</v>
      </c>
      <c r="D7" s="237"/>
    </row>
    <row r="9" spans="1:4" x14ac:dyDescent="0.25">
      <c r="B9" s="4">
        <f>SUM(B3:B7)</f>
        <v>61</v>
      </c>
    </row>
    <row r="27" spans="1:9" ht="15.75" thickBot="1" x14ac:dyDescent="0.3"/>
    <row r="28" spans="1:9" ht="15.75" customHeight="1" thickBot="1" x14ac:dyDescent="0.3">
      <c r="A28" s="820" t="s">
        <v>413</v>
      </c>
      <c r="B28" s="822" t="s">
        <v>414</v>
      </c>
      <c r="C28" s="822" t="s">
        <v>4</v>
      </c>
      <c r="D28" s="824" t="s">
        <v>985</v>
      </c>
      <c r="E28" s="825"/>
      <c r="F28" s="825"/>
      <c r="G28" s="825"/>
      <c r="H28" s="825"/>
      <c r="I28" s="826"/>
    </row>
    <row r="29" spans="1:9" ht="31.5" customHeight="1" thickBot="1" x14ac:dyDescent="0.3">
      <c r="A29" s="821"/>
      <c r="B29" s="823"/>
      <c r="C29" s="823"/>
      <c r="D29" s="17" t="s">
        <v>404</v>
      </c>
      <c r="E29" s="17" t="s">
        <v>405</v>
      </c>
      <c r="F29" s="17" t="s">
        <v>406</v>
      </c>
      <c r="G29" s="17" t="s">
        <v>407</v>
      </c>
      <c r="H29" s="17" t="s">
        <v>408</v>
      </c>
      <c r="I29" s="18" t="s">
        <v>409</v>
      </c>
    </row>
    <row r="30" spans="1:9" ht="26.25" thickBot="1" x14ac:dyDescent="0.3">
      <c r="A30" s="19">
        <v>1</v>
      </c>
      <c r="B30" s="20" t="s">
        <v>9</v>
      </c>
      <c r="C30" s="21">
        <v>6</v>
      </c>
      <c r="D30" s="22">
        <v>2</v>
      </c>
      <c r="E30" s="23"/>
      <c r="F30" s="13"/>
      <c r="G30" s="24">
        <v>1</v>
      </c>
      <c r="H30" s="25">
        <v>3</v>
      </c>
      <c r="I30" s="26">
        <f>SUM(D30:H30)</f>
        <v>6</v>
      </c>
    </row>
    <row r="31" spans="1:9" ht="29.25" customHeight="1" thickBot="1" x14ac:dyDescent="0.3">
      <c r="A31" s="19">
        <v>2</v>
      </c>
      <c r="B31" s="20" t="s">
        <v>26</v>
      </c>
      <c r="C31" s="21">
        <v>44</v>
      </c>
      <c r="D31" s="22">
        <v>16</v>
      </c>
      <c r="E31" s="23">
        <v>5</v>
      </c>
      <c r="F31" s="27">
        <v>3</v>
      </c>
      <c r="G31" s="24"/>
      <c r="H31" s="25">
        <v>20</v>
      </c>
      <c r="I31" s="26">
        <f>SUM(D31:H31)</f>
        <v>44</v>
      </c>
    </row>
    <row r="32" spans="1:9" ht="26.25" thickBot="1" x14ac:dyDescent="0.3">
      <c r="A32" s="19">
        <v>3</v>
      </c>
      <c r="B32" s="20" t="s">
        <v>203</v>
      </c>
      <c r="C32" s="21">
        <v>4</v>
      </c>
      <c r="D32" s="22"/>
      <c r="E32" s="23">
        <v>1</v>
      </c>
      <c r="F32" s="27"/>
      <c r="G32" s="24"/>
      <c r="H32" s="25">
        <v>3</v>
      </c>
      <c r="I32" s="26">
        <f t="shared" ref="I32:I34" si="0">SUM(D32:H32)</f>
        <v>4</v>
      </c>
    </row>
    <row r="33" spans="1:9" ht="26.25" thickBot="1" x14ac:dyDescent="0.3">
      <c r="A33" s="19">
        <v>4</v>
      </c>
      <c r="B33" s="20" t="s">
        <v>220</v>
      </c>
      <c r="C33" s="21">
        <v>3</v>
      </c>
      <c r="D33" s="22"/>
      <c r="E33" s="23">
        <v>1</v>
      </c>
      <c r="F33" s="13"/>
      <c r="G33" s="24">
        <v>1</v>
      </c>
      <c r="H33" s="25">
        <v>1</v>
      </c>
      <c r="I33" s="26">
        <f t="shared" si="0"/>
        <v>3</v>
      </c>
    </row>
    <row r="34" spans="1:9" ht="26.25" thickBot="1" x14ac:dyDescent="0.3">
      <c r="A34" s="19">
        <v>5</v>
      </c>
      <c r="B34" s="20" t="s">
        <v>410</v>
      </c>
      <c r="C34" s="21">
        <v>4</v>
      </c>
      <c r="D34" s="49"/>
      <c r="E34" s="23">
        <v>1</v>
      </c>
      <c r="F34" s="27"/>
      <c r="G34" s="24"/>
      <c r="H34" s="25">
        <v>3</v>
      </c>
      <c r="I34" s="26">
        <f t="shared" si="0"/>
        <v>4</v>
      </c>
    </row>
    <row r="35" spans="1:9" ht="15.75" thickBot="1" x14ac:dyDescent="0.3">
      <c r="A35" s="827" t="s">
        <v>415</v>
      </c>
      <c r="B35" s="828"/>
      <c r="C35" s="829"/>
      <c r="D35" s="28">
        <f>SUM(D30:D34)</f>
        <v>18</v>
      </c>
      <c r="E35" s="28">
        <f t="shared" ref="E35:G35" si="1">SUM(E30:E34)</f>
        <v>8</v>
      </c>
      <c r="F35" s="28">
        <f t="shared" si="1"/>
        <v>3</v>
      </c>
      <c r="G35" s="28">
        <f t="shared" si="1"/>
        <v>2</v>
      </c>
      <c r="H35" s="28">
        <f>SUM(H30:H34)</f>
        <v>30</v>
      </c>
      <c r="I35" s="28">
        <f>SUM(I30:I34)</f>
        <v>61</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2023-11-28T20:56:01Z</dcterms:modified>
</cp:coreProperties>
</file>