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820" windowHeight="5115" activeTab="0"/>
  </bookViews>
  <sheets>
    <sheet name="PI" sheetId="1" r:id="rId1"/>
    <sheet name="PA" sheetId="2" r:id="rId2"/>
    <sheet name="Hoja3" sheetId="3" r:id="rId3"/>
  </sheets>
  <definedNames/>
  <calcPr fullCalcOnLoad="1"/>
</workbook>
</file>

<file path=xl/comments1.xml><?xml version="1.0" encoding="utf-8"?>
<comments xmlns="http://schemas.openxmlformats.org/spreadsheetml/2006/main">
  <authors>
    <author>SYepez</author>
    <author> </author>
  </authors>
  <commentList>
    <comment ref="AN51" authorId="0">
      <text>
        <r>
          <rPr>
            <b/>
            <sz val="9"/>
            <rFont val="Tahoma"/>
            <family val="2"/>
          </rPr>
          <t>DANE 2012</t>
        </r>
      </text>
    </comment>
    <comment ref="W51" authorId="0">
      <text>
        <r>
          <rPr>
            <b/>
            <sz val="9"/>
            <rFont val="Tahoma"/>
            <family val="2"/>
          </rPr>
          <t>DANE 2012</t>
        </r>
      </text>
    </comment>
    <comment ref="V51" authorId="0">
      <text>
        <r>
          <rPr>
            <b/>
            <sz val="9"/>
            <rFont val="Tahoma"/>
            <family val="2"/>
          </rPr>
          <t>DANE 2012</t>
        </r>
      </text>
    </comment>
    <comment ref="S51" authorId="0">
      <text>
        <r>
          <rPr>
            <b/>
            <sz val="9"/>
            <rFont val="Tahoma"/>
            <family val="2"/>
          </rPr>
          <t>DIAGNOSTICO SOCIAL SITUACIONAL</t>
        </r>
      </text>
    </comment>
    <comment ref="P51" authorId="0">
      <text>
        <r>
          <rPr>
            <b/>
            <sz val="9"/>
            <rFont val="Tahoma"/>
            <family val="2"/>
          </rPr>
          <t>DANE 2012</t>
        </r>
      </text>
    </comment>
    <comment ref="O51" authorId="0">
      <text>
        <r>
          <rPr>
            <b/>
            <sz val="9"/>
            <rFont val="Tahoma"/>
            <family val="2"/>
          </rPr>
          <t>DANE 2012</t>
        </r>
      </text>
    </comment>
    <comment ref="O7" authorId="0">
      <text>
        <r>
          <rPr>
            <b/>
            <sz val="9"/>
            <rFont val="Tahoma"/>
            <family val="2"/>
          </rPr>
          <t>EL PROYECTO A CUANTAS MUJERES VA A BENEFICIAR</t>
        </r>
      </text>
    </comment>
    <comment ref="Q6" authorId="0">
      <text>
        <r>
          <rPr>
            <sz val="9"/>
            <rFont val="Tahoma"/>
            <family val="2"/>
          </rPr>
          <t xml:space="preserve">EL PROYECTO A CTAS PERSONAS VA A BENEFICIAR EN EL CICLO VITAL
</t>
        </r>
      </text>
    </comment>
    <comment ref="V6" authorId="0">
      <text>
        <r>
          <t/>
        </r>
      </text>
    </comment>
    <comment ref="O15" authorId="0">
      <text>
        <r>
          <rPr>
            <b/>
            <sz val="9"/>
            <rFont val="Tahoma"/>
            <family val="2"/>
          </rPr>
          <t>DANE 2012</t>
        </r>
      </text>
    </comment>
    <comment ref="P15" authorId="0">
      <text>
        <r>
          <rPr>
            <b/>
            <sz val="9"/>
            <rFont val="Tahoma"/>
            <family val="2"/>
          </rPr>
          <t>DANE 2012</t>
        </r>
      </text>
    </comment>
    <comment ref="V15" authorId="0">
      <text>
        <r>
          <rPr>
            <b/>
            <sz val="9"/>
            <rFont val="Tahoma"/>
            <family val="2"/>
          </rPr>
          <t>DANE 2012</t>
        </r>
      </text>
    </comment>
    <comment ref="W15" authorId="0">
      <text>
        <r>
          <rPr>
            <b/>
            <sz val="9"/>
            <rFont val="Tahoma"/>
            <family val="2"/>
          </rPr>
          <t>DANE 2012</t>
        </r>
      </text>
    </comment>
    <comment ref="Z15" authorId="0">
      <text>
        <r>
          <rPr>
            <b/>
            <sz val="9"/>
            <rFont val="Tahoma"/>
            <family val="2"/>
          </rPr>
          <t>DANE 2012</t>
        </r>
      </text>
    </comment>
    <comment ref="AA15" authorId="0">
      <text>
        <r>
          <rPr>
            <b/>
            <sz val="9"/>
            <rFont val="Tahoma"/>
            <family val="2"/>
          </rPr>
          <t>DANE 2012</t>
        </r>
      </text>
    </comment>
    <comment ref="AG15" authorId="0">
      <text>
        <r>
          <rPr>
            <b/>
            <sz val="9"/>
            <rFont val="Tahoma"/>
            <family val="2"/>
          </rPr>
          <t>DANE 2012</t>
        </r>
      </text>
    </comment>
    <comment ref="O22" authorId="0">
      <text>
        <r>
          <rPr>
            <b/>
            <sz val="9"/>
            <rFont val="Tahoma"/>
            <family val="2"/>
          </rPr>
          <t>DANE 2012</t>
        </r>
      </text>
    </comment>
    <comment ref="P22" authorId="0">
      <text>
        <r>
          <rPr>
            <b/>
            <sz val="9"/>
            <rFont val="Tahoma"/>
            <family val="2"/>
          </rPr>
          <t>DANE 2012</t>
        </r>
      </text>
    </comment>
    <comment ref="V22" authorId="0">
      <text>
        <r>
          <rPr>
            <b/>
            <sz val="9"/>
            <rFont val="Tahoma"/>
            <family val="2"/>
          </rPr>
          <t>DANE 2012</t>
        </r>
      </text>
    </comment>
    <comment ref="W22" authorId="0">
      <text>
        <r>
          <rPr>
            <b/>
            <sz val="9"/>
            <rFont val="Tahoma"/>
            <family val="2"/>
          </rPr>
          <t>DANE 2012</t>
        </r>
      </text>
    </comment>
    <comment ref="Z22" authorId="0">
      <text>
        <r>
          <rPr>
            <b/>
            <sz val="9"/>
            <rFont val="Tahoma"/>
            <family val="2"/>
          </rPr>
          <t>DANE 2012</t>
        </r>
      </text>
    </comment>
    <comment ref="AA22" authorId="0">
      <text>
        <r>
          <rPr>
            <b/>
            <sz val="9"/>
            <rFont val="Tahoma"/>
            <family val="2"/>
          </rPr>
          <t>DANE 2012</t>
        </r>
      </text>
    </comment>
    <comment ref="AG22" authorId="0">
      <text>
        <r>
          <rPr>
            <b/>
            <sz val="9"/>
            <rFont val="Tahoma"/>
            <family val="2"/>
          </rPr>
          <t>DANE 2012</t>
        </r>
      </text>
    </comment>
    <comment ref="O27" authorId="0">
      <text>
        <r>
          <rPr>
            <b/>
            <sz val="9"/>
            <rFont val="Tahoma"/>
            <family val="2"/>
          </rPr>
          <t>DANE 2012</t>
        </r>
      </text>
    </comment>
    <comment ref="P27" authorId="0">
      <text>
        <r>
          <rPr>
            <b/>
            <sz val="9"/>
            <rFont val="Tahoma"/>
            <family val="2"/>
          </rPr>
          <t>DANE 2012</t>
        </r>
      </text>
    </comment>
    <comment ref="V27" authorId="0">
      <text>
        <r>
          <rPr>
            <b/>
            <sz val="9"/>
            <rFont val="Tahoma"/>
            <family val="2"/>
          </rPr>
          <t>DANE 2012</t>
        </r>
      </text>
    </comment>
    <comment ref="W27" authorId="0">
      <text>
        <r>
          <rPr>
            <b/>
            <sz val="9"/>
            <rFont val="Tahoma"/>
            <family val="2"/>
          </rPr>
          <t>DANE 2012</t>
        </r>
      </text>
    </comment>
    <comment ref="Z27" authorId="0">
      <text>
        <r>
          <rPr>
            <b/>
            <sz val="9"/>
            <rFont val="Tahoma"/>
            <family val="2"/>
          </rPr>
          <t>DANE 2012</t>
        </r>
      </text>
    </comment>
    <comment ref="AA27" authorId="0">
      <text>
        <r>
          <rPr>
            <b/>
            <sz val="9"/>
            <rFont val="Tahoma"/>
            <family val="2"/>
          </rPr>
          <t>DANE 2012</t>
        </r>
      </text>
    </comment>
    <comment ref="AG27" authorId="0">
      <text>
        <r>
          <rPr>
            <b/>
            <sz val="9"/>
            <rFont val="Tahoma"/>
            <family val="2"/>
          </rPr>
          <t>DANE 2012</t>
        </r>
      </text>
    </comment>
    <comment ref="O33" authorId="0">
      <text>
        <r>
          <rPr>
            <b/>
            <sz val="9"/>
            <rFont val="Tahoma"/>
            <family val="2"/>
          </rPr>
          <t>DANE 2012</t>
        </r>
      </text>
    </comment>
    <comment ref="P33" authorId="0">
      <text>
        <r>
          <rPr>
            <b/>
            <sz val="9"/>
            <rFont val="Tahoma"/>
            <family val="2"/>
          </rPr>
          <t>DANE 2012</t>
        </r>
      </text>
    </comment>
    <comment ref="AF33" authorId="0">
      <text>
        <r>
          <rPr>
            <b/>
            <sz val="9"/>
            <rFont val="Tahoma"/>
            <family val="2"/>
          </rPr>
          <t>DANE 2012</t>
        </r>
      </text>
    </comment>
    <comment ref="AG33" authorId="0">
      <text>
        <r>
          <rPr>
            <b/>
            <sz val="9"/>
            <rFont val="Tahoma"/>
            <family val="2"/>
          </rPr>
          <t>DANE 2012</t>
        </r>
      </text>
    </comment>
    <comment ref="O47" authorId="0">
      <text>
        <r>
          <rPr>
            <b/>
            <sz val="9"/>
            <rFont val="Tahoma"/>
            <family val="2"/>
          </rPr>
          <t>DANE 2012</t>
        </r>
      </text>
    </comment>
    <comment ref="P47" authorId="0">
      <text>
        <r>
          <rPr>
            <b/>
            <sz val="9"/>
            <rFont val="Tahoma"/>
            <family val="2"/>
          </rPr>
          <t>DANE 2012</t>
        </r>
      </text>
    </comment>
    <comment ref="S47" authorId="0">
      <text>
        <r>
          <rPr>
            <b/>
            <sz val="9"/>
            <rFont val="Tahoma"/>
            <family val="2"/>
          </rPr>
          <t xml:space="preserve">DIAGNOSTICO SOCIAL SITUACIONAL
</t>
        </r>
      </text>
    </comment>
    <comment ref="V47" authorId="0">
      <text>
        <r>
          <rPr>
            <b/>
            <sz val="9"/>
            <rFont val="Tahoma"/>
            <family val="2"/>
          </rPr>
          <t>DANE 2012</t>
        </r>
      </text>
    </comment>
    <comment ref="W47" authorId="0">
      <text>
        <r>
          <rPr>
            <b/>
            <sz val="9"/>
            <rFont val="Tahoma"/>
            <family val="2"/>
          </rPr>
          <t>DANE 2012</t>
        </r>
      </text>
    </comment>
    <comment ref="AN47" authorId="0">
      <text>
        <r>
          <rPr>
            <b/>
            <sz val="9"/>
            <rFont val="Tahoma"/>
            <family val="2"/>
          </rPr>
          <t>DANE 2012</t>
        </r>
      </text>
    </comment>
    <comment ref="G55" authorId="1">
      <text>
        <r>
          <rPr>
            <b/>
            <sz val="10"/>
            <rFont val="Tahoma"/>
            <family val="0"/>
          </rPr>
          <t>X ORDENANZA QUEDO CREADO EL FONDO, PARA EL PROXIMO INFORME PREGUNTAR A LA DRA DIANA</t>
        </r>
      </text>
    </comment>
  </commentList>
</comments>
</file>

<file path=xl/sharedStrings.xml><?xml version="1.0" encoding="utf-8"?>
<sst xmlns="http://schemas.openxmlformats.org/spreadsheetml/2006/main" count="465" uniqueCount="366">
  <si>
    <t>El contrato de ayuda humanitaria  esta en proceso de legalizacion, para su ejecucion, pero los proceso judiciales para el lacance de esta meta han tenido un avance</t>
  </si>
  <si>
    <t xml:space="preserve">Los PARIV apoyados, actualizados y/o implementados quedan en firme en el mes de noviembre, donde se podra disponer de la evidencia . (pero se han adelantado diferentes reuniones) </t>
  </si>
  <si>
    <t>1.5.46</t>
  </si>
  <si>
    <t>1.5.46.42</t>
  </si>
  <si>
    <t>1.5.48</t>
  </si>
  <si>
    <t>1.5.48.43</t>
  </si>
  <si>
    <t>1.5.48.43.P.107</t>
  </si>
  <si>
    <t>1.5.48.43P.106</t>
  </si>
  <si>
    <t>1.5.48.43.P.105</t>
  </si>
  <si>
    <t>1.5.49</t>
  </si>
  <si>
    <t>1.5.49.44</t>
  </si>
  <si>
    <t>1.5.49.44.P.108</t>
  </si>
  <si>
    <t>1.5.49.44.P.109</t>
  </si>
  <si>
    <t>1.5.49.44.P.110</t>
  </si>
  <si>
    <t>1.8.63</t>
  </si>
  <si>
    <t>1.8.63.56</t>
  </si>
  <si>
    <t>1.8.63.56.P.133</t>
  </si>
  <si>
    <t>1.8.63.56.P.134</t>
  </si>
  <si>
    <t>1.8.63.57</t>
  </si>
  <si>
    <t>1.8.63.57.P.135</t>
  </si>
  <si>
    <t>1.8.63.57.P.136</t>
  </si>
  <si>
    <t>1.8.63.57.P.137</t>
  </si>
  <si>
    <t>1.8.63.57.P.138</t>
  </si>
  <si>
    <t>1.8.63.58</t>
  </si>
  <si>
    <t>1.8.63.58.P.139</t>
  </si>
  <si>
    <t>1.8.63.58.P.140</t>
  </si>
  <si>
    <t>IDENFICACION</t>
  </si>
  <si>
    <t>4.18.97</t>
  </si>
  <si>
    <t>4.18.97.124</t>
  </si>
  <si>
    <t>4.18.97.124.P.306</t>
  </si>
  <si>
    <t>4.18.97.124.P.307</t>
  </si>
  <si>
    <t>4.18.97.124.P.308</t>
  </si>
  <si>
    <t>4.18.97.125</t>
  </si>
  <si>
    <t>4.18.97.125.P.309</t>
  </si>
  <si>
    <t>4.18.97.125.P.310</t>
  </si>
  <si>
    <t>4.18.97.125.P.311</t>
  </si>
  <si>
    <t>4.18.97.125.P.312</t>
  </si>
  <si>
    <t>4.18.97.125.P.313</t>
  </si>
  <si>
    <t>4.18.97.125.P.314</t>
  </si>
  <si>
    <t>5.21.103</t>
  </si>
  <si>
    <t>5.21.103.136</t>
  </si>
  <si>
    <t>5.21.103.136.P.346</t>
  </si>
  <si>
    <t>5.21.103.136.P.347</t>
  </si>
  <si>
    <t>5.21.103.136.P.348</t>
  </si>
  <si>
    <t>5.21.103.136.P.349</t>
  </si>
  <si>
    <t>5.21.103.136.P.350</t>
  </si>
  <si>
    <r>
      <t xml:space="preserve">Gobierno </t>
    </r>
    <r>
      <rPr>
        <b/>
        <sz val="28"/>
        <rFont val="Mistral"/>
        <family val="4"/>
      </rPr>
      <t>firme</t>
    </r>
    <r>
      <rPr>
        <b/>
        <sz val="28"/>
        <rFont val="Arial"/>
        <family val="2"/>
      </rPr>
      <t xml:space="preserve"> por un Quindío más humano 2012-2015</t>
    </r>
  </si>
  <si>
    <t>Plan Indicativo 2012 - 2015</t>
  </si>
  <si>
    <t>B</t>
  </si>
  <si>
    <t>Número de municipios apoyados</t>
  </si>
  <si>
    <t>SECRETARIA DEL INTERIOR</t>
  </si>
  <si>
    <t>GENERO</t>
  </si>
  <si>
    <t>CICLO VITAL</t>
  </si>
  <si>
    <t>PERTENENCIA ÉTNICA</t>
  </si>
  <si>
    <t xml:space="preserve">CONDICIÓN / SITUACIÓN </t>
  </si>
  <si>
    <t>Garantia de derecho</t>
  </si>
  <si>
    <t>ODM Relacionado</t>
  </si>
  <si>
    <t>Mujer</t>
  </si>
  <si>
    <t>Hombre</t>
  </si>
  <si>
    <t>Indigena</t>
  </si>
  <si>
    <t>Afrocolombiano</t>
  </si>
  <si>
    <t>Comunidad ROM</t>
  </si>
  <si>
    <t>Raizales</t>
  </si>
  <si>
    <t>Desplazamiento</t>
  </si>
  <si>
    <t>Desmovilizados</t>
  </si>
  <si>
    <t>Reinsertados</t>
  </si>
  <si>
    <t>Existencia</t>
  </si>
  <si>
    <t>Desarrollo</t>
  </si>
  <si>
    <t>Ciudadanía</t>
  </si>
  <si>
    <t>Protección</t>
  </si>
  <si>
    <t>Erradicar la pobreza extrema y el hambre</t>
  </si>
  <si>
    <t>Lograr la educación primaria universal</t>
  </si>
  <si>
    <t>Promover la equidad de género y la autonomía de la mujer</t>
  </si>
  <si>
    <t>Reducir la mortalidad en menores de cinco años</t>
  </si>
  <si>
    <t>Mejorar la salud sexual y reproductiva</t>
  </si>
  <si>
    <t>Combatir el VIH/SIDA, la malaria y el dengue</t>
  </si>
  <si>
    <t xml:space="preserve">Garantizar la Sostenibilidad del Medio Ambiente.  </t>
  </si>
  <si>
    <t xml:space="preserve">Fomentar una sociedad mundial para el desarrollo.     </t>
  </si>
  <si>
    <t>PROGRAMACION METAS Y RECURSOS (MILES DE PESOS)]</t>
  </si>
  <si>
    <t>META PROGRAMADA 2012</t>
  </si>
  <si>
    <t>AVANCE META 2012</t>
  </si>
  <si>
    <t>% DE AVANCE DE LA META 2012</t>
  </si>
  <si>
    <t>RECURSO PROGRAMADO 2012</t>
  </si>
  <si>
    <t>RECURSO EJECUTADO 2012</t>
  </si>
  <si>
    <t>% RECURSO EJECUTADO 2012</t>
  </si>
  <si>
    <t>META PROGRAMADA 2013</t>
  </si>
  <si>
    <t>AVANCE META 2013</t>
  </si>
  <si>
    <t>% DE AVANCE DE LA META 2013</t>
  </si>
  <si>
    <t>RECURSO PROGRAMADO 2013</t>
  </si>
  <si>
    <t>RECURSOEJE CUTADO 2013</t>
  </si>
  <si>
    <t>%  RECURSO EJECUTADO 2013</t>
  </si>
  <si>
    <t>META PROGRAMADA 2014</t>
  </si>
  <si>
    <t>AVANCE META 2014</t>
  </si>
  <si>
    <t>% AVANCE DE LA META 2014</t>
  </si>
  <si>
    <t>RECURSO PROGRAMADO 2014</t>
  </si>
  <si>
    <t>RECURSO  EJECUTADO 2014</t>
  </si>
  <si>
    <t>% RECURSO EJECUTADO 2014</t>
  </si>
  <si>
    <t>META PROGRAMADA 2015</t>
  </si>
  <si>
    <t>AVANCE META 2015</t>
  </si>
  <si>
    <t>% AVANCE META 2015</t>
  </si>
  <si>
    <t>RECURSO PROGRAMADO 2015</t>
  </si>
  <si>
    <t>RECURSO EJECUTADO 2015</t>
  </si>
  <si>
    <t>% RECURSO EJECUTADO</t>
  </si>
  <si>
    <t>TIPO DE META</t>
  </si>
  <si>
    <t>PESO DE LA META</t>
  </si>
  <si>
    <t>OBSERVACIONES</t>
  </si>
  <si>
    <t>MI</t>
  </si>
  <si>
    <t>MM</t>
  </si>
  <si>
    <t xml:space="preserve">Con Discapacidad </t>
  </si>
  <si>
    <t xml:space="preserve"> </t>
  </si>
  <si>
    <t>Acreditar y habilitar la escuela de Enseñanza del IDTQ.</t>
  </si>
  <si>
    <t>Escuela de enseñanza del IDTQ acreditada y habilitada.</t>
  </si>
  <si>
    <t>Apoyar la formulación, actualización y ejecución de los planes municipales de acción de DDHH y DIH y la formulación e implementación del plan de departamental.</t>
  </si>
  <si>
    <t>Planes municipales formulados, ejecutados y/o implementados</t>
  </si>
  <si>
    <t>Impulsar procesos de formación a dignatarios comunales.</t>
  </si>
  <si>
    <t>Número de dignatarios capacitados</t>
  </si>
  <si>
    <t>Apoyar y promover la organización comunitaria de las familias para su desarrollo en los 12 municipios.</t>
  </si>
  <si>
    <r>
      <t xml:space="preserve">Primera Infancia 
</t>
    </r>
    <r>
      <rPr>
        <sz val="14"/>
        <rFont val="Arial"/>
        <family val="2"/>
      </rPr>
      <t>(0 - 5 años)</t>
    </r>
  </si>
  <si>
    <r>
      <t xml:space="preserve">Edad Escolar 
</t>
    </r>
    <r>
      <rPr>
        <sz val="14"/>
        <rFont val="Arial"/>
        <family val="2"/>
      </rPr>
      <t>(6 - 12 años)</t>
    </r>
  </si>
  <si>
    <r>
      <t xml:space="preserve">Adolescencia
 </t>
    </r>
    <r>
      <rPr>
        <sz val="14"/>
        <rFont val="Arial"/>
        <family val="2"/>
      </rPr>
      <t>(13 - 17 años)</t>
    </r>
  </si>
  <si>
    <r>
      <t>Edad Económicamente Activa</t>
    </r>
    <r>
      <rPr>
        <sz val="14"/>
        <rFont val="Arial"/>
        <family val="2"/>
      </rPr>
      <t xml:space="preserve"> (14-60 años)</t>
    </r>
  </si>
  <si>
    <r>
      <t xml:space="preserve">Adultos Mayores 
</t>
    </r>
    <r>
      <rPr>
        <sz val="14"/>
        <rFont val="Arial"/>
        <family val="2"/>
      </rPr>
      <t>(Mayores a 60 años)</t>
    </r>
  </si>
  <si>
    <t>ND</t>
  </si>
  <si>
    <t>Formular e implementar la política integral de seguridad y convivencia ciudadana.</t>
  </si>
  <si>
    <t>Política formulada e implementada.</t>
  </si>
  <si>
    <t>Apoyar la Implementación  el Plan Nacional de Vigilancia Comunitaria por Cuadrantes PNVCC[1] en las áreas urbanas y rurales.</t>
  </si>
  <si>
    <t>Número de Municipios con el PNVCC implementado.</t>
  </si>
  <si>
    <t xml:space="preserve">Apoyar la construcción, refacción o adecuación de  estaciones, subestaciones y/o guarniciones. </t>
  </si>
  <si>
    <t>Número de subestaciones  o guarniciones construidas, adecuadas o refaccionadas.</t>
  </si>
  <si>
    <t xml:space="preserve">Apoyar  programas municipales de fortalecimiento de la movilidad y reacción de los organismos de fuerza pública,  seguridad  y justicia del departamento; y/o atención carcelaria </t>
  </si>
  <si>
    <t>Número de programas municipales fortalecidos.</t>
  </si>
  <si>
    <t xml:space="preserve">Apoyar los componentes logístico de los organismos de seguridad y de  la Registraduría nacional para los comicios electorales. </t>
  </si>
  <si>
    <t>Comicios electorales apoyados</t>
  </si>
  <si>
    <t>Realizar campañas de educación ciudadana y gestión comunitaria urbanas y rurales.</t>
  </si>
  <si>
    <t>Número de campañas realizadas.</t>
  </si>
  <si>
    <t>Fortalecer programas de participación ciudadana para la seguridad preventiva y la convivencia pacífica.</t>
  </si>
  <si>
    <t>Número de programas fortalecidos.</t>
  </si>
  <si>
    <t xml:space="preserve">Apoyar mecanismos alternativos de solución de conflictos MASC y acceso a la justicia. </t>
  </si>
  <si>
    <t>Mecanismos alternativos apoyados</t>
  </si>
  <si>
    <t>Realizar campañas educativas en el departamento.</t>
  </si>
  <si>
    <t>Número de personas capacitadas.</t>
  </si>
  <si>
    <t>Incrementar la señalización de vías.</t>
  </si>
  <si>
    <t>Número de metros lineales de señalización.</t>
  </si>
  <si>
    <t>Articularse con las instituciones estatales, para ejecutar programas conjuntos de prevención del reclutamiento forzado</t>
  </si>
  <si>
    <t>Municipios con programas de prevención y garantía de derecho.</t>
  </si>
  <si>
    <t xml:space="preserve">Fortalecer los mecanismos o instrumentos de prevención de la vulneración y protección de derechos de población  en condición de desplazamiento a través de la elaboración y socialización del plan departamental de contingencia por posibles desplazamientos masivos.  </t>
  </si>
  <si>
    <t>Plan elaborado y socializados</t>
  </si>
  <si>
    <t>Apoyar la atención integral de las víctimas por enfoque diferencial y de derechos en salud, educación, vivienda, tierras, cultura y proyectos productivos.</t>
  </si>
  <si>
    <t>Tasa de población atendida sobre el total de población remitida.</t>
  </si>
  <si>
    <t xml:space="preserve">Fortalecer el comité departamental de justicia transicional y sus subcomités. </t>
  </si>
  <si>
    <t>Comité fortalecido</t>
  </si>
  <si>
    <t xml:space="preserve">Apoyar la atención humanitaria inmediata, de emergencia y la estabilización socioeconómica de la población víctima de desplazamiento forzado con enfoque de derecho de salud, educación, vivienda, generación de ingresos, tierra, cultura, deporte e inclusión social. </t>
  </si>
  <si>
    <t>Población atendida/ población remitida</t>
  </si>
  <si>
    <t xml:space="preserve">Fortalecer la capacidad institucional a través del apoyo en la construcción y la actualización de los PLANES DE ATENCIÓN Y REPARACIÓN INTEGRAL DE VÍCTIMAS PARIV municipales y la implementación del PARIV departamental.de desplazamiento forzado con enfoque de derecho de salud, educación, vivienda, generación de ingresos, tierra, cultura, deporte e inclusión social. </t>
  </si>
  <si>
    <t xml:space="preserve">Número de PARIV apoyados, actualizados y/o implementados. </t>
  </si>
  <si>
    <t>Crear e implementar un programa de atención integral a víctimas de trata de personas.</t>
  </si>
  <si>
    <t xml:space="preserve">Programa creado e implementado </t>
  </si>
  <si>
    <t>Desarrollar campañas de prevención de los riesgos por amenazas naturales y actividades antrópicas.</t>
  </si>
  <si>
    <t>Número de campañas desarrolladas.</t>
  </si>
  <si>
    <t>Gestionar proyectos de reubicación para familias asentadas en zonas de alto riesgo en coordinación con la promotora de vivienda y la secretaria de infraestructura departamental</t>
  </si>
  <si>
    <t>Número de  proyectos de reubicación gestionados.</t>
  </si>
  <si>
    <t xml:space="preserve">Apoyar los procesos de investigación de amenaza y vulnerabilidad que afectan la comunidad de los municipios del departamento.  </t>
  </si>
  <si>
    <t>Número de procesos de investigación de amenaza y vulnerabilidad apoyados.</t>
  </si>
  <si>
    <t>Capacitar la comunidad en gestión del riesgo.</t>
  </si>
  <si>
    <t>Número de capacitaciones realizadas sobre gestión del riesgo.</t>
  </si>
  <si>
    <t>Apoyar procesos de fortalecimiento de los organismos de socorro e  instituciones que hacen parte de la unidad de prevención y atención de desastres.</t>
  </si>
  <si>
    <t>Número de procesos de fortalecimiento a los organismos de socorro e  instituciones que hacen parte de la unidad de prevención y atención de desastres, apoyados.</t>
  </si>
  <si>
    <t>Realizar proceso de mejora en dotación del  centro de reserva de la unidad de prevención y atención de desastres del departamento para asistencia humanitaria.</t>
  </si>
  <si>
    <t>Proceso de mejora en dotación del centro de reserva de la unidad de prevención y atención de desastres realizado.</t>
  </si>
  <si>
    <t>Brindar asistencia técnica a los municipios del departamento en la elaboración e implementación de los planes municipales de gestión del riesgo (PMGR).</t>
  </si>
  <si>
    <t>Número de PMGR elaborados con asistencia técnica departamental.</t>
  </si>
  <si>
    <t>Crear el Fondo Departamental de Calamidades.</t>
  </si>
  <si>
    <t>Fondo Departamental de Calamidades creado.</t>
  </si>
  <si>
    <t>Formular el plan departamental de Gestión del Riesgo.</t>
  </si>
  <si>
    <t>Plan Departamental de Gestión del Riesgo formulado.</t>
  </si>
  <si>
    <t xml:space="preserve">Fortalecer los procesos de elección y reconocimiento de los organismos comunales.  </t>
  </si>
  <si>
    <t>Número de organismos comunales reconocidos.</t>
  </si>
  <si>
    <t>Creación del banco de proyectos comunales.</t>
  </si>
  <si>
    <t>Banco de proyectos creado.</t>
  </si>
  <si>
    <t>Crear un fondo de auxilio funerario</t>
  </si>
  <si>
    <t>Fondo de auxilio funerario creado</t>
  </si>
  <si>
    <t xml:space="preserve">DIMENSION </t>
  </si>
  <si>
    <t>ESTRUCTURA del PDD 2008-2011</t>
  </si>
  <si>
    <t>POLITICA</t>
  </si>
  <si>
    <t>PROGRAMA</t>
  </si>
  <si>
    <t>SUBPROGRAMA</t>
  </si>
  <si>
    <t>METAS DE PRODUCTO</t>
  </si>
  <si>
    <t>CODIGO PROYECTO</t>
  </si>
  <si>
    <t>PROYECTO</t>
  </si>
  <si>
    <t>*</t>
  </si>
  <si>
    <t xml:space="preserve">INSTITUCIONAL </t>
  </si>
  <si>
    <t>SOCIOCULTURAL</t>
  </si>
  <si>
    <t>1.5</t>
  </si>
  <si>
    <t>QUINDÍO SIN MIEDO</t>
  </si>
  <si>
    <t>SEGURIDAD CIUDADANA Y ORDEN PÚBLICO</t>
  </si>
  <si>
    <t>FIRMES CON LA POLÍTICA INTEGRAL DE SEGURIDAD Y CONVIVENCIA  CIUDADANA Y EL ORDEN PÚBLICO</t>
  </si>
  <si>
    <t>FORTALECIMIENTO EN LA GESTIÓN INTEGRAL DEL ORDEN PÚBLICO Y SEGURIDAD EN EL DEPTO DEL QUINDÍO</t>
  </si>
  <si>
    <t>CULTURA PARA LA CONVIVIENCIA Y LA PAZ.</t>
  </si>
  <si>
    <t>QUINDÍO TERRITORIO DE CONVIVENCIA Y PAZ</t>
  </si>
  <si>
    <t>PREVENCIÓN EN SEGURIDAD Y CONSTRUCCIÓN DE CONVIVENCIA CIUDADANA EN EL DEPTO DEL QUINDÍO</t>
  </si>
  <si>
    <t>SEGURIDAD VIAL</t>
  </si>
  <si>
    <t>PREVENCIÓN VIAL</t>
  </si>
  <si>
    <t>FORTALECIMIENTO DE LA SEGURIDAD VIAL EN EL DEPTO DEL QUINDÍO</t>
  </si>
  <si>
    <t>1.8</t>
  </si>
  <si>
    <t xml:space="preserve">INCLUSIÓN SOCIAL, RECONCILIACIÓN, DDHH, DIH </t>
  </si>
  <si>
    <t>MIS DERECHOS AL DERECHO</t>
  </si>
  <si>
    <t>PREVENCIÓN, PROTECCIÓN Y GARANTIA DE NO REPETICIÓN</t>
  </si>
  <si>
    <t>PREVENCIÓN PROTECCIÓN Y GARANTIA DE NO REPETICIÓN EN EL DEPARTAMENTO DEL QUINDÍO</t>
  </si>
  <si>
    <t>ATENCIÓN Y ASISTENCIA A VÍCTIMAS DEL CONFLICTO ARMADO</t>
  </si>
  <si>
    <t>DISEÑO IMPLEMENTACIÓN Y DESARROLLO DEL PARIV Y ATENCIÓN INTEGRAL A LA POBLACIÓN VICTIMA DEL CONFLICTO ARMADO DEPARTAMENTO DEL QUINDÍO</t>
  </si>
  <si>
    <t>PREVENCIÓN DE LA VULNERACIÓN Y PROTECCIÓN DE LOS DERECHOS HUMANOS Y EL DERECHO INTERNACIONAL HUMANITARIO.</t>
  </si>
  <si>
    <t>DISEÑO, IMPLEMENTACIÓN Y DESARROLLO DEL PLAN DEPARTAMENTAL DE PREVENCIÓN Y PROTECCIÓN DE DERECHOS HUMANOS Y DERECHO INTERNACIONAL HUMANITARIO DEL DEPARTAMENTO DEL QUINDÍO</t>
  </si>
  <si>
    <t xml:space="preserve">AMBIENTE NATURAL </t>
  </si>
  <si>
    <t>4.18</t>
  </si>
  <si>
    <t>1 /2 AMBIENTE MÁS VIDA.</t>
  </si>
  <si>
    <t>GESTIÓN DEL RIESGO POR AMENAZAS NATURALES Y ACTIVIDADES ANTRÓPICAS.</t>
  </si>
  <si>
    <t>MÁS CONOCIMIENTO MENOS RIESGO</t>
  </si>
  <si>
    <t>FORTALECIMIENTO DE LA GESTIÓN DEL RIESGO DE DESASTRES EN EL DEPARTAMENTO QUINDÍO</t>
  </si>
  <si>
    <t>ACTIVOS POR LA VIDA</t>
  </si>
  <si>
    <t>APOYO A LOS PROCESOS DE REDUCCIÓN DEL RIESGO DE DESASTRES EN EL DEPARTAMENTO DEL QUINDÍO</t>
  </si>
  <si>
    <t>5.21</t>
  </si>
  <si>
    <t>PARTICIPACIÓN COMUNITARIA</t>
  </si>
  <si>
    <t>COMUNALES EN ACCIÓN</t>
  </si>
  <si>
    <t xml:space="preserve">SISTEMA DE INTEGRACIÓN COMUNAL Y COMUNITARIO SICC </t>
  </si>
  <si>
    <t>APOYO Y FORTALECIMIENTO DE LOS ORGANÍSMOS COMUNALES DEL DEPARTAMENTO DEL QUINDÍO</t>
  </si>
  <si>
    <t>INDICADOR DE PRODUCTO</t>
  </si>
  <si>
    <t>LINEA BASE</t>
  </si>
  <si>
    <t>META 2015</t>
  </si>
  <si>
    <t>1.5.17.42.P.100</t>
  </si>
  <si>
    <t>1.5.17.42.P.101</t>
  </si>
  <si>
    <t>1.5.17.42.P.102</t>
  </si>
  <si>
    <t>1.5.17.42.P.103</t>
  </si>
  <si>
    <t>1.5.17.42.P.104</t>
  </si>
  <si>
    <t>GOBERNACIÓN DEL QUINDIO</t>
  </si>
  <si>
    <r>
      <rPr>
        <b/>
        <sz val="10"/>
        <color indexed="8"/>
        <rFont val="Arial"/>
        <family val="2"/>
      </rPr>
      <t xml:space="preserve"> </t>
    </r>
    <r>
      <rPr>
        <b/>
        <sz val="14"/>
        <color indexed="8"/>
        <rFont val="Arial"/>
        <family val="2"/>
      </rPr>
      <t>F-PLA-06</t>
    </r>
    <r>
      <rPr>
        <sz val="10"/>
        <color indexed="8"/>
        <rFont val="Arial"/>
        <family val="2"/>
      </rPr>
      <t xml:space="preserve">- </t>
    </r>
    <r>
      <rPr>
        <b/>
        <sz val="14"/>
        <color indexed="8"/>
        <rFont val="Arial"/>
        <family val="2"/>
      </rPr>
      <t xml:space="preserve">PROGRAMACIÓN PLAN DE ACCIÓN -          VIGENCIA 2012         </t>
    </r>
    <r>
      <rPr>
        <b/>
        <sz val="10"/>
        <color indexed="8"/>
        <rFont val="Arial"/>
        <family val="2"/>
      </rPr>
      <t>Versión 03         05-07-2011</t>
    </r>
  </si>
  <si>
    <t xml:space="preserve">DEPENDENCIA: </t>
  </si>
  <si>
    <t>PDD - META DE PRODUCTO</t>
  </si>
  <si>
    <t>ACTIVIDADES</t>
  </si>
  <si>
    <t>CODIGO, POL, PROG, SUBPROGR</t>
  </si>
  <si>
    <t># y NOMBRE</t>
  </si>
  <si>
    <t>INDICADOR</t>
  </si>
  <si>
    <t>NOMBRE</t>
  </si>
  <si>
    <t>%</t>
  </si>
  <si>
    <t xml:space="preserve">VALOR </t>
  </si>
  <si>
    <t>METAS de los OBJETIVOS                      General y Específicos</t>
  </si>
  <si>
    <t>RESULTADO ESPERADO</t>
  </si>
  <si>
    <t>ACTIVIDADES     cuantificadas</t>
  </si>
  <si>
    <r>
      <t xml:space="preserve">VALOR </t>
    </r>
    <r>
      <rPr>
        <sz val="8"/>
        <color indexed="8"/>
        <rFont val="Calibri"/>
        <family val="2"/>
      </rPr>
      <t>miles de $</t>
    </r>
  </si>
  <si>
    <t>Fuente de los REC.</t>
  </si>
  <si>
    <t>FECHA</t>
  </si>
  <si>
    <t>RESPONSABLE</t>
  </si>
  <si>
    <t>INICIO</t>
  </si>
  <si>
    <t>FIN</t>
  </si>
  <si>
    <t>Funcionario</t>
  </si>
  <si>
    <t>0309-4-4 5 46 42
Política Quindío sin Miedo, Programa Seguridad Ciudadana y Orden Público, Suprograma Firmes con la Política Integral de Seguridad y Convivencia Ciudadana y el Ordén Público</t>
  </si>
  <si>
    <t>Formular e implementar la política integral
de seguridad y convivencia ciudadana.</t>
  </si>
  <si>
    <t>Política formulada e
implementada.</t>
  </si>
  <si>
    <t>FORTALECIMIENTO DE LA GESTIÓN INTEGRAL DEL ORDEN PÚBLICO Y SEGURIDAD EN EL DEPARTAMENTO DEL QUINDÍO</t>
  </si>
  <si>
    <t>G. Disminuir la tasa de homicidios anuales en el departamento del Quindìo
Disminuir la tasa de hurtos anuales en el departamento del Quindío
1. Polìtica Formulada e implementada.
Nùmero de municipios con el PNVCC implementado
2. Nùmero de Subestaciones o Guarniciones Construidas, adecuadas o refaccionadas.
3. Nùmero de programas municipales fortalecidos
4. Comicios electorales apoyados</t>
  </si>
  <si>
    <t>Devolver la percepciòn de seguridad a los quindianos, desde una òptica integral, transversal y corresponsable para que los Ejes estratègicos y lineas de acciòn de la Polìtica Nacional de Seguridad y Convivencia Ciudadana, se acojan y su resultado impacte positivamente en el mejoramiento de la seguridad objetiva y subjetiva en el Quindìo.</t>
  </si>
  <si>
    <t xml:space="preserve">EJECUCION  PLAN DE INVERSIÒN DEL PLAN INTEGRAL DE SEGURIDAD Y CONVIVENCIA CIUDADANA PISCC APROBADO POR EL COMITÉ DE ORDÉN PUBLICO EN UN 100%
LOGISTICA OPERATIVA Y SERVICIOS PROFESIONALES ESPECIALIZADOS PARA EL CUMPLIMIENTO DE LA POLITICA NACIONAL DE SEGURIDAD Y CONVIVENCIA CIUDADANA
</t>
  </si>
  <si>
    <t>FONDO DE SEGURIDAD TERRITORIAL FONSET
ORDINARIOS</t>
  </si>
  <si>
    <t>CARLOS E. MARIN MARTÍNEZ</t>
  </si>
  <si>
    <t>Apoyar la Implementación el Plan
Nacional de Vigilancia Comunitaria por
Cuadrantes PNVCC en las áreas urbanas
y rurales.</t>
  </si>
  <si>
    <t>Número de Municipios con el
PNVCC implementado.</t>
  </si>
  <si>
    <t>Apoyar la construcción, refacción o
adecuación de estaciones, subestaciones
y/o guarniciones.</t>
  </si>
  <si>
    <t>Número de subestaciones o
guarniciones construidas,
adecuadas o refaccionadas.</t>
  </si>
  <si>
    <t>Apoyar programas municipales de
fortalecimiento de la movilidad y reacción
de los organismos de fuerza pública,
seguridad y justicia del departamento; y/o
atención carcelaria</t>
  </si>
  <si>
    <t>Número de programas
municipales fortalecidos.</t>
  </si>
  <si>
    <t>Apoyar los componentes logísticos de los
organismos de seguridad y de la
Registraduría nacional para los comicios
electorales.</t>
  </si>
  <si>
    <t>Comicios electorales
apoyados</t>
  </si>
  <si>
    <t>0309--5-4 5 48 43
Política Quindío Sin Miedo, Programa Cultura para la Convivencia y la Paz Quindío, Subprograma Quindío Territorio de Convivencia y Paz</t>
  </si>
  <si>
    <t>Realizar campañas de educación
ciudadana y gestión comunitaria urbanas y
rurales.</t>
  </si>
  <si>
    <t>Número de campañas
realizadas.</t>
  </si>
  <si>
    <t>PREVENCIÓN EN SEGURIDAD Y CONSTRUCCIÓN DE CONVIVENCIA CIUDADANA EN EL DEPARTAMENTO DEL QUINDÍO</t>
  </si>
  <si>
    <t xml:space="preserve">G.Disminuir la tasa de lesiones personales en el departamento del Quindío.
1. Realizar campañas de educación ciudadana y gestión comunitaria urbanas y rurales con base en causas y factores de riesgo que afectan la seguridad y la convivencia ciudadana.
2. Fortalecer programas de participación ciudadana para la seguridad preventiva y la convivencia pacífica.
3. Apoyar mecanismos alternativos de solución de conflictos MASC y acceso a la justicia.
</t>
  </si>
  <si>
    <t>Fortalecer los programas de participación para la seguridad preventiva y la convivencia pacífica en el Departamento del Quindío</t>
  </si>
  <si>
    <t>FORTALECIMIENTO, REALIZACIÓN Y ACOMPAÑAMIENTO A CAMPAÑAS, CAPACITACIONES, PROGRAMAS Y APOYO MASC 
LOGISTICA OPERATIVA EJECUCIÓN DEL PROGRAMA DE  PREVENCIÓN EN SEGURIDAD Y CONTRUCCIÓN DE CONVIVENCIA
ASISTENCIA TECNICA  Y PROFESIONAL PARA LA EJECUCIÓN DE LOS PROGRAMAS Y PROYECTOS DE PREVENCIÓN EN SEGURIDAD</t>
  </si>
  <si>
    <t>ORDINARIO</t>
  </si>
  <si>
    <t>Fortalecer programas de participación
ciudadana para la seguridad preventiva y la
convivencia pacífica.</t>
  </si>
  <si>
    <t>Número de programas
fortalecidos.</t>
  </si>
  <si>
    <t>Apoyar mecanismos alternativos de
solución de conflictos MASC y acceso a la
justicia.</t>
  </si>
  <si>
    <t>Mecanismos alternativos
apoyados</t>
  </si>
  <si>
    <t>0309-5-4 5 49 44
Política Quindío Sin Miedo, Programa Seguridad Vial, Subprograma Prevención Vial</t>
  </si>
  <si>
    <t>Número de personas
capacitadas.</t>
  </si>
  <si>
    <t>FORTALECIMIENTO DE LA SEGURIDAD VIAL   EN EL DEPTO DEL QUINDÍO</t>
  </si>
  <si>
    <t>G. Reducir tasa de lesiones por accidentes de tránsito.
Reducir tasa de muertes por accidentes de tránsito.
1. Realizar campañas educativas en el departamento.
2. Incrementar la señalización de vías.
3. Acreditar y habilitar la escuela de Enseñanza del IDTQ.</t>
  </si>
  <si>
    <t>Garantizar el derecho a la seguridad vial de los habitantes del Quindío que transitan por las vías departamentales, mediante procesos de corresponsabilidad en donde el ciudadano, el actor público y privado actúen de manera coordinada, fortaleciendo las campañas educativas y los operativos de control, entre otras acciones.</t>
  </si>
  <si>
    <t>APOYO A CAMPAÑAS DE CAMPAÑAS EDUCATIVAS Y DE SENSIBILIDAD EN PREVENSIÓN Y SEGURIDAD VIAL
APOYO AL DIAGNOSTICO Y EJECUCIÒN DE LA  DEMARCACIÓN Y SEÑALIZACIÓN VIAL HORIZONTAL Y VERTICAL  DE LOS MUNICIPIOS DEL DEPARTAMENTO DEL QUINDÍO
APOYO TECNICO Y PROFESIONAL PARA LA EJECUCIÓN DE LOS PROGRAMAS DE EJECUCIÓN VIAL</t>
  </si>
  <si>
    <t>0309- 5 4 8 63 56 50
Política Inclusión Social Reconciliación  DDHH,DIH, Programa Mis Derechos al Derecho, suprograma Prevención Protección y Garantía de no repetición</t>
  </si>
  <si>
    <t>G. Apoyar  en  los  doce  Municipios  del Departamento,   acciones de   prevención  y  protección  dirigidas a la  población víctima del conflicto armado y en condición de desplazamiento,  a  través  de los  espacios legalmente establecidos para estos  fines.  
    1. Fortacer  la gestión interinstitucional  para  adelantar  acciones contundentes  de  prevención  el  reclutamiento forzado  en  nuestro departamento.
2. Fortalecer los mecanismos o instrumentos de prevención de la vulneración y protección de derechos de población en condición de desplazamiento a través de la elaboración y socialización del plan departamental de contingencia por posibles desplazamientos masivos.</t>
  </si>
  <si>
    <t xml:space="preserve">Implementacion de acciones de   prevención  y  protección  dirigidas a la  población víctima del conflicto armado y en condición de desplazamiento y diseño de acciones de prevencion  del reclutamiento forzado,  a  través  de los  espacios legalmente establecidos para estos  fines y el diseño de los planes de contingencia. </t>
  </si>
  <si>
    <t xml:space="preserve">Implementar  y  socializar  las acciones de  prevencion de    reclutamiento  forzado.   
Construir, implementar  y socializar  un Plan Departamental  de Contingencia  por posibles desplazamientos  masivos o atentados terroristas.    
Socializacion de los planes e contingencia municipales y departamentales.   
    Realizar actividades masivas de socializacion de medidas de prevencion del reclutamiento forzado. </t>
  </si>
  <si>
    <t>RODRIGO ARCILA</t>
  </si>
  <si>
    <t>0309- 5 4 8 63 57 51
Política Inclusión Social Reconciliación  DDHH,DIH, Programa Mis Derechos al Derecho, suprograma Atención y Asistencia a Victimas del Conflicto Armado</t>
  </si>
  <si>
    <t>Tasa de población atendida
sobre el total de población
remitida.</t>
  </si>
  <si>
    <t>G. Fortalecer el comité departamental de justicia transicional y sus subcomités.
1. Fortalecer el comité departamental de justicia transicional y sus subcomités.
2. Fortalecer la capacidad institucional a través del apoyo en la construcción y la actualización de los PLANES DE ATENCIÓN Y REPARACIÓN INTEGRAL DE VÍCTIMAS PARIV municipales y la implementación del PARIV departamental.
3. Apoyar la atención humanitaria inmediata, de emergencia y la estabilización socioeconómica de la población víctima de desplazamiento forzado con enfoque de derecho de salud, educación, vivienda, generación de ingresos, tierra, cultura, deporte e inclusión social.
4. Apoyar la atención integral de las víctimas por enfoque diferencial y de derechos en salud, educación, vivienda, tierras, cultura y proyectos productivo</t>
  </si>
  <si>
    <t>Apoyar  en  los  doce  Municipios  del Departamento,   acciones de   prevención  atencion y  protección  dirigidas a la  población víctima del conflicto armado,  a  través  del fortalecimiento de  espacios legalmente establecidos y estrategias de atencion a la poblacion.</t>
  </si>
  <si>
    <t xml:space="preserve">Realizar el numero de Comites ordinarios y estraordinarios de Justicia Transicional, recomendados por la ley y dinamizar los subcomites establecidos previamente.                                                                                                          
Apoyo Técnico y  Profesional  y logística  para la Gestión Integral del PARIV )Diseño, Implementacion). 
Brindar las Ayudas Humanitarias de Urgencia o Inmediatas, a la poblacion que sea remitida con el lleno de los requisitos establecidos por la ley y ruta de atencion. (Adquisición de  bienes  y servicios).                                                       
Brindar asesoria y acompañámiento tecnico a las entidades que conforman el Sistema de Atencion a Vicitmas, para el diseño e implementacion del PARIV y la atencion a la poblacion victima. 
</t>
  </si>
  <si>
    <t>Fortalecer el comité departamental de justicia
transicional y sus subcomités.</t>
  </si>
  <si>
    <t>Apoyar la atención humanitaria inmediata, de
emergencia y la estabilización socioeconómica
de la población víctima de desplazamiento
forzado con enfoque de derecho de salud,
educación, vivienda, generación de ingresos,
tierra, cultura, deporte e inclusión social.</t>
  </si>
  <si>
    <t>Población atendida/ población
remitida</t>
  </si>
  <si>
    <t>Fortalecer la capacidad institucional a través
del apoyo en la construcción y la actualización
de los PLANES DE ATENCIÓN Y
REPARACIÓN INTEGRAL DE VÍCTIMAS
PARIV municipales y la implementación del
PARIV departamental.</t>
  </si>
  <si>
    <t>Número de PARIV apoyados,
actualizados y/o implementados.</t>
  </si>
  <si>
    <t>0309- 5 4 8 63 58 52
Política Inclusión Social Reconciliación  DDHH,DIH, Programa Mis Derechos al Derecho, suprograma Prevención de la vulneración y protección de los DDHH, DIH</t>
  </si>
  <si>
    <t>Programa creado e
implementado</t>
  </si>
  <si>
    <t>DISEÑO, IMPLEMENTACIÓN Y DESARROLLO DEL PLAN  DEPARTAMENTAL DE PREVENCIÓN Y PROTECCIÓN DE DERECHOS HUMANOS Y DERECHO INTERNACIONAL HUMANITARIO DEL DEPARTAMENTO DEL QUINDÍO</t>
  </si>
  <si>
    <t>G.Capacitar al 20% de la poblaciòn quiindiana en DDHH y DIH.
1. Desarrollar actividades de capacitaciòn y fortalecimiento de la poblaciòn en el tema de DDHH y DIH.
2. Desarrollar tallerers y mesas de trabajo para la actualizaciòn concertada del plan de prevenciòn y protecciòn de DDHH y DIH.
3. Apoyar el consejo departamental de paz y los consejos municipales de paz.</t>
  </si>
  <si>
    <t xml:space="preserve">Plan Departamental  y municipales de Prevencion y Proteccion de DDHH y DIH actualizados, donde se incluyan acciones especificas para la prevencion de la trata de personas. </t>
  </si>
  <si>
    <t xml:space="preserve">1 jornada de actualización del Plan Departamental de Prevenciòn y Proteccón de DDHH y DIH.
1 taller de socializaciòn del pLan departamental de prevencciòn y protección de DDHH y DIH.                    1 jornada masiva de socializacion de los D.D.H.H y D.I.H       
</t>
  </si>
  <si>
    <t>Planes municipales formulados,
ejecutados y/o implementados</t>
  </si>
  <si>
    <t>0309-5-4 18 97 124
Política 18. Medio Ambiente Mas Vida, Programa 97. Gestión del Riesgo por Amenazas Naturales y Actividades Antrópicas Suprograma 124. Mas conocimiento menos riesgo</t>
  </si>
  <si>
    <t xml:space="preserve">Desarrollar campañas de prevención de los riesgos por amenazas naturales y actividades antrópicas </t>
  </si>
  <si>
    <t>Numero de campañas desarrolladas</t>
  </si>
  <si>
    <t>FORTALECIMIENTO DE LA GESTIÓN DEL RIESGO DE DESASTRES EN EL DEPARTAMENTO DEL QUINDIO</t>
  </si>
  <si>
    <t xml:space="preserve">1.  Realizar campañas educativas en el departamento.
2.Identificación de situaciones de vulnerabilidad en los municipios de Montenegro y Génova .
</t>
  </si>
  <si>
    <t>Ejecución de una campaña educativa para socializar el conocimiento  de la amenaza volcánica en el departamento del Quindío. - Elaboración de dos inventarios de vulnerabilidad  de viviendas urbanas en los municipios de pijao y cordoba</t>
  </si>
  <si>
    <t xml:space="preserve">Realización de una campaña educativa sobre amenaza volcánica que involucre 1200 personas especialmente de centros educativos del departamento, lanzamiento de dos mensajes radiales para emitir medidas preventivas por erupción volcánica del Machín en el departamento durante 30 días  calendario, elaboración de dos inventarios de riesgo por inundación, deslizamiento y creciente súbita en los cascos urbanos de los municipios de córdoba y pijao, socialización de  medidas preventivas frente a amenazas por deslizamiento e inundación en 150 familias de los municipios de Cordoba y Pijao </t>
  </si>
  <si>
    <t>DIANA MILENA GIRALDO L.</t>
  </si>
  <si>
    <t>Gestionar proyectos de reubicación para familias asentadas en zonas de alto riesgo en coordinación con la promotora de vivienda y la secretaría de infraestructura departamental</t>
  </si>
  <si>
    <t>Número de proyectos de reubicación gestionados</t>
  </si>
  <si>
    <t>Apoyar los procesos de investigación de amenaza y vulnerabilidad que afectan la comunidad de los municipios del departamenrto</t>
  </si>
  <si>
    <t>Número de municipios</t>
  </si>
  <si>
    <t>0309-5-4 18 97 1 25
Política Medio Ambiente Mas Vida, Programa 97 Gestión del Riesgo por amenazas naturales naturales y actividades antrópicas, Subprograma Activos por la vida</t>
  </si>
  <si>
    <t>Capacitar a la comunidad en gestión del riesgo.</t>
  </si>
  <si>
    <t xml:space="preserve">Número de capacitaciones realizadas sobre gestión del riesgo </t>
  </si>
  <si>
    <t>APOYO A LOS PROCESOS DE REDUCCION DEL RIESGO DE DESASTRES EN EL DEPARTAMENTO DEL QUINDIO</t>
  </si>
  <si>
    <t xml:space="preserve">G.Realizar 30 capacitaciones a las comunidades vulnerables del departamento.
1. Fortalecer 3 organismos de socorro del departamento para mejorar su capacidad operativa frente a emergencias. 2.-adquisición de elementos para brindar asistencia humanitaria a las familias damnificadas. 3-Compra de insumos para dotar el centro de reservas.4-Asistencia técnica a 3 municipios para  la elaboración de los PMGR.
</t>
  </si>
  <si>
    <t xml:space="preserve">Comunidad capacitada en temas de deslizamientos, vendavales y sismos - organismos de socorro y entidades de la UDEGERD fortalecidos -3. Centro de reservas fortalecido mediante la adquisición de insumos para atención humanitaria de los damnificados. -4. Dos (02) municipios asistidos en la elaboración e implementación del Plan Municipal de GEstión del Riesgo de Desastres.-5.Insumos del Plan Departamental de Gestión del Riesgo compilados  </t>
  </si>
  <si>
    <t xml:space="preserve">1. Quince (15) capacitaciones a entidades de carácter publico en temas de gestión del riesgo, para un estimado de 350 personas capacitadas. 2/Tres (03) cuerpos de socorro - Cruz Roja Deptal, Defensa Civil y Cuerpos de Bomberos del departamento fortalecidos y apoyados con combustibles, viveres y planes de contingencia para mejorar la capacidad de respuesta/3.Adquisición de 950 elementos como tejas y mercados para la atención de 240 familias afectadas por la temporada invernal del cuerto trimestre de 2012./4. Tres (03) municipios asesorados en PMGR a saber: Genova, Pijao y Montenegro
</t>
  </si>
  <si>
    <t>Apoyar procesos de fortalecimiento de los organismos de socorro e instituciones que hacen parte de la unidad de prevención y atención de desastres</t>
  </si>
  <si>
    <t>Número de procesos de fortalecimiento a los organismos de socorro e instituciones que hacen parte de la unidad de prevención y atención de desastres apoyados</t>
  </si>
  <si>
    <t>Realizar proceso de mejora en dotación del centro de reserva de la unidad de prevención y atención de desastres del departamento para asistencia humanitaria</t>
  </si>
  <si>
    <t>Proceso de mejora en dotación del centro de reserva de la unidad de prevención y atención de desastres realizado</t>
  </si>
  <si>
    <t>Brindar asistencia técnica a los municipios del departamento en la elaboración e implementación de los planes municipales de gestión del riesgo (PMGR)</t>
  </si>
  <si>
    <t>Número de PMGR elaborados con asistencia técnica departamental</t>
  </si>
  <si>
    <t>Crear el Fondo Departamental de Calamidades</t>
  </si>
  <si>
    <t>Fondo departamental de calamidades creado</t>
  </si>
  <si>
    <t>Formular el Plan Departamental de Gestión del Riesgo</t>
  </si>
  <si>
    <t>Plan Departamental de Gestón del Riesgo formulado</t>
  </si>
  <si>
    <t>0309.5.4.21.103.136.69
Política Participación comunitaria, Programa Comunales en Acción, Subprograma Sistema de Integracíon Comunal y Comunitario SICC</t>
  </si>
  <si>
    <t>APOYO Y FORTALECIMIENTO DE LOS ORGANISMOS  COMUNALES DEL DEPARTAMENTO DEL QUINDÍO</t>
  </si>
  <si>
    <t>G. Capacitar, sensibilizar a la comunidad del departamento, al igual que dotar y equipar los centros para la democracia comunitaria para el desarrollo de sus actividades.
1. Elaboración y desarrollo de un plan de capacitación en legislación comunal, elaboración de proyectos y desarrollo comunitario
2. Centros comunitarios fortalecidos y operando.
3. Desarrollo de actividades encaminadas a elevar la motivación hacia el proceso participativo de quienes se vinculan a organismos comunales o comunitarios.</t>
  </si>
  <si>
    <t>Reconocimiento de organismos comunales de primer y segundo grado en el Departamento del Quindío.
Fortalecer las organizaciones comunitarias y sociales con capacitación, recursos, dotación, equipamento y actualización</t>
  </si>
  <si>
    <t>Apoyo a organismos comunales del departamento del Quindío.
Expedición de 672 resoluciones de reconocimiento a Organismos Comunales.                           
     Apoyo a la capacitación de 40  dignatarios a través del Congreso Nacional Comunal.   
                                                    Presentación de  la propuesta del banco de proyectos comunales.
Celebración del dia de la acción Comunal.
Realización de Una  prueba piloto de familias comunitarias.</t>
  </si>
  <si>
    <t>Observaciones:</t>
  </si>
  <si>
    <t>Fecha: Agosto de 2012</t>
  </si>
  <si>
    <t>Nombre y Firma del Secretario:</t>
  </si>
  <si>
    <t>GLORIA INES GUTIÉRREZ BOTERO - SECRETARÍA DEL INTERIOR</t>
  </si>
  <si>
    <t>% DE VANCE DE LA META 2012</t>
  </si>
  <si>
    <t>RECURSOS PROGRAMADO 2012</t>
  </si>
  <si>
    <t>% DE RECURSO EJECUTADO 2012</t>
  </si>
  <si>
    <t xml:space="preserve">SEGUIMIENTO CON CORTE AL 30 DE SEPTIEMBRE DE 2012. DE ACUERDO CON LA EJECUCION PRESUPUESTAL ITEM (5) COMPROMISOS </t>
  </si>
  <si>
    <t>F:\INTERIOR\Planeacion\Seguimiento\Evidencias Seguimiento\asistenciascapacitacioneswiliam0001.pdf</t>
  </si>
  <si>
    <t>F:\INTERIOR\Planeacion\Seguimiento\Evidencias Seguimiento\campañatiemposeco0001.pdf</t>
  </si>
  <si>
    <t>F:\INTERIOR\Planeacion\Seguimiento\Evidencias Seguimiento\capacitacioneslorena0001.pdf</t>
  </si>
  <si>
    <t>F:\INTERIOR\Planeacion\Seguimiento\Evidencias Seguimiento\ESTRATEGIA  DEPARTAMENTAL.doc</t>
  </si>
  <si>
    <t>F:\INTERIOR\Planeacion\Seguimiento\Evidencias Seguimiento\ELECTOS CONSOLIDADOS 2012.xlsx</t>
  </si>
  <si>
    <t xml:space="preserve">REUNION ACORDADA PARA EL 4 DE NOVIEMBRE DE 2012, PARA APOYAR Y PROMOVER LA ORGANIZACION COMUNITARIA DE LAS FAMILIAS
</t>
  </si>
  <si>
    <t>El Plan debe estar  elaborado y socializado a mas tardar el 14 de Diciembre de 2012 , de acuerdo a los establecido en la  Ley 1448 de 2011 y su decreto reglamentario 4800 de mismo ano</t>
  </si>
  <si>
    <t xml:space="preserve">La contrtacion de tranposrte para seguridad, horas de vuelo, suministro de  gasolina, camaras de seguridad SIES, son componentes primordiales para la construcion del plan MAcro </t>
  </si>
  <si>
    <t xml:space="preserve">Los programas de pago de recompensas, hacen parte integral  del programa e participación ciudadana para la seguridad preventiva y la convivencia pacífica. </t>
  </si>
  <si>
    <t>Se han formulado diferentes campanas (aproximadamente siete), pero se esta a la espera de la aprobacion de las mismas para iniciar su ejecucion</t>
  </si>
  <si>
    <t xml:space="preserve">La contratacion para apoyo a victimas, hogar de paso, Kits de aseo, mercados y demas, esta en proceso de ejecucion , atendiendo aproximadamente 25 personas  </t>
  </si>
  <si>
    <t>Evidencias Seguimiento\Propuesta Campaña de sensibilización Por un Quindio Mas Humano,  ABRAZOS.docx</t>
  </si>
  <si>
    <t>Evidencias Seguimiento\EVIDENCIAS CT. MENDEZ.pdf</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</si>
</sst>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00"/>
    <numFmt numFmtId="189" formatCode="_(* #.;_(* \(#.;_(* &quot;-&quot;??_);_(@_ⴆ"/>
    <numFmt numFmtId="190" formatCode="_(* #,##0.0_);_(* \(#,##0.0\);_(* &quot;-&quot;??_);_(@_)"/>
    <numFmt numFmtId="191" formatCode="#,##0.000"/>
    <numFmt numFmtId="192" formatCode="_(* #,##0_);_(* \(#,##0\);_(* &quot;-&quot;??_);_(@_)"/>
    <numFmt numFmtId="193" formatCode="_(* #.##0.00_);_(* \(#.##0.00\);_(* &quot;-&quot;??_);_(@_)"/>
    <numFmt numFmtId="194" formatCode="_-[$$-240A]\ * #,##0.00_ ;_-[$$-240A]\ * \-#,##0.00\ ;_-[$$-240A]\ * &quot;-&quot;??_ ;_-@_ "/>
    <numFmt numFmtId="195" formatCode="dd/mm/yy;@"/>
    <numFmt numFmtId="196" formatCode="0.0%"/>
    <numFmt numFmtId="197" formatCode="0.000000"/>
    <numFmt numFmtId="198" formatCode="0.00000"/>
    <numFmt numFmtId="199" formatCode="0.0000"/>
    <numFmt numFmtId="200" formatCode="0.000"/>
    <numFmt numFmtId="201" formatCode="0.0"/>
    <numFmt numFmtId="202" formatCode="_-* #,##0.000\ _€_-;\-* #,##0.000\ _€_-;_-* &quot;-&quot;??\ _€_-;_-@_-"/>
    <numFmt numFmtId="203" formatCode="_-* #,##0.0000\ _€_-;\-* #,##0.0000\ _€_-;_-* &quot;-&quot;??\ _€_-;_-@_-"/>
    <numFmt numFmtId="204" formatCode="_-* #,##0.00000\ _€_-;\-* #,##0.00000\ _€_-;_-* &quot;-&quot;??\ _€_-;_-@_-"/>
    <numFmt numFmtId="205" formatCode="_-* #,##0.000000\ _€_-;\-* #,##0.000000\ _€_-;_-* &quot;-&quot;??\ _€_-;_-@_-"/>
    <numFmt numFmtId="206" formatCode="_-* #,##0.0000000\ _€_-;\-* #,##0.0000000\ _€_-;_-* &quot;-&quot;??\ _€_-;_-@_-"/>
    <numFmt numFmtId="207" formatCode="_-* #,##0.00000000\ _€_-;\-* #,##0.00000000\ _€_-;_-* &quot;-&quot;??\ _€_-;_-@_-"/>
    <numFmt numFmtId="208" formatCode="_-* #,##0.000000000\ _€_-;\-* #,##0.000000000\ _€_-;_-* &quot;-&quot;??\ _€_-;_-@_-"/>
    <numFmt numFmtId="209" formatCode="_-* #,##0.0000000000\ _€_-;\-* #,##0.0000000000\ _€_-;_-* &quot;-&quot;??\ _€_-;_-@_-"/>
    <numFmt numFmtId="210" formatCode="_-* #,##0.00000000000\ _€_-;\-* #,##0.00000000000\ _€_-;_-* &quot;-&quot;??\ _€_-;_-@_-"/>
    <numFmt numFmtId="211" formatCode="_-* #,##0.000000000000\ _€_-;\-* #,##0.000000000000\ _€_-;_-* &quot;-&quot;??\ _€_-;_-@_-"/>
    <numFmt numFmtId="212" formatCode="_-* #,##0.0000000000000\ _€_-;\-* #,##0.0000000000000\ _€_-;_-* &quot;-&quot;??\ _€_-;_-@_-"/>
    <numFmt numFmtId="213" formatCode="_-* #,##0.00000000000000\ _€_-;\-* #,##0.00000000000000\ _€_-;_-* &quot;-&quot;??\ _€_-;_-@_-"/>
    <numFmt numFmtId="214" formatCode="_-* #,##0.000000000000000\ _€_-;\-* #,##0.000000000000000\ _€_-;_-* &quot;-&quot;??\ _€_-;_-@_-"/>
    <numFmt numFmtId="215" formatCode="_-* #,##0.0000000000000000\ _€_-;\-* #,##0.0000000000000000\ _€_-;_-* &quot;-&quot;??\ _€_-;_-@_-"/>
    <numFmt numFmtId="216" formatCode="_-* #,##0.00000000000000000\ _€_-;\-* #,##0.00000000000000000\ _€_-;_-* &quot;-&quot;??\ _€_-;_-@_-"/>
    <numFmt numFmtId="217" formatCode="_-* #,##0.000000000000000000\ _€_-;\-* #,##0.000000000000000000\ _€_-;_-* &quot;-&quot;??\ _€_-;_-@_-"/>
    <numFmt numFmtId="218" formatCode="_-* #,##0.0000000000000000000\ _€_-;\-* #,##0.0000000000000000000\ _€_-;_-* &quot;-&quot;??\ _€_-;_-@_-"/>
    <numFmt numFmtId="219" formatCode="_-* #,##0.00000000000000000000\ _€_-;\-* #,##0.00000000000000000000\ _€_-;_-* &quot;-&quot;??\ _€_-;_-@_-"/>
    <numFmt numFmtId="220" formatCode="_-* #,##0.000000000000000000000\ _€_-;\-* #,##0.000000000000000000000\ _€_-;_-* &quot;-&quot;??\ _€_-;_-@_-"/>
    <numFmt numFmtId="221" formatCode="_-* #,##0.0000000000000000000000\ _€_-;\-* #,##0.0000000000000000000000\ _€_-;_-* &quot;-&quot;??\ _€_-;_-@_-"/>
    <numFmt numFmtId="222" formatCode="_-* #,##0.00000000000000000000000\ _€_-;\-* #,##0.00000000000000000000000\ _€_-;_-* &quot;-&quot;??\ _€_-;_-@_-"/>
    <numFmt numFmtId="223" formatCode="_-* #,##0.000000000000000000000000\ _€_-;\-* #,##0.000000000000000000000000\ _€_-;_-* &quot;-&quot;??\ _€_-;_-@_-"/>
    <numFmt numFmtId="224" formatCode="0.00000000"/>
    <numFmt numFmtId="225" formatCode="0.0000000"/>
  </numFmts>
  <fonts count="48">
    <font>
      <sz val="11"/>
      <color indexed="8"/>
      <name val="Calibri"/>
      <family val="2"/>
    </font>
    <font>
      <sz val="10"/>
      <name val="Arial"/>
      <family val="2"/>
    </font>
    <font>
      <b/>
      <sz val="9"/>
      <name val="Tahoma"/>
      <family val="2"/>
    </font>
    <font>
      <sz val="9"/>
      <name val="Tahoma"/>
      <family val="2"/>
    </font>
    <font>
      <b/>
      <sz val="14"/>
      <name val="Arial"/>
      <family val="2"/>
    </font>
    <font>
      <sz val="14"/>
      <color indexed="8"/>
      <name val="Calibri"/>
      <family val="2"/>
    </font>
    <font>
      <b/>
      <sz val="14"/>
      <name val="Calibri"/>
      <family val="2"/>
    </font>
    <font>
      <b/>
      <sz val="14"/>
      <color indexed="8"/>
      <name val="Calibri"/>
      <family val="2"/>
    </font>
    <font>
      <sz val="14"/>
      <name val="Arial"/>
      <family val="2"/>
    </font>
    <font>
      <sz val="14"/>
      <color indexed="8"/>
      <name val="Arial"/>
      <family val="2"/>
    </font>
    <font>
      <b/>
      <sz val="11"/>
      <color indexed="8"/>
      <name val="Calibri"/>
      <family val="2"/>
    </font>
    <font>
      <b/>
      <sz val="11"/>
      <name val="Calibri"/>
      <family val="2"/>
    </font>
    <font>
      <b/>
      <sz val="28"/>
      <name val="Arial"/>
      <family val="2"/>
    </font>
    <font>
      <b/>
      <sz val="28"/>
      <name val="Mistral"/>
      <family val="4"/>
    </font>
    <font>
      <sz val="10"/>
      <color indexed="8"/>
      <name val="Arial"/>
      <family val="2"/>
    </font>
    <font>
      <b/>
      <sz val="10"/>
      <color indexed="8"/>
      <name val="Arial"/>
      <family val="2"/>
    </font>
    <font>
      <b/>
      <sz val="14"/>
      <color indexed="8"/>
      <name val="Arial"/>
      <family val="2"/>
    </font>
    <font>
      <sz val="10"/>
      <color indexed="8"/>
      <name val="Calibri"/>
      <family val="2"/>
    </font>
    <font>
      <sz val="10"/>
      <color indexed="8"/>
      <name val="Arial Narrow"/>
      <family val="2"/>
    </font>
    <font>
      <sz val="10"/>
      <name val="Calibri"/>
      <family val="2"/>
    </font>
    <font>
      <sz val="8"/>
      <color indexed="8"/>
      <name val="Calibri"/>
      <family val="2"/>
    </font>
    <font>
      <sz val="9"/>
      <color indexed="8"/>
      <name val="Calibri"/>
      <family val="2"/>
    </font>
    <font>
      <i/>
      <sz val="10"/>
      <color indexed="8"/>
      <name val="Calibri"/>
      <family val="2"/>
    </font>
    <font>
      <sz val="12"/>
      <color indexed="8"/>
      <name val="Arial"/>
      <family val="2"/>
    </font>
    <font>
      <sz val="10"/>
      <name val="Verdana"/>
      <family val="2"/>
    </font>
    <font>
      <sz val="12"/>
      <name val="Arial"/>
      <family val="2"/>
    </font>
    <font>
      <i/>
      <sz val="10"/>
      <color indexed="8"/>
      <name val="Arial"/>
      <family val="2"/>
    </font>
    <font>
      <b/>
      <sz val="10"/>
      <color indexed="8"/>
      <name val="Calibri"/>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5.5"/>
      <color indexed="12"/>
      <name val="Calibri"/>
      <family val="2"/>
    </font>
    <font>
      <u val="single"/>
      <sz val="13.2"/>
      <color indexed="36"/>
      <name val="Calibri"/>
      <family val="2"/>
    </font>
    <font>
      <b/>
      <sz val="10"/>
      <name val="Tahoma"/>
      <family val="0"/>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border>
    <border>
      <left/>
      <right/>
      <top/>
      <bottom style="medium"/>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top/>
      <bottom/>
    </border>
    <border>
      <left/>
      <right style="thin"/>
      <top/>
      <bottom/>
    </border>
    <border>
      <left/>
      <right style="thin"/>
      <top style="thin"/>
      <bottom/>
    </border>
    <border>
      <left style="thin"/>
      <right/>
      <top style="thin"/>
      <bottom/>
    </border>
    <border>
      <left style="thin"/>
      <right/>
      <top style="thin"/>
      <bottom style="thin"/>
    </border>
    <border>
      <left style="thin">
        <color indexed="23"/>
      </left>
      <right style="medium">
        <color indexed="23"/>
      </right>
      <top style="medium">
        <color indexed="23"/>
      </top>
      <bottom style="medium">
        <color indexed="23"/>
      </bottom>
    </border>
    <border>
      <left style="thin">
        <color indexed="23"/>
      </left>
      <right style="thin">
        <color indexed="23"/>
      </right>
      <top style="medium">
        <color indexed="23"/>
      </top>
      <bottom/>
    </border>
    <border>
      <left style="thin">
        <color indexed="23"/>
      </left>
      <right style="medium">
        <color indexed="23"/>
      </right>
      <top style="medium">
        <color indexed="23"/>
      </top>
      <bottom/>
    </border>
    <border>
      <left style="medium">
        <color indexed="23"/>
      </left>
      <right/>
      <top/>
      <bottom style="medium">
        <color indexed="23"/>
      </bottom>
    </border>
    <border>
      <left style="medium">
        <color indexed="23"/>
      </left>
      <right/>
      <top style="medium">
        <color indexed="23"/>
      </top>
      <bottom style="medium">
        <color indexed="23"/>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border>
    <border>
      <left style="thin"/>
      <right style="thin"/>
      <top/>
      <bottom style="thin"/>
    </border>
    <border>
      <left style="thin"/>
      <right style="thin"/>
      <top style="thin"/>
      <bottom>
        <color indexed="63"/>
      </bottom>
    </border>
    <border>
      <left style="thin"/>
      <right style="thin"/>
      <top>
        <color indexed="63"/>
      </top>
      <bottom style="thin"/>
    </border>
    <border>
      <left/>
      <right/>
      <top style="thin"/>
      <bottom/>
    </border>
    <border>
      <left style="medium"/>
      <right style="medium"/>
      <top style="medium"/>
      <bottom/>
    </border>
    <border>
      <left style="medium"/>
      <right style="medium"/>
      <top/>
      <bottom style="medium"/>
    </border>
    <border>
      <left style="medium"/>
      <right style="medium"/>
      <top/>
      <bottom/>
    </border>
    <border>
      <left style="medium"/>
      <right style="thin"/>
      <top/>
      <bottom/>
    </border>
    <border>
      <left style="thin"/>
      <right style="medium"/>
      <top/>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right/>
      <top style="medium"/>
      <bottom style="thin"/>
    </border>
    <border>
      <left/>
      <right style="medium"/>
      <top style="medium"/>
      <bottom style="thin"/>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right/>
      <top/>
      <bottom style="medium">
        <color indexed="23"/>
      </bottom>
    </border>
    <border>
      <left/>
      <right style="medium">
        <color indexed="23"/>
      </right>
      <top/>
      <bottom style="medium">
        <color indexed="23"/>
      </bottom>
    </border>
    <border>
      <left style="thin">
        <color indexed="23"/>
      </left>
      <right style="medium">
        <color indexed="23"/>
      </right>
      <top/>
      <bottom/>
    </border>
    <border>
      <left style="thin">
        <color indexed="23"/>
      </left>
      <right style="thin">
        <color indexed="23"/>
      </right>
      <top/>
      <bottom/>
    </border>
    <border>
      <left style="thin">
        <color indexed="23"/>
      </left>
      <right/>
      <top style="medium">
        <color indexed="23"/>
      </top>
      <bottom style="medium">
        <color indexed="23"/>
      </bottom>
    </border>
    <border>
      <left/>
      <right style="thin">
        <color indexed="23"/>
      </right>
      <top style="medium">
        <color indexed="23"/>
      </top>
      <bottom style="medium">
        <color indexed="23"/>
      </bottom>
    </border>
    <border>
      <left style="medium">
        <color indexed="23"/>
      </left>
      <right style="thin">
        <color indexed="23"/>
      </right>
      <top style="medium">
        <color indexed="23"/>
      </top>
      <bottom/>
    </border>
    <border>
      <left style="medium">
        <color indexed="23"/>
      </left>
      <right style="thin">
        <color indexed="23"/>
      </right>
      <top/>
      <bottom/>
    </border>
    <border>
      <left style="thin">
        <color indexed="23"/>
      </left>
      <right style="thin">
        <color indexed="23"/>
      </right>
      <top/>
      <bottom style="thin"/>
    </border>
    <border>
      <left style="medium">
        <color indexed="23"/>
      </left>
      <right/>
      <top style="medium">
        <color indexed="23"/>
      </top>
      <bottom/>
    </border>
    <border>
      <left/>
      <right/>
      <top style="medium">
        <color indexed="23"/>
      </top>
      <bottom/>
    </border>
    <border>
      <left/>
      <right style="medium">
        <color indexed="23"/>
      </right>
      <top style="medium">
        <color indexed="23"/>
      </top>
      <bottom/>
    </border>
    <border>
      <left style="thin">
        <color indexed="23"/>
      </left>
      <right/>
      <top style="medium">
        <color indexed="23"/>
      </top>
      <bottom/>
    </border>
    <border>
      <left style="thin"/>
      <right/>
      <top/>
      <bottom style="thin"/>
    </border>
    <border>
      <left/>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4" borderId="0" applyNumberFormat="0" applyBorder="0" applyAlignment="0" applyProtection="0"/>
    <xf numFmtId="0" fontId="31" fillId="16" borderId="1" applyNumberFormat="0" applyAlignment="0" applyProtection="0"/>
    <xf numFmtId="0" fontId="32" fillId="1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5" fillId="7"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3" borderId="0" applyNumberFormat="0" applyBorder="0" applyAlignment="0" applyProtection="0"/>
    <xf numFmtId="187" fontId="0" fillId="0" borderId="0" applyFont="0" applyFill="0" applyBorder="0" applyAlignment="0" applyProtection="0"/>
    <xf numFmtId="169" fontId="0" fillId="0" borderId="0" applyFont="0" applyFill="0" applyBorder="0" applyAlignment="0" applyProtection="0"/>
    <xf numFmtId="187"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22" borderId="0" applyNumberFormat="0" applyBorder="0" applyAlignment="0" applyProtection="0"/>
    <xf numFmtId="0" fontId="1" fillId="0" borderId="0">
      <alignment/>
      <protection/>
    </xf>
    <xf numFmtId="0" fontId="24" fillId="0" borderId="0">
      <alignment/>
      <protection/>
    </xf>
    <xf numFmtId="0" fontId="0" fillId="23" borderId="4" applyNumberFormat="0" applyFont="0" applyAlignment="0" applyProtection="0"/>
    <xf numFmtId="9" fontId="0" fillId="0" borderId="0" applyFont="0" applyFill="0" applyBorder="0" applyAlignment="0" applyProtection="0"/>
    <xf numFmtId="0" fontId="38" fillId="16"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10" fillId="0" borderId="9" applyNumberFormat="0" applyFill="0" applyAlignment="0" applyProtection="0"/>
  </cellStyleXfs>
  <cellXfs count="318">
    <xf numFmtId="0" fontId="0" fillId="0" borderId="0" xfId="0" applyAlignment="1">
      <alignment/>
    </xf>
    <xf numFmtId="0" fontId="5" fillId="0" borderId="0" xfId="0" applyFont="1" applyAlignment="1">
      <alignment vertical="center"/>
    </xf>
    <xf numFmtId="187" fontId="5" fillId="0" borderId="0" xfId="48" applyFont="1" applyAlignment="1">
      <alignment vertical="center"/>
    </xf>
    <xf numFmtId="0" fontId="5" fillId="0" borderId="10" xfId="0" applyFont="1" applyBorder="1" applyAlignment="1">
      <alignment vertical="center"/>
    </xf>
    <xf numFmtId="187" fontId="5" fillId="0" borderId="10" xfId="48" applyFont="1" applyBorder="1" applyAlignment="1">
      <alignment vertical="center"/>
    </xf>
    <xf numFmtId="0" fontId="4" fillId="17" borderId="10" xfId="54" applyFont="1" applyFill="1" applyBorder="1" applyAlignment="1">
      <alignment horizontal="left" vertical="center" wrapText="1"/>
      <protection/>
    </xf>
    <xf numFmtId="0" fontId="5" fillId="0" borderId="10" xfId="0" applyFont="1" applyBorder="1" applyAlignment="1">
      <alignment vertical="center" wrapText="1"/>
    </xf>
    <xf numFmtId="0" fontId="5" fillId="0" borderId="10" xfId="0" applyFont="1" applyBorder="1" applyAlignment="1">
      <alignment horizontal="center" vertical="center"/>
    </xf>
    <xf numFmtId="0" fontId="8" fillId="0" borderId="10" xfId="54" applyFont="1" applyFill="1" applyBorder="1" applyAlignment="1">
      <alignment horizontal="center" vertical="center" wrapText="1"/>
      <protection/>
    </xf>
    <xf numFmtId="0" fontId="5" fillId="0" borderId="10" xfId="0" applyFont="1" applyBorder="1" applyAlignment="1">
      <alignment horizontal="left" vertical="center" wrapText="1"/>
    </xf>
    <xf numFmtId="0" fontId="4" fillId="16" borderId="10" xfId="54" applyFont="1" applyFill="1" applyBorder="1" applyAlignment="1">
      <alignment horizontal="center" vertical="center" wrapText="1"/>
      <protection/>
    </xf>
    <xf numFmtId="0" fontId="8" fillId="0" borderId="10" xfId="54" applyFont="1" applyFill="1" applyBorder="1" applyAlignment="1">
      <alignment horizontal="left" vertical="center" wrapText="1"/>
      <protection/>
    </xf>
    <xf numFmtId="0" fontId="5"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8" fillId="16" borderId="10" xfId="54" applyFont="1" applyFill="1" applyBorder="1" applyAlignment="1">
      <alignment horizontal="left" vertical="center" wrapText="1"/>
      <protection/>
    </xf>
    <xf numFmtId="0" fontId="5" fillId="0" borderId="10" xfId="0" applyFont="1" applyFill="1" applyBorder="1" applyAlignment="1">
      <alignment horizontal="center" vertical="center"/>
    </xf>
    <xf numFmtId="0" fontId="4" fillId="17" borderId="10" xfId="54" applyFont="1" applyFill="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5" fillId="0" borderId="0" xfId="0" applyFont="1" applyAlignment="1">
      <alignment horizontal="center" vertical="center"/>
    </xf>
    <xf numFmtId="187" fontId="5" fillId="0" borderId="10" xfId="48" applyFont="1" applyFill="1" applyBorder="1" applyAlignment="1">
      <alignment vertical="center"/>
    </xf>
    <xf numFmtId="0" fontId="5" fillId="0" borderId="0" xfId="0" applyFont="1" applyFill="1" applyAlignment="1">
      <alignment vertical="center"/>
    </xf>
    <xf numFmtId="0" fontId="4" fillId="24" borderId="10" xfId="54" applyFont="1" applyFill="1" applyBorder="1" applyAlignment="1">
      <alignment horizontal="center" vertical="center" wrapText="1"/>
      <protection/>
    </xf>
    <xf numFmtId="0" fontId="4" fillId="24" borderId="10" xfId="54" applyFont="1" applyFill="1" applyBorder="1" applyAlignment="1">
      <alignment horizontal="left" vertical="center" wrapText="1"/>
      <protection/>
    </xf>
    <xf numFmtId="0" fontId="5" fillId="24" borderId="10" xfId="0" applyFont="1" applyFill="1" applyBorder="1" applyAlignment="1">
      <alignment vertical="center" wrapText="1"/>
    </xf>
    <xf numFmtId="0" fontId="5" fillId="24" borderId="10" xfId="0" applyFont="1" applyFill="1" applyBorder="1" applyAlignment="1">
      <alignment vertical="center"/>
    </xf>
    <xf numFmtId="0" fontId="5" fillId="24" borderId="10" xfId="0" applyFont="1" applyFill="1" applyBorder="1" applyAlignment="1">
      <alignment horizontal="center" vertical="center"/>
    </xf>
    <xf numFmtId="0" fontId="5" fillId="17" borderId="10" xfId="0" applyFont="1" applyFill="1" applyBorder="1" applyAlignment="1">
      <alignment vertical="center" wrapText="1"/>
    </xf>
    <xf numFmtId="0" fontId="5" fillId="17" borderId="10" xfId="0" applyFont="1" applyFill="1" applyBorder="1" applyAlignment="1">
      <alignment vertical="center"/>
    </xf>
    <xf numFmtId="0" fontId="5" fillId="17" borderId="10" xfId="0" applyFont="1" applyFill="1" applyBorder="1" applyAlignment="1">
      <alignment horizontal="center" vertical="center"/>
    </xf>
    <xf numFmtId="0" fontId="5" fillId="16" borderId="10" xfId="0" applyFont="1" applyFill="1" applyBorder="1" applyAlignment="1">
      <alignment vertical="center" wrapText="1"/>
    </xf>
    <xf numFmtId="0" fontId="5" fillId="16" borderId="10" xfId="0" applyFont="1" applyFill="1" applyBorder="1" applyAlignment="1">
      <alignment vertical="center"/>
    </xf>
    <xf numFmtId="0" fontId="5" fillId="16" borderId="10" xfId="0" applyFont="1" applyFill="1" applyBorder="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Font="1" applyAlignment="1">
      <alignment vertical="center"/>
    </xf>
    <xf numFmtId="0" fontId="9" fillId="0" borderId="10" xfId="0" applyFont="1" applyFill="1" applyBorder="1" applyAlignment="1">
      <alignment horizontal="left" vertical="center" wrapText="1"/>
    </xf>
    <xf numFmtId="187" fontId="5" fillId="24" borderId="10" xfId="48" applyFont="1" applyFill="1" applyBorder="1" applyAlignment="1">
      <alignment vertical="center"/>
    </xf>
    <xf numFmtId="187" fontId="5" fillId="17" borderId="10" xfId="48" applyFont="1" applyFill="1" applyBorder="1" applyAlignment="1">
      <alignment vertical="center"/>
    </xf>
    <xf numFmtId="187" fontId="5" fillId="16" borderId="10" xfId="48" applyFont="1" applyFill="1" applyBorder="1" applyAlignment="1">
      <alignment vertical="center"/>
    </xf>
    <xf numFmtId="0" fontId="4" fillId="24" borderId="11" xfId="54" applyFont="1" applyFill="1" applyBorder="1" applyAlignment="1">
      <alignment vertical="center" wrapText="1"/>
      <protection/>
    </xf>
    <xf numFmtId="0" fontId="8" fillId="16" borderId="10" xfId="54" applyFont="1" applyFill="1" applyBorder="1" applyAlignment="1">
      <alignment horizontal="center" vertical="center" wrapText="1"/>
      <protection/>
    </xf>
    <xf numFmtId="0" fontId="5" fillId="16" borderId="10" xfId="0" applyFont="1" applyFill="1" applyBorder="1" applyAlignment="1">
      <alignment horizontal="center" vertical="center" wrapText="1"/>
    </xf>
    <xf numFmtId="187" fontId="5" fillId="16" borderId="10" xfId="48" applyFont="1" applyFill="1" applyBorder="1" applyAlignment="1">
      <alignment horizontal="center" vertical="center"/>
    </xf>
    <xf numFmtId="0" fontId="0" fillId="0" borderId="10" xfId="0" applyBorder="1" applyAlignment="1">
      <alignment horizontal="center" vertical="center"/>
    </xf>
    <xf numFmtId="0" fontId="5" fillId="25" borderId="0" xfId="0" applyFont="1" applyFill="1" applyAlignment="1">
      <alignment vertical="center"/>
    </xf>
    <xf numFmtId="0" fontId="11" fillId="25" borderId="0" xfId="0" applyFont="1" applyFill="1" applyBorder="1" applyAlignment="1">
      <alignment vertical="center"/>
    </xf>
    <xf numFmtId="0" fontId="11" fillId="25" borderId="12" xfId="0" applyFont="1" applyFill="1" applyBorder="1" applyAlignment="1">
      <alignment vertical="center"/>
    </xf>
    <xf numFmtId="0" fontId="4" fillId="25" borderId="13" xfId="0" applyFont="1" applyFill="1" applyBorder="1" applyAlignment="1">
      <alignment vertical="center" textRotation="90" wrapText="1"/>
    </xf>
    <xf numFmtId="0" fontId="4" fillId="25" borderId="10" xfId="0" applyFont="1" applyFill="1" applyBorder="1" applyAlignment="1">
      <alignment vertical="center" textRotation="90" wrapText="1"/>
    </xf>
    <xf numFmtId="0" fontId="4" fillId="25" borderId="14" xfId="0" applyFont="1" applyFill="1" applyBorder="1" applyAlignment="1">
      <alignment vertical="center" textRotation="90" wrapText="1"/>
    </xf>
    <xf numFmtId="0" fontId="4" fillId="25" borderId="15" xfId="0" applyFont="1" applyFill="1" applyBorder="1" applyAlignment="1">
      <alignment vertical="center" textRotation="90" wrapText="1"/>
    </xf>
    <xf numFmtId="0" fontId="4" fillId="25" borderId="16" xfId="0" applyFont="1" applyFill="1" applyBorder="1" applyAlignment="1">
      <alignment vertical="center" textRotation="90" wrapText="1"/>
    </xf>
    <xf numFmtId="0" fontId="4" fillId="25" borderId="17" xfId="0" applyFont="1" applyFill="1" applyBorder="1" applyAlignment="1">
      <alignment vertical="center" textRotation="90" wrapText="1"/>
    </xf>
    <xf numFmtId="0" fontId="0" fillId="0" borderId="0" xfId="0" applyFont="1" applyFill="1" applyAlignment="1">
      <alignment vertical="center"/>
    </xf>
    <xf numFmtId="0" fontId="5" fillId="25" borderId="10" xfId="0" applyFont="1" applyFill="1" applyBorder="1" applyAlignment="1">
      <alignment vertical="center" wrapText="1"/>
    </xf>
    <xf numFmtId="0" fontId="5" fillId="25" borderId="10" xfId="0" applyFont="1" applyFill="1" applyBorder="1" applyAlignment="1">
      <alignment horizontal="center" vertical="center"/>
    </xf>
    <xf numFmtId="0" fontId="5" fillId="25" borderId="10" xfId="0" applyFont="1" applyFill="1" applyBorder="1" applyAlignment="1">
      <alignment vertical="center"/>
    </xf>
    <xf numFmtId="187" fontId="5" fillId="25" borderId="10" xfId="48" applyFont="1" applyFill="1" applyBorder="1" applyAlignment="1">
      <alignment vertical="center"/>
    </xf>
    <xf numFmtId="0" fontId="12" fillId="17" borderId="18" xfId="54" applyFont="1" applyFill="1" applyBorder="1" applyAlignment="1">
      <alignment horizontal="center" vertical="center" wrapText="1"/>
      <protection/>
    </xf>
    <xf numFmtId="0" fontId="12" fillId="17" borderId="0" xfId="54" applyFont="1" applyFill="1" applyBorder="1" applyAlignment="1">
      <alignment horizontal="center" vertical="center" wrapText="1"/>
      <protection/>
    </xf>
    <xf numFmtId="0" fontId="4" fillId="17" borderId="18" xfId="54" applyFont="1" applyFill="1" applyBorder="1" applyAlignment="1">
      <alignment horizontal="center" vertical="center" textRotation="90" wrapText="1"/>
      <protection/>
    </xf>
    <xf numFmtId="0" fontId="4" fillId="17" borderId="0" xfId="54" applyFont="1" applyFill="1" applyBorder="1" applyAlignment="1">
      <alignment horizontal="center" vertical="center" textRotation="90" wrapText="1"/>
      <protection/>
    </xf>
    <xf numFmtId="0" fontId="7" fillId="17" borderId="0"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0" xfId="0" applyFont="1" applyFill="1" applyBorder="1" applyAlignment="1">
      <alignment horizontal="center" vertical="center"/>
    </xf>
    <xf numFmtId="0" fontId="4" fillId="17" borderId="19" xfId="0" applyFont="1" applyFill="1" applyBorder="1" applyAlignment="1">
      <alignment horizontal="center" vertical="center" textRotation="90" wrapText="1"/>
    </xf>
    <xf numFmtId="0" fontId="4" fillId="17" borderId="18" xfId="0" applyFont="1" applyFill="1" applyBorder="1" applyAlignment="1">
      <alignment horizontal="center" vertical="center" textRotation="90" wrapText="1"/>
    </xf>
    <xf numFmtId="0" fontId="4" fillId="17" borderId="11" xfId="0" applyFont="1" applyFill="1" applyBorder="1" applyAlignment="1">
      <alignment horizontal="center" vertical="center" textRotation="90" wrapText="1"/>
    </xf>
    <xf numFmtId="0" fontId="4" fillId="17" borderId="20" xfId="0" applyFont="1" applyFill="1" applyBorder="1" applyAlignment="1">
      <alignment vertical="center" textRotation="90" wrapText="1"/>
    </xf>
    <xf numFmtId="0" fontId="4" fillId="17" borderId="16" xfId="0" applyFont="1" applyFill="1" applyBorder="1" applyAlignment="1">
      <alignment vertical="center" textRotation="90" wrapText="1"/>
    </xf>
    <xf numFmtId="0" fontId="4" fillId="17" borderId="21" xfId="0" applyFont="1" applyFill="1" applyBorder="1" applyAlignment="1">
      <alignment vertical="center" textRotation="90" wrapText="1"/>
    </xf>
    <xf numFmtId="0" fontId="11" fillId="17" borderId="0" xfId="0" applyNumberFormat="1" applyFont="1" applyFill="1" applyBorder="1" applyAlignment="1">
      <alignment horizontal="center" vertical="center" wrapText="1"/>
    </xf>
    <xf numFmtId="0" fontId="11" fillId="17" borderId="0" xfId="0" applyFont="1" applyFill="1" applyBorder="1" applyAlignment="1">
      <alignment horizontal="center" vertical="center" wrapText="1"/>
    </xf>
    <xf numFmtId="9" fontId="11" fillId="17" borderId="0" xfId="57" applyFont="1" applyFill="1" applyBorder="1" applyAlignment="1">
      <alignment horizontal="center" vertical="center" wrapText="1"/>
    </xf>
    <xf numFmtId="187" fontId="11" fillId="17" borderId="0" xfId="48" applyFont="1" applyFill="1" applyBorder="1" applyAlignment="1">
      <alignment horizontal="center" vertical="center" wrapText="1"/>
    </xf>
    <xf numFmtId="1" fontId="11" fillId="17" borderId="0" xfId="48" applyNumberFormat="1" applyFont="1" applyFill="1" applyBorder="1" applyAlignment="1">
      <alignment horizontal="center" vertical="center" wrapText="1"/>
    </xf>
    <xf numFmtId="1" fontId="11" fillId="17" borderId="0" xfId="0" applyNumberFormat="1" applyFont="1" applyFill="1" applyBorder="1" applyAlignment="1">
      <alignment horizontal="center" vertical="center" wrapText="1"/>
    </xf>
    <xf numFmtId="0" fontId="5" fillId="24" borderId="0" xfId="0" applyFont="1" applyFill="1" applyAlignment="1">
      <alignment vertical="center"/>
    </xf>
    <xf numFmtId="0" fontId="5" fillId="24" borderId="0" xfId="0" applyFont="1" applyFill="1" applyAlignment="1">
      <alignment horizontal="left" vertical="center" wrapText="1"/>
    </xf>
    <xf numFmtId="0" fontId="5" fillId="24" borderId="0" xfId="0" applyFont="1" applyFill="1" applyAlignment="1">
      <alignment vertical="center" wrapText="1"/>
    </xf>
    <xf numFmtId="0" fontId="5" fillId="24" borderId="0" xfId="0" applyFont="1" applyFill="1" applyAlignment="1">
      <alignment horizontal="center" vertical="center"/>
    </xf>
    <xf numFmtId="187" fontId="5" fillId="24" borderId="0" xfId="48" applyFont="1" applyFill="1" applyAlignment="1">
      <alignment vertical="center"/>
    </xf>
    <xf numFmtId="0" fontId="0" fillId="0" borderId="10" xfId="0" applyBorder="1" applyAlignment="1">
      <alignment horizontal="center"/>
    </xf>
    <xf numFmtId="0" fontId="0" fillId="0" borderId="10" xfId="0" applyBorder="1" applyAlignment="1">
      <alignment vertical="center"/>
    </xf>
    <xf numFmtId="187" fontId="5" fillId="0" borderId="10" xfId="48" applyFont="1" applyFill="1" applyBorder="1" applyAlignment="1">
      <alignment vertical="center"/>
    </xf>
    <xf numFmtId="0" fontId="5" fillId="0" borderId="10" xfId="0" applyFont="1" applyFill="1" applyBorder="1" applyAlignment="1">
      <alignment horizontal="center" vertical="center"/>
    </xf>
    <xf numFmtId="187" fontId="5" fillId="0" borderId="10" xfId="48"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wrapText="1"/>
    </xf>
    <xf numFmtId="0" fontId="9" fillId="0" borderId="22" xfId="0" applyFont="1" applyFill="1" applyBorder="1" applyAlignment="1">
      <alignment horizontal="center" vertical="center" wrapText="1"/>
    </xf>
    <xf numFmtId="0" fontId="5" fillId="0" borderId="10" xfId="0" applyFont="1" applyFill="1" applyBorder="1" applyAlignment="1">
      <alignment horizontal="center"/>
    </xf>
    <xf numFmtId="0" fontId="5" fillId="0" borderId="0" xfId="0" applyFont="1" applyFill="1" applyAlignment="1">
      <alignment horizontal="center"/>
    </xf>
    <xf numFmtId="0" fontId="17" fillId="0" borderId="23" xfId="0" applyFont="1" applyFill="1" applyBorder="1" applyAlignment="1">
      <alignment vertical="center" wrapText="1"/>
    </xf>
    <xf numFmtId="0" fontId="21"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3" fillId="0" borderId="10" xfId="0" applyFont="1" applyFill="1" applyBorder="1" applyAlignment="1">
      <alignment vertical="center" wrapText="1"/>
    </xf>
    <xf numFmtId="9" fontId="23" fillId="0" borderId="10" xfId="0" applyNumberFormat="1" applyFont="1" applyFill="1" applyBorder="1" applyAlignment="1">
      <alignment vertical="center" wrapText="1"/>
    </xf>
    <xf numFmtId="196" fontId="23" fillId="0" borderId="10" xfId="0" applyNumberFormat="1" applyFont="1" applyFill="1" applyBorder="1" applyAlignment="1">
      <alignment vertical="center" wrapText="1"/>
    </xf>
    <xf numFmtId="10" fontId="23" fillId="0" borderId="10" xfId="0" applyNumberFormat="1" applyFont="1" applyFill="1" applyBorder="1" applyAlignment="1">
      <alignment vertical="center" wrapText="1"/>
    </xf>
    <xf numFmtId="0" fontId="23" fillId="0" borderId="16" xfId="0" applyFont="1" applyFill="1" applyBorder="1" applyAlignment="1">
      <alignment vertical="center" wrapText="1"/>
    </xf>
    <xf numFmtId="9" fontId="23" fillId="0" borderId="16"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17" fillId="0" borderId="26" xfId="0" applyFont="1" applyFill="1" applyBorder="1" applyAlignment="1">
      <alignment horizontal="right" vertical="center" wrapText="1"/>
    </xf>
    <xf numFmtId="0" fontId="26" fillId="0" borderId="27" xfId="0" applyFont="1" applyFill="1" applyBorder="1" applyAlignment="1">
      <alignment wrapText="1"/>
    </xf>
    <xf numFmtId="0" fontId="5" fillId="25" borderId="22" xfId="0" applyFont="1" applyFill="1" applyBorder="1" applyAlignment="1">
      <alignment vertical="center"/>
    </xf>
    <xf numFmtId="0" fontId="5" fillId="24" borderId="22" xfId="0" applyFont="1" applyFill="1" applyBorder="1" applyAlignment="1">
      <alignment vertical="center"/>
    </xf>
    <xf numFmtId="0" fontId="5" fillId="17" borderId="22" xfId="0" applyFont="1" applyFill="1" applyBorder="1" applyAlignment="1">
      <alignment vertical="center"/>
    </xf>
    <xf numFmtId="0" fontId="5" fillId="16" borderId="22" xfId="0" applyFont="1" applyFill="1" applyBorder="1" applyAlignment="1">
      <alignment vertical="center"/>
    </xf>
    <xf numFmtId="0" fontId="5" fillId="0" borderId="22" xfId="0" applyFont="1" applyBorder="1" applyAlignment="1">
      <alignment vertical="center"/>
    </xf>
    <xf numFmtId="0" fontId="28" fillId="0" borderId="0" xfId="0" applyFont="1" applyFill="1" applyBorder="1" applyAlignment="1" applyProtection="1">
      <alignment horizontal="center" vertical="center" wrapText="1"/>
      <protection/>
    </xf>
    <xf numFmtId="3" fontId="28" fillId="0" borderId="0" xfId="0" applyNumberFormat="1" applyFont="1" applyFill="1" applyBorder="1" applyAlignment="1" applyProtection="1">
      <alignment horizontal="center" vertical="center" wrapText="1"/>
      <protection/>
    </xf>
    <xf numFmtId="3" fontId="1" fillId="0" borderId="0" xfId="0" applyNumberFormat="1" applyFont="1" applyBorder="1" applyAlignment="1">
      <alignment vertical="center" wrapText="1"/>
    </xf>
    <xf numFmtId="3" fontId="1" fillId="0" borderId="0" xfId="0" applyNumberFormat="1" applyFont="1" applyBorder="1" applyAlignment="1">
      <alignment/>
    </xf>
    <xf numFmtId="0" fontId="28" fillId="26" borderId="0" xfId="0" applyFont="1" applyFill="1" applyBorder="1" applyAlignment="1" applyProtection="1">
      <alignment horizontal="center" vertical="center" wrapText="1"/>
      <protection/>
    </xf>
    <xf numFmtId="3" fontId="28" fillId="26" borderId="0" xfId="0" applyNumberFormat="1" applyFont="1" applyFill="1" applyBorder="1" applyAlignment="1" applyProtection="1">
      <alignment horizontal="center" vertical="center" wrapText="1"/>
      <protection/>
    </xf>
    <xf numFmtId="0" fontId="5" fillId="0" borderId="0" xfId="0" applyFont="1" applyBorder="1" applyAlignment="1">
      <alignment vertical="center"/>
    </xf>
    <xf numFmtId="0" fontId="0" fillId="0" borderId="0" xfId="0" applyFont="1" applyBorder="1" applyAlignment="1">
      <alignment vertical="center"/>
    </xf>
    <xf numFmtId="0" fontId="11" fillId="25" borderId="28" xfId="0" applyFont="1" applyFill="1" applyBorder="1" applyAlignment="1">
      <alignment vertical="center"/>
    </xf>
    <xf numFmtId="0" fontId="11" fillId="25" borderId="29" xfId="0" applyFont="1" applyFill="1" applyBorder="1" applyAlignment="1">
      <alignment vertical="center"/>
    </xf>
    <xf numFmtId="0" fontId="11" fillId="25" borderId="30" xfId="0" applyFont="1" applyFill="1" applyBorder="1" applyAlignment="1">
      <alignment vertical="center"/>
    </xf>
    <xf numFmtId="0" fontId="11" fillId="25" borderId="31" xfId="0" applyFont="1" applyFill="1" applyBorder="1" applyAlignment="1">
      <alignment vertical="center"/>
    </xf>
    <xf numFmtId="0" fontId="11" fillId="25" borderId="32" xfId="0" applyFont="1" applyFill="1" applyBorder="1" applyAlignment="1">
      <alignment vertical="center"/>
    </xf>
    <xf numFmtId="0" fontId="11" fillId="27" borderId="33" xfId="0" applyFont="1" applyFill="1" applyBorder="1" applyAlignment="1">
      <alignment horizontal="center" vertical="center" wrapText="1"/>
    </xf>
    <xf numFmtId="187" fontId="5" fillId="0" borderId="10"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187" fontId="5" fillId="0" borderId="22" xfId="0" applyNumberFormat="1" applyFont="1" applyBorder="1" applyAlignment="1">
      <alignment vertical="center"/>
    </xf>
    <xf numFmtId="179" fontId="5" fillId="0" borderId="22" xfId="0" applyNumberFormat="1" applyFont="1" applyBorder="1" applyAlignment="1">
      <alignment vertical="center"/>
    </xf>
    <xf numFmtId="1" fontId="5" fillId="0" borderId="22" xfId="0" applyNumberFormat="1" applyFont="1" applyBorder="1" applyAlignment="1">
      <alignment vertical="center"/>
    </xf>
    <xf numFmtId="2" fontId="5" fillId="0" borderId="22" xfId="0" applyNumberFormat="1" applyFont="1" applyBorder="1" applyAlignment="1">
      <alignment vertical="center"/>
    </xf>
    <xf numFmtId="187" fontId="5" fillId="0" borderId="10" xfId="0" applyNumberFormat="1" applyFont="1" applyFill="1" applyBorder="1" applyAlignment="1">
      <alignment vertical="center"/>
    </xf>
    <xf numFmtId="0" fontId="5" fillId="0" borderId="16" xfId="0" applyFont="1" applyFill="1" applyBorder="1" applyAlignment="1">
      <alignment vertical="center" wrapText="1"/>
    </xf>
    <xf numFmtId="0" fontId="5" fillId="0" borderId="34" xfId="0" applyFont="1" applyFill="1" applyBorder="1" applyAlignment="1">
      <alignment vertical="center" wrapText="1"/>
    </xf>
    <xf numFmtId="2" fontId="5" fillId="0" borderId="10" xfId="0" applyNumberFormat="1" applyFont="1" applyFill="1" applyBorder="1" applyAlignment="1">
      <alignment vertical="center"/>
    </xf>
    <xf numFmtId="201" fontId="5" fillId="0" borderId="10" xfId="0" applyNumberFormat="1" applyFont="1" applyFill="1" applyBorder="1" applyAlignment="1">
      <alignment vertical="center"/>
    </xf>
    <xf numFmtId="1" fontId="5" fillId="0" borderId="10" xfId="0" applyNumberFormat="1" applyFont="1" applyFill="1" applyBorder="1" applyAlignment="1">
      <alignment vertical="center"/>
    </xf>
    <xf numFmtId="187" fontId="5" fillId="0" borderId="10" xfId="0" applyNumberFormat="1" applyFont="1" applyFill="1" applyBorder="1" applyAlignment="1">
      <alignment horizontal="center"/>
    </xf>
    <xf numFmtId="9" fontId="5" fillId="0" borderId="10" xfId="57" applyFont="1" applyFill="1" applyBorder="1" applyAlignment="1">
      <alignment horizontal="center" vertical="center"/>
    </xf>
    <xf numFmtId="0" fontId="5" fillId="16" borderId="35" xfId="0" applyFont="1" applyFill="1" applyBorder="1" applyAlignment="1">
      <alignment horizontal="center" vertical="center"/>
    </xf>
    <xf numFmtId="0" fontId="5" fillId="0" borderId="36" xfId="0" applyFont="1" applyFill="1" applyBorder="1" applyAlignment="1">
      <alignment horizontal="center" vertical="center"/>
    </xf>
    <xf numFmtId="0" fontId="44" fillId="0" borderId="10" xfId="45" applyBorder="1" applyAlignment="1">
      <alignment/>
    </xf>
    <xf numFmtId="0" fontId="44" fillId="0" borderId="10" xfId="45" applyBorder="1" applyAlignment="1">
      <alignment horizontal="center" vertical="center" wrapText="1"/>
    </xf>
    <xf numFmtId="0" fontId="44" fillId="0" borderId="10" xfId="45" applyBorder="1" applyAlignment="1">
      <alignment horizontal="center" vertical="center"/>
    </xf>
    <xf numFmtId="0" fontId="5" fillId="0" borderId="10" xfId="0" applyFont="1" applyBorder="1" applyAlignment="1">
      <alignment horizontal="center" vertical="center"/>
    </xf>
    <xf numFmtId="0" fontId="44" fillId="0" borderId="10" xfId="45" applyFill="1" applyBorder="1" applyAlignment="1">
      <alignment horizontal="center" vertical="center" wrapText="1"/>
    </xf>
    <xf numFmtId="9" fontId="5" fillId="0" borderId="10" xfId="57" applyFont="1" applyFill="1" applyBorder="1" applyAlignment="1">
      <alignment horizontal="center" vertical="center" wrapText="1"/>
    </xf>
    <xf numFmtId="9" fontId="5" fillId="0" borderId="10" xfId="57"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44" fillId="0" borderId="10" xfId="45" applyFill="1" applyBorder="1" applyAlignment="1">
      <alignment vertical="center" wrapText="1"/>
    </xf>
    <xf numFmtId="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3" fontId="5" fillId="0" borderId="22" xfId="0" applyNumberFormat="1" applyFont="1" applyBorder="1" applyAlignment="1">
      <alignment vertical="center"/>
    </xf>
    <xf numFmtId="201" fontId="5" fillId="0" borderId="22" xfId="0" applyNumberFormat="1" applyFont="1" applyBorder="1" applyAlignment="1">
      <alignment vertical="center"/>
    </xf>
    <xf numFmtId="2" fontId="5" fillId="0" borderId="10" xfId="0" applyNumberFormat="1" applyFont="1" applyFill="1" applyBorder="1" applyAlignment="1">
      <alignment horizontal="center" vertical="center"/>
    </xf>
    <xf numFmtId="0" fontId="4" fillId="25" borderId="16" xfId="54" applyFont="1" applyFill="1" applyBorder="1" applyAlignment="1">
      <alignment horizontal="center" vertical="center" textRotation="90" wrapText="1"/>
      <protection/>
    </xf>
    <xf numFmtId="0" fontId="4" fillId="25" borderId="11" xfId="54" applyFont="1" applyFill="1" applyBorder="1" applyAlignment="1">
      <alignment horizontal="center" vertical="center" textRotation="90" wrapText="1"/>
      <protection/>
    </xf>
    <xf numFmtId="0" fontId="4" fillId="0" borderId="16" xfId="54" applyFont="1" applyFill="1" applyBorder="1" applyAlignment="1">
      <alignment horizontal="center" vertical="center" wrapText="1"/>
      <protection/>
    </xf>
    <xf numFmtId="0" fontId="4" fillId="0" borderId="11" xfId="54" applyFont="1" applyFill="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25" borderId="10" xfId="54" applyFont="1" applyFill="1" applyBorder="1" applyAlignment="1">
      <alignment vertical="center"/>
      <protection/>
    </xf>
    <xf numFmtId="3" fontId="44" fillId="0" borderId="10" xfId="45" applyNumberFormat="1" applyBorder="1" applyAlignment="1">
      <alignment vertical="center" wrapText="1"/>
    </xf>
    <xf numFmtId="3" fontId="28" fillId="26" borderId="0" xfId="0" applyNumberFormat="1" applyFont="1" applyFill="1" applyBorder="1" applyAlignment="1" applyProtection="1">
      <alignment horizontal="center" vertical="center" wrapText="1"/>
      <protection/>
    </xf>
    <xf numFmtId="0" fontId="4" fillId="25" borderId="37" xfId="54" applyFont="1" applyFill="1" applyBorder="1" applyAlignment="1">
      <alignment horizontal="center" vertical="center" textRotation="90" wrapText="1"/>
      <protection/>
    </xf>
    <xf numFmtId="0" fontId="4" fillId="25" borderId="0" xfId="54" applyFont="1" applyFill="1" applyBorder="1" applyAlignment="1">
      <alignment horizontal="center" vertical="center" textRotation="90" wrapText="1"/>
      <protection/>
    </xf>
    <xf numFmtId="0" fontId="4" fillId="25" borderId="18" xfId="54" applyFont="1" applyFill="1" applyBorder="1" applyAlignment="1">
      <alignment horizontal="center" vertical="center" textRotation="90" wrapText="1"/>
      <protection/>
    </xf>
    <xf numFmtId="0" fontId="4" fillId="25" borderId="21" xfId="54" applyFont="1" applyFill="1" applyBorder="1" applyAlignment="1">
      <alignment horizontal="center" vertical="center" wrapText="1"/>
      <protection/>
    </xf>
    <xf numFmtId="0" fontId="4" fillId="25" borderId="37" xfId="54" applyFont="1" applyFill="1" applyBorder="1" applyAlignment="1">
      <alignment horizontal="center" vertical="center" wrapText="1"/>
      <protection/>
    </xf>
    <xf numFmtId="0" fontId="4" fillId="25" borderId="20" xfId="54" applyFont="1" applyFill="1" applyBorder="1" applyAlignment="1">
      <alignment horizontal="center" vertical="center" wrapText="1"/>
      <protection/>
    </xf>
    <xf numFmtId="0" fontId="4" fillId="25" borderId="18" xfId="54" applyFont="1" applyFill="1" applyBorder="1" applyAlignment="1">
      <alignment horizontal="center" vertical="center" wrapText="1"/>
      <protection/>
    </xf>
    <xf numFmtId="0" fontId="4" fillId="25" borderId="0" xfId="54" applyFont="1" applyFill="1" applyBorder="1" applyAlignment="1">
      <alignment horizontal="center" vertical="center" wrapText="1"/>
      <protection/>
    </xf>
    <xf numFmtId="0" fontId="4" fillId="25" borderId="19" xfId="54" applyFont="1" applyFill="1" applyBorder="1" applyAlignment="1">
      <alignment horizontal="center" vertical="center" wrapText="1"/>
      <protection/>
    </xf>
    <xf numFmtId="0" fontId="4" fillId="25" borderId="38" xfId="54" applyFont="1" applyFill="1" applyBorder="1" applyAlignment="1">
      <alignment horizontal="center" vertical="center" textRotation="90" wrapText="1"/>
      <protection/>
    </xf>
    <xf numFmtId="0" fontId="4" fillId="25" borderId="39" xfId="54" applyFont="1" applyFill="1" applyBorder="1" applyAlignment="1">
      <alignment horizontal="center" vertical="center" textRotation="90" wrapText="1"/>
      <protection/>
    </xf>
    <xf numFmtId="0" fontId="0" fillId="0" borderId="10" xfId="0" applyBorder="1" applyAlignment="1">
      <alignment horizontal="center" vertical="center"/>
    </xf>
    <xf numFmtId="0" fontId="5" fillId="0" borderId="10" xfId="0" applyFont="1" applyBorder="1" applyAlignment="1">
      <alignment horizontal="center" vertical="center"/>
    </xf>
    <xf numFmtId="0" fontId="4" fillId="25" borderId="16" xfId="0" applyFont="1" applyFill="1" applyBorder="1" applyAlignment="1">
      <alignment horizontal="center" vertical="center" textRotation="90" wrapText="1"/>
    </xf>
    <xf numFmtId="0" fontId="4" fillId="25" borderId="11" xfId="0" applyFont="1" applyFill="1" applyBorder="1" applyAlignment="1">
      <alignment horizontal="center" vertical="center" textRotation="90" wrapText="1"/>
    </xf>
    <xf numFmtId="0" fontId="8" fillId="0" borderId="10" xfId="54" applyFont="1" applyFill="1" applyBorder="1" applyAlignment="1">
      <alignment horizontal="left" vertical="center" wrapText="1"/>
      <protection/>
    </xf>
    <xf numFmtId="0" fontId="4" fillId="0" borderId="34" xfId="54" applyFont="1" applyFill="1" applyBorder="1" applyAlignment="1">
      <alignment horizontal="center" vertical="center" wrapText="1"/>
      <protection/>
    </xf>
    <xf numFmtId="0" fontId="8" fillId="0" borderId="10" xfId="54" applyFont="1" applyFill="1" applyBorder="1" applyAlignment="1">
      <alignment horizontal="center" vertical="center" wrapText="1"/>
      <protection/>
    </xf>
    <xf numFmtId="0" fontId="11" fillId="25" borderId="38" xfId="0" applyFont="1" applyFill="1" applyBorder="1" applyAlignment="1">
      <alignment horizontal="center" vertical="center" wrapText="1"/>
    </xf>
    <xf numFmtId="0" fontId="11" fillId="25" borderId="40" xfId="0" applyFont="1" applyFill="1" applyBorder="1" applyAlignment="1">
      <alignment horizontal="center" vertical="center" wrapText="1"/>
    </xf>
    <xf numFmtId="0" fontId="11" fillId="19" borderId="38" xfId="0" applyFont="1" applyFill="1" applyBorder="1" applyAlignment="1">
      <alignment horizontal="center" vertical="center" wrapText="1"/>
    </xf>
    <xf numFmtId="0" fontId="11" fillId="19" borderId="40" xfId="0" applyFont="1" applyFill="1" applyBorder="1" applyAlignment="1">
      <alignment horizontal="center" vertical="center" wrapText="1"/>
    </xf>
    <xf numFmtId="9" fontId="11" fillId="25" borderId="38" xfId="57" applyFont="1" applyFill="1" applyBorder="1" applyAlignment="1">
      <alignment horizontal="center" vertical="center" wrapText="1"/>
    </xf>
    <xf numFmtId="9" fontId="11" fillId="25" borderId="40" xfId="57" applyFont="1" applyFill="1" applyBorder="1" applyAlignment="1">
      <alignment horizontal="center" vertical="center" wrapText="1"/>
    </xf>
    <xf numFmtId="0" fontId="4" fillId="25" borderId="20" xfId="0" applyFont="1" applyFill="1" applyBorder="1" applyAlignment="1">
      <alignment horizontal="center" vertical="center" textRotation="90" wrapText="1"/>
    </xf>
    <xf numFmtId="0" fontId="4" fillId="25" borderId="19" xfId="0" applyFont="1" applyFill="1" applyBorder="1" applyAlignment="1">
      <alignment horizontal="center" vertical="center" textRotation="90" wrapText="1"/>
    </xf>
    <xf numFmtId="0" fontId="8" fillId="0" borderId="16" xfId="54" applyFont="1" applyFill="1" applyBorder="1" applyAlignment="1">
      <alignment horizontal="center" vertical="center" wrapText="1"/>
      <protection/>
    </xf>
    <xf numFmtId="0" fontId="8" fillId="0" borderId="11" xfId="54" applyFont="1" applyFill="1" applyBorder="1" applyAlignment="1">
      <alignment horizontal="center" vertical="center" wrapText="1"/>
      <protection/>
    </xf>
    <xf numFmtId="0" fontId="8" fillId="0" borderId="34" xfId="54" applyFont="1" applyFill="1" applyBorder="1" applyAlignment="1">
      <alignment horizontal="center" vertical="center" wrapText="1"/>
      <protection/>
    </xf>
    <xf numFmtId="0" fontId="11" fillId="25" borderId="38" xfId="0" applyNumberFormat="1" applyFont="1" applyFill="1" applyBorder="1" applyAlignment="1">
      <alignment horizontal="center" vertical="center" wrapText="1"/>
    </xf>
    <xf numFmtId="0" fontId="11" fillId="25" borderId="40" xfId="0" applyNumberFormat="1" applyFont="1" applyFill="1" applyBorder="1" applyAlignment="1">
      <alignment horizontal="center" vertical="center" wrapText="1"/>
    </xf>
    <xf numFmtId="0" fontId="4" fillId="25" borderId="15" xfId="0" applyFont="1" applyFill="1" applyBorder="1" applyAlignment="1">
      <alignment horizontal="center" vertical="center" textRotation="90" wrapText="1"/>
    </xf>
    <xf numFmtId="0" fontId="4" fillId="25" borderId="41" xfId="0" applyFont="1" applyFill="1" applyBorder="1" applyAlignment="1">
      <alignment horizontal="center" vertical="center" textRotation="90" wrapText="1"/>
    </xf>
    <xf numFmtId="187" fontId="11" fillId="25" borderId="38" xfId="48" applyFont="1" applyFill="1" applyBorder="1" applyAlignment="1">
      <alignment horizontal="center" vertical="center" wrapText="1"/>
    </xf>
    <xf numFmtId="187" fontId="11" fillId="25" borderId="40" xfId="48" applyFont="1" applyFill="1" applyBorder="1" applyAlignment="1">
      <alignment horizontal="center" vertical="center" wrapText="1"/>
    </xf>
    <xf numFmtId="0" fontId="4" fillId="25" borderId="17" xfId="0" applyFont="1" applyFill="1" applyBorder="1" applyAlignment="1">
      <alignment horizontal="center" vertical="center" textRotation="90" wrapText="1"/>
    </xf>
    <xf numFmtId="0" fontId="4" fillId="25" borderId="42" xfId="0" applyFont="1" applyFill="1" applyBorder="1" applyAlignment="1">
      <alignment horizontal="center" vertical="center" textRotation="90" wrapText="1"/>
    </xf>
    <xf numFmtId="1" fontId="11" fillId="25" borderId="38" xfId="48" applyNumberFormat="1" applyFont="1" applyFill="1" applyBorder="1" applyAlignment="1">
      <alignment horizontal="center" vertical="center" wrapText="1"/>
    </xf>
    <xf numFmtId="1" fontId="11" fillId="25" borderId="40" xfId="48" applyNumberFormat="1" applyFont="1" applyFill="1" applyBorder="1" applyAlignment="1">
      <alignment horizontal="center" vertical="center" wrapText="1"/>
    </xf>
    <xf numFmtId="1" fontId="11" fillId="25" borderId="38" xfId="0" applyNumberFormat="1" applyFont="1" applyFill="1" applyBorder="1" applyAlignment="1">
      <alignment horizontal="center" vertical="center" wrapText="1"/>
    </xf>
    <xf numFmtId="1" fontId="11" fillId="25" borderId="40" xfId="0" applyNumberFormat="1" applyFont="1" applyFill="1" applyBorder="1" applyAlignment="1">
      <alignment horizontal="center" vertical="center" wrapText="1"/>
    </xf>
    <xf numFmtId="0" fontId="12" fillId="25" borderId="18" xfId="54" applyFont="1" applyFill="1" applyBorder="1" applyAlignment="1">
      <alignment horizontal="center" vertical="center" wrapText="1"/>
      <protection/>
    </xf>
    <xf numFmtId="0" fontId="12" fillId="25" borderId="0" xfId="54" applyFont="1" applyFill="1" applyBorder="1" applyAlignment="1">
      <alignment horizontal="center" vertical="center" wrapText="1"/>
      <protection/>
    </xf>
    <xf numFmtId="0" fontId="7" fillId="25" borderId="38" xfId="0" applyFont="1" applyFill="1" applyBorder="1" applyAlignment="1">
      <alignment horizontal="center" vertical="center" wrapText="1"/>
    </xf>
    <xf numFmtId="0" fontId="7" fillId="25" borderId="40" xfId="0" applyFont="1" applyFill="1" applyBorder="1" applyAlignment="1">
      <alignment horizontal="center" vertical="center" wrapText="1"/>
    </xf>
    <xf numFmtId="0" fontId="7" fillId="25" borderId="39" xfId="0" applyFont="1" applyFill="1" applyBorder="1" applyAlignment="1">
      <alignment horizontal="center" vertical="center" wrapText="1"/>
    </xf>
    <xf numFmtId="0" fontId="11" fillId="25" borderId="28" xfId="0" applyFont="1" applyFill="1" applyBorder="1" applyAlignment="1">
      <alignment horizontal="center" vertical="center"/>
    </xf>
    <xf numFmtId="0" fontId="11" fillId="25" borderId="29" xfId="0" applyFont="1" applyFill="1" applyBorder="1" applyAlignment="1">
      <alignment horizontal="center" vertical="center"/>
    </xf>
    <xf numFmtId="0" fontId="11" fillId="25" borderId="30" xfId="0" applyFont="1" applyFill="1" applyBorder="1" applyAlignment="1">
      <alignment horizontal="center" vertical="center"/>
    </xf>
    <xf numFmtId="0" fontId="11" fillId="25" borderId="31" xfId="0" applyFont="1" applyFill="1" applyBorder="1" applyAlignment="1">
      <alignment horizontal="center" vertical="center"/>
    </xf>
    <xf numFmtId="0" fontId="11" fillId="25" borderId="12" xfId="0" applyFont="1" applyFill="1" applyBorder="1" applyAlignment="1">
      <alignment horizontal="center" vertical="center"/>
    </xf>
    <xf numFmtId="0" fontId="11" fillId="25" borderId="32" xfId="0" applyFont="1" applyFill="1" applyBorder="1" applyAlignment="1">
      <alignment horizontal="center" vertical="center"/>
    </xf>
    <xf numFmtId="0" fontId="10" fillId="25" borderId="43" xfId="0" applyFont="1" applyFill="1" applyBorder="1" applyAlignment="1">
      <alignment horizontal="center" vertical="center" wrapText="1"/>
    </xf>
    <xf numFmtId="0" fontId="0" fillId="0" borderId="44" xfId="0" applyBorder="1" applyAlignment="1">
      <alignment/>
    </xf>
    <xf numFmtId="0" fontId="0" fillId="0" borderId="45" xfId="0" applyBorder="1" applyAlignment="1">
      <alignment/>
    </xf>
    <xf numFmtId="0" fontId="11" fillId="25" borderId="28" xfId="0" applyFont="1" applyFill="1" applyBorder="1" applyAlignment="1">
      <alignment horizontal="center" vertical="center" wrapText="1"/>
    </xf>
    <xf numFmtId="0" fontId="11" fillId="25" borderId="33" xfId="0" applyFont="1" applyFill="1" applyBorder="1" applyAlignment="1">
      <alignment horizontal="center" vertical="center" wrapText="1"/>
    </xf>
    <xf numFmtId="0" fontId="10" fillId="25" borderId="38" xfId="0" applyFont="1" applyFill="1" applyBorder="1" applyAlignment="1">
      <alignment horizontal="center" vertical="center" wrapText="1"/>
    </xf>
    <xf numFmtId="0" fontId="10" fillId="25" borderId="40" xfId="0" applyFont="1" applyFill="1" applyBorder="1" applyAlignment="1">
      <alignment horizontal="center" vertical="center" wrapText="1"/>
    </xf>
    <xf numFmtId="0" fontId="10" fillId="25" borderId="39" xfId="0" applyFont="1" applyFill="1" applyBorder="1" applyAlignment="1">
      <alignment horizontal="center" vertical="center" wrapText="1"/>
    </xf>
    <xf numFmtId="0" fontId="10" fillId="25" borderId="38" xfId="0" applyFont="1" applyFill="1" applyBorder="1" applyAlignment="1">
      <alignment horizontal="center" vertical="center"/>
    </xf>
    <xf numFmtId="0" fontId="10" fillId="25" borderId="40" xfId="0" applyFont="1" applyFill="1" applyBorder="1" applyAlignment="1">
      <alignment horizontal="center" vertical="center"/>
    </xf>
    <xf numFmtId="0" fontId="10" fillId="25" borderId="39" xfId="0" applyFont="1" applyFill="1" applyBorder="1" applyAlignment="1">
      <alignment horizontal="center" vertical="center"/>
    </xf>
    <xf numFmtId="187" fontId="5" fillId="0" borderId="10" xfId="48" applyFont="1" applyBorder="1" applyAlignment="1">
      <alignment horizontal="center" vertical="center"/>
    </xf>
    <xf numFmtId="0" fontId="6" fillId="25" borderId="46" xfId="0" applyFont="1" applyFill="1" applyBorder="1" applyAlignment="1">
      <alignment horizontal="center" vertical="center" wrapText="1"/>
    </xf>
    <xf numFmtId="0" fontId="6" fillId="25" borderId="47" xfId="0" applyFont="1" applyFill="1" applyBorder="1" applyAlignment="1">
      <alignment horizontal="center" vertical="center" wrapText="1"/>
    </xf>
    <xf numFmtId="0" fontId="4" fillId="25" borderId="48"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6" fillId="25" borderId="48" xfId="0" applyFont="1" applyFill="1" applyBorder="1" applyAlignment="1">
      <alignment horizontal="center" vertical="center"/>
    </xf>
    <xf numFmtId="0" fontId="6" fillId="25" borderId="46" xfId="0" applyFont="1" applyFill="1" applyBorder="1" applyAlignment="1">
      <alignment horizontal="center" vertical="center"/>
    </xf>
    <xf numFmtId="0" fontId="6" fillId="25" borderId="47" xfId="0" applyFont="1" applyFill="1" applyBorder="1" applyAlignment="1">
      <alignment horizontal="center" vertical="center"/>
    </xf>
    <xf numFmtId="0" fontId="4" fillId="25" borderId="28"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6" fillId="25" borderId="4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11" fillId="27" borderId="38" xfId="0" applyFont="1" applyFill="1" applyBorder="1" applyAlignment="1">
      <alignment horizontal="center" vertical="center" wrapText="1"/>
    </xf>
    <xf numFmtId="0" fontId="11" fillId="27" borderId="40" xfId="0" applyFont="1" applyFill="1" applyBorder="1" applyAlignment="1">
      <alignment horizontal="center" vertical="center" wrapText="1"/>
    </xf>
    <xf numFmtId="0" fontId="7"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26" fillId="0" borderId="27" xfId="0" applyFont="1" applyFill="1" applyBorder="1" applyAlignment="1">
      <alignment horizontal="center" wrapText="1"/>
    </xf>
    <xf numFmtId="0" fontId="26" fillId="0" borderId="55" xfId="0" applyFont="1" applyFill="1" applyBorder="1" applyAlignment="1">
      <alignment horizontal="center" wrapText="1"/>
    </xf>
    <xf numFmtId="0" fontId="26" fillId="0" borderId="56" xfId="0" applyFont="1" applyFill="1" applyBorder="1" applyAlignment="1">
      <alignment horizontal="center" wrapText="1"/>
    </xf>
    <xf numFmtId="0" fontId="27" fillId="0" borderId="55" xfId="0" applyFont="1" applyFill="1" applyBorder="1" applyAlignment="1">
      <alignment horizontal="left" wrapText="1"/>
    </xf>
    <xf numFmtId="0" fontId="27" fillId="0" borderId="56" xfId="0" applyFont="1" applyFill="1" applyBorder="1" applyAlignment="1">
      <alignment horizontal="left" wrapText="1"/>
    </xf>
    <xf numFmtId="19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195"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1" xfId="0" applyFont="1" applyFill="1" applyBorder="1" applyAlignment="1">
      <alignment horizontal="center" vertical="center" wrapText="1"/>
    </xf>
    <xf numFmtId="195" fontId="23" fillId="0" borderId="16" xfId="0" applyNumberFormat="1" applyFont="1" applyFill="1" applyBorder="1" applyAlignment="1">
      <alignment horizontal="center" vertical="center" wrapText="1"/>
    </xf>
    <xf numFmtId="195" fontId="23" fillId="0" borderId="11" xfId="0" applyNumberFormat="1" applyFont="1" applyFill="1" applyBorder="1" applyAlignment="1">
      <alignment horizontal="center" vertical="center" wrapText="1"/>
    </xf>
    <xf numFmtId="0" fontId="23" fillId="0" borderId="34" xfId="0" applyFont="1" applyFill="1" applyBorder="1" applyAlignment="1">
      <alignment horizontal="center" vertical="center" wrapText="1"/>
    </xf>
    <xf numFmtId="3" fontId="23" fillId="0" borderId="16" xfId="0" applyNumberFormat="1" applyFont="1" applyFill="1" applyBorder="1" applyAlignment="1">
      <alignment horizontal="center" vertical="center" wrapText="1"/>
    </xf>
    <xf numFmtId="3" fontId="23" fillId="0" borderId="11" xfId="0" applyNumberFormat="1" applyFont="1" applyFill="1" applyBorder="1" applyAlignment="1">
      <alignment horizontal="center" vertical="center" wrapText="1"/>
    </xf>
    <xf numFmtId="0" fontId="25" fillId="0" borderId="16" xfId="55" applyFont="1" applyFill="1" applyBorder="1" applyAlignment="1" applyProtection="1">
      <alignment horizontal="center" vertical="center" wrapText="1"/>
      <protection hidden="1"/>
    </xf>
    <xf numFmtId="0" fontId="25" fillId="0" borderId="11" xfId="55" applyFont="1" applyFill="1" applyBorder="1" applyAlignment="1" applyProtection="1">
      <alignment horizontal="center" vertical="center" wrapText="1"/>
      <protection hidden="1"/>
    </xf>
    <xf numFmtId="194" fontId="23" fillId="0" borderId="16" xfId="0" applyNumberFormat="1" applyFont="1" applyFill="1" applyBorder="1" applyAlignment="1">
      <alignment horizontal="center" vertical="center" wrapText="1"/>
    </xf>
    <xf numFmtId="194" fontId="23" fillId="0" borderId="11" xfId="0" applyNumberFormat="1" applyFont="1" applyFill="1" applyBorder="1" applyAlignment="1">
      <alignment horizontal="center" vertical="center" wrapText="1"/>
    </xf>
    <xf numFmtId="3" fontId="23" fillId="0" borderId="34" xfId="0" applyNumberFormat="1" applyFont="1" applyFill="1" applyBorder="1" applyAlignment="1">
      <alignment horizontal="center" vertical="center" wrapText="1"/>
    </xf>
    <xf numFmtId="195" fontId="23" fillId="0" borderId="34" xfId="0" applyNumberFormat="1" applyFont="1" applyFill="1" applyBorder="1" applyAlignment="1">
      <alignment horizontal="center" vertical="center" wrapText="1"/>
    </xf>
    <xf numFmtId="194" fontId="23" fillId="0" borderId="34" xfId="0" applyNumberFormat="1" applyFont="1" applyFill="1" applyBorder="1" applyAlignment="1">
      <alignment horizontal="center" vertical="center" wrapText="1"/>
    </xf>
    <xf numFmtId="194" fontId="23" fillId="19" borderId="16" xfId="0" applyNumberFormat="1" applyFont="1" applyFill="1" applyBorder="1" applyAlignment="1">
      <alignment horizontal="center" vertical="center" wrapText="1"/>
    </xf>
    <xf numFmtId="194" fontId="23" fillId="19" borderId="11" xfId="0" applyNumberFormat="1" applyFont="1" applyFill="1" applyBorder="1" applyAlignment="1">
      <alignment horizontal="center" vertical="center" wrapText="1"/>
    </xf>
    <xf numFmtId="194" fontId="23" fillId="19" borderId="34" xfId="0" applyNumberFormat="1" applyFont="1" applyFill="1" applyBorder="1" applyAlignment="1">
      <alignment horizontal="center" vertical="center" wrapText="1"/>
    </xf>
    <xf numFmtId="0" fontId="25" fillId="0" borderId="34" xfId="55" applyFont="1" applyFill="1" applyBorder="1" applyAlignment="1" applyProtection="1">
      <alignment horizontal="center" vertical="center" wrapText="1"/>
      <protection hidden="1"/>
    </xf>
    <xf numFmtId="0" fontId="19" fillId="0" borderId="25"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22" borderId="66" xfId="0" applyFont="1" applyFill="1" applyBorder="1" applyAlignment="1">
      <alignment horizontal="center" vertical="center" wrapText="1"/>
    </xf>
    <xf numFmtId="0" fontId="17" fillId="22" borderId="67" xfId="0" applyFont="1" applyFill="1" applyBorder="1" applyAlignment="1">
      <alignment horizontal="center" vertical="center" wrapText="1"/>
    </xf>
    <xf numFmtId="0" fontId="17" fillId="22" borderId="68" xfId="0" applyFont="1" applyFill="1" applyBorder="1" applyAlignment="1">
      <alignment horizontal="center" vertical="center" wrapText="1"/>
    </xf>
    <xf numFmtId="0" fontId="17" fillId="7" borderId="63"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7" borderId="69" xfId="0" applyFont="1" applyFill="1" applyBorder="1" applyAlignment="1">
      <alignment horizontal="center" vertical="center" wrapText="1"/>
    </xf>
    <xf numFmtId="0" fontId="17" fillId="7" borderId="25"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70"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4" fillId="0" borderId="26" xfId="0" applyFont="1" applyBorder="1" applyAlignment="1">
      <alignment horizontal="left" vertical="center" wrapText="1"/>
    </xf>
    <xf numFmtId="0" fontId="14" fillId="0" borderId="57" xfId="0" applyFont="1" applyBorder="1" applyAlignment="1">
      <alignment horizontal="left" vertical="center" wrapText="1"/>
    </xf>
    <xf numFmtId="0" fontId="14" fillId="0" borderId="58" xfId="0" applyFont="1" applyBorder="1" applyAlignment="1">
      <alignment horizontal="left" vertical="center" wrapText="1"/>
    </xf>
    <xf numFmtId="0" fontId="17" fillId="0" borderId="70" xfId="0" applyFont="1" applyBorder="1" applyAlignment="1">
      <alignment horizontal="left" vertical="center" wrapText="1"/>
    </xf>
    <xf numFmtId="0" fontId="17" fillId="0" borderId="71" xfId="0" applyFont="1" applyBorder="1" applyAlignment="1">
      <alignment horizontal="left" vertical="center" wrapText="1"/>
    </xf>
    <xf numFmtId="0" fontId="17" fillId="0" borderId="72" xfId="0" applyFont="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_Oscar"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Evidencias%20Seguimiento\asistenciascapacitacioneswiliam0001.pdf" TargetMode="External" /><Relationship Id="rId2" Type="http://schemas.openxmlformats.org/officeDocument/2006/relationships/hyperlink" Target="Evidencias%20Seguimiento\ESTRATEGIA%20%20DEPARTAMENTAL.doc" TargetMode="External" /><Relationship Id="rId3" Type="http://schemas.openxmlformats.org/officeDocument/2006/relationships/hyperlink" Target="Evidencias%20Seguimiento\capacitacioneslorena0001.pdf" TargetMode="External" /><Relationship Id="rId4" Type="http://schemas.openxmlformats.org/officeDocument/2006/relationships/hyperlink" Target="Evidencias%20Seguimiento\campa&#65533;atiemposeco0001.pdf" TargetMode="External" /><Relationship Id="rId5" Type="http://schemas.openxmlformats.org/officeDocument/2006/relationships/hyperlink" Target="Evidencias%20Seguimiento/ELECTOS%20CONSOLIDADOS%202012.xlsx" TargetMode="External" /><Relationship Id="rId6" Type="http://schemas.openxmlformats.org/officeDocument/2006/relationships/hyperlink" Target="Evidencias%20Seguimiento\Propuesta%20Campa&#65533;a%20de%20sensibilizaci&#65533;n%20Por%20un%20Quindio%20Mas%20Humano,%20%20ABRAZOS.docx" TargetMode="External" /><Relationship Id="rId7" Type="http://schemas.openxmlformats.org/officeDocument/2006/relationships/hyperlink" Target="Evidencias%20Seguimiento\EVIDENCIAS%20CT.%20MENDEZ.pdf"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70"/>
  <sheetViews>
    <sheetView tabSelected="1" zoomScale="120" zoomScaleNormal="120" zoomScalePageLayoutView="0" workbookViewId="0" topLeftCell="E1">
      <pane ySplit="8" topLeftCell="BM54" activePane="bottomLeft" state="frozen"/>
      <selection pane="topLeft" activeCell="A1" sqref="A1"/>
      <selection pane="bottomLeft" activeCell="G55" sqref="G55"/>
    </sheetView>
  </sheetViews>
  <sheetFormatPr defaultColWidth="11.421875" defaultRowHeight="15"/>
  <cols>
    <col min="1" max="1" width="5.421875" style="1" customWidth="1"/>
    <col min="2" max="2" width="11.140625" style="1" customWidth="1"/>
    <col min="3" max="3" width="12.140625" style="1" customWidth="1"/>
    <col min="4" max="4" width="14.7109375" style="1" customWidth="1"/>
    <col min="5" max="5" width="31.7109375" style="1" customWidth="1"/>
    <col min="6" max="6" width="11.421875" style="1" hidden="1" customWidth="1"/>
    <col min="7" max="7" width="56.28125" style="34" customWidth="1"/>
    <col min="8" max="8" width="47.28125" style="33" customWidth="1"/>
    <col min="9" max="9" width="10.57421875" style="19" customWidth="1"/>
    <col min="10" max="10" width="14.421875" style="19" customWidth="1"/>
    <col min="11" max="11" width="7.28125" style="19" customWidth="1"/>
    <col min="12" max="12" width="11.421875" style="1" customWidth="1"/>
    <col min="13" max="13" width="15.00390625" style="21" customWidth="1"/>
    <col min="14" max="14" width="63.140625" style="21" customWidth="1"/>
    <col min="15" max="15" width="10.7109375" style="1" hidden="1" customWidth="1"/>
    <col min="16" max="16" width="11.140625" style="1" hidden="1" customWidth="1"/>
    <col min="17" max="17" width="14.28125" style="1" hidden="1" customWidth="1"/>
    <col min="18" max="18" width="13.00390625" style="1" hidden="1" customWidth="1"/>
    <col min="19" max="19" width="14.140625" style="1" hidden="1" customWidth="1"/>
    <col min="20" max="20" width="10.421875" style="1" hidden="1" customWidth="1"/>
    <col min="21" max="21" width="16.00390625" style="1" hidden="1" customWidth="1"/>
    <col min="22" max="22" width="10.421875" style="1" hidden="1" customWidth="1"/>
    <col min="23" max="23" width="13.28125" style="1" hidden="1" customWidth="1"/>
    <col min="24" max="24" width="6.57421875" style="1" hidden="1" customWidth="1"/>
    <col min="25" max="25" width="8.421875" style="1" hidden="1" customWidth="1"/>
    <col min="26" max="26" width="9.28125" style="1" hidden="1" customWidth="1"/>
    <col min="27" max="27" width="6.421875" style="1" hidden="1" customWidth="1"/>
    <col min="28" max="29" width="5.7109375" style="1" hidden="1" customWidth="1"/>
    <col min="30" max="30" width="6.421875" style="1" hidden="1" customWidth="1"/>
    <col min="31" max="31" width="7.421875" style="1" hidden="1" customWidth="1"/>
    <col min="32" max="32" width="12.7109375" style="1" hidden="1" customWidth="1"/>
    <col min="33" max="33" width="12.421875" style="1" hidden="1" customWidth="1"/>
    <col min="34" max="34" width="13.57421875" style="1" hidden="1" customWidth="1"/>
    <col min="35" max="35" width="15.7109375" style="1" hidden="1" customWidth="1"/>
    <col min="36" max="36" width="19.140625" style="1" hidden="1" customWidth="1"/>
    <col min="37" max="40" width="11.421875" style="1" hidden="1" customWidth="1"/>
    <col min="41" max="41" width="20.57421875" style="1" hidden="1" customWidth="1"/>
    <col min="42" max="42" width="15.00390625" style="1" customWidth="1"/>
    <col min="43" max="43" width="11.57421875" style="1" customWidth="1"/>
    <col min="44" max="44" width="14.00390625" style="1" bestFit="1" customWidth="1"/>
    <col min="45" max="45" width="19.421875" style="1" customWidth="1"/>
    <col min="46" max="46" width="29.8515625" style="1" customWidth="1"/>
    <col min="47" max="47" width="11.421875" style="1" customWidth="1"/>
    <col min="48" max="48" width="8.421875" style="1" customWidth="1"/>
    <col min="49" max="50" width="11.421875" style="1" hidden="1" customWidth="1"/>
    <col min="51" max="51" width="19.57421875" style="2" customWidth="1"/>
    <col min="52" max="53" width="11.421875" style="1" hidden="1" customWidth="1"/>
    <col min="54" max="54" width="10.00390625" style="1" customWidth="1"/>
    <col min="55" max="56" width="11.421875" style="1" hidden="1" customWidth="1"/>
    <col min="57" max="57" width="22.421875" style="2" customWidth="1"/>
    <col min="58" max="58" width="11.421875" style="1" hidden="1" customWidth="1"/>
    <col min="59" max="59" width="21.140625" style="1" hidden="1" customWidth="1"/>
    <col min="60" max="60" width="8.8515625" style="1" customWidth="1"/>
    <col min="61" max="61" width="11.421875" style="1" hidden="1" customWidth="1"/>
    <col min="62" max="62" width="14.140625" style="1" hidden="1" customWidth="1"/>
    <col min="63" max="63" width="21.140625" style="2" customWidth="1"/>
    <col min="64" max="64" width="11.421875" style="1" hidden="1" customWidth="1"/>
    <col min="65" max="65" width="14.57421875" style="1" hidden="1" customWidth="1"/>
    <col min="66" max="67" width="14.57421875" style="1" customWidth="1"/>
    <col min="68" max="68" width="18.8515625" style="1" customWidth="1"/>
    <col min="69" max="69" width="14.57421875" style="1" customWidth="1"/>
    <col min="70" max="70" width="17.00390625" style="1" customWidth="1"/>
    <col min="71" max="71" width="54.8515625" style="1" customWidth="1"/>
    <col min="72" max="16384" width="11.421875" style="1" customWidth="1"/>
  </cols>
  <sheetData>
    <row r="1" spans="1:71" ht="15" customHeight="1">
      <c r="A1" s="78"/>
      <c r="B1" s="78"/>
      <c r="C1" s="78"/>
      <c r="D1" s="78"/>
      <c r="E1" s="78"/>
      <c r="F1" s="78"/>
      <c r="G1" s="79"/>
      <c r="H1" s="80"/>
      <c r="I1" s="81" t="s">
        <v>48</v>
      </c>
      <c r="J1" s="81"/>
      <c r="K1" s="81"/>
      <c r="L1" s="78"/>
      <c r="M1" s="78" t="s">
        <v>48</v>
      </c>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82"/>
      <c r="AZ1" s="78"/>
      <c r="BA1" s="78"/>
      <c r="BB1" s="78"/>
      <c r="BC1" s="78"/>
      <c r="BD1" s="78"/>
      <c r="BE1" s="82"/>
      <c r="BF1" s="78"/>
      <c r="BG1" s="78"/>
      <c r="BH1" s="78"/>
      <c r="BI1" s="78"/>
      <c r="BJ1" s="78"/>
      <c r="BK1" s="82"/>
      <c r="BL1" s="78"/>
      <c r="BM1" s="78"/>
      <c r="BN1" s="78"/>
      <c r="BO1" s="78"/>
      <c r="BP1" s="78"/>
      <c r="BQ1" s="78"/>
      <c r="BR1" s="78"/>
      <c r="BS1" s="78"/>
    </row>
    <row r="2" spans="1:71" ht="42.75" customHeight="1" hidden="1">
      <c r="A2" s="206" t="s">
        <v>46</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row>
    <row r="3" spans="1:71" ht="42.75" customHeight="1" hidden="1">
      <c r="A3" s="206" t="s">
        <v>47</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row>
    <row r="4" spans="1:71" s="21" customFormat="1" ht="15" customHeight="1" hidden="1" thickBot="1">
      <c r="A4" s="59"/>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1:71" ht="15" customHeight="1" hidden="1" thickBot="1">
      <c r="A5" s="156" t="s">
        <v>181</v>
      </c>
      <c r="B5" s="168" t="s">
        <v>182</v>
      </c>
      <c r="C5" s="169"/>
      <c r="D5" s="169"/>
      <c r="E5" s="170"/>
      <c r="F5" s="45"/>
      <c r="G5" s="208" t="s">
        <v>26</v>
      </c>
      <c r="H5" s="222" t="s">
        <v>225</v>
      </c>
      <c r="I5" s="222" t="s">
        <v>226</v>
      </c>
      <c r="J5" s="222" t="s">
        <v>227</v>
      </c>
      <c r="K5" s="222" t="s">
        <v>103</v>
      </c>
      <c r="L5" s="222" t="s">
        <v>104</v>
      </c>
      <c r="M5" s="222" t="s">
        <v>187</v>
      </c>
      <c r="N5" s="225" t="s">
        <v>188</v>
      </c>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211" t="s">
        <v>78</v>
      </c>
      <c r="AQ5" s="212"/>
      <c r="AR5" s="212"/>
      <c r="AS5" s="212"/>
      <c r="AT5" s="212"/>
      <c r="AU5" s="212"/>
      <c r="AV5" s="212"/>
      <c r="AW5" s="212"/>
      <c r="AX5" s="212"/>
      <c r="AY5" s="212"/>
      <c r="AZ5" s="212"/>
      <c r="BA5" s="212"/>
      <c r="BB5" s="212"/>
      <c r="BC5" s="212"/>
      <c r="BD5" s="212"/>
      <c r="BE5" s="212"/>
      <c r="BF5" s="212"/>
      <c r="BG5" s="212"/>
      <c r="BH5" s="212"/>
      <c r="BI5" s="212"/>
      <c r="BJ5" s="212"/>
      <c r="BK5" s="213"/>
      <c r="BL5" s="46"/>
      <c r="BM5" s="46"/>
      <c r="BN5" s="120"/>
      <c r="BO5" s="121"/>
      <c r="BP5" s="121"/>
      <c r="BQ5" s="121"/>
      <c r="BR5" s="122"/>
      <c r="BS5" s="217" t="s">
        <v>105</v>
      </c>
    </row>
    <row r="6" spans="1:71" ht="42" customHeight="1" hidden="1" thickBot="1">
      <c r="A6" s="157"/>
      <c r="B6" s="171"/>
      <c r="C6" s="172"/>
      <c r="D6" s="172"/>
      <c r="E6" s="173"/>
      <c r="F6" s="45"/>
      <c r="G6" s="209"/>
      <c r="H6" s="223"/>
      <c r="I6" s="223"/>
      <c r="J6" s="223"/>
      <c r="K6" s="223"/>
      <c r="L6" s="223"/>
      <c r="M6" s="223"/>
      <c r="N6" s="226"/>
      <c r="O6" s="229" t="s">
        <v>51</v>
      </c>
      <c r="P6" s="230"/>
      <c r="Q6" s="229" t="s">
        <v>52</v>
      </c>
      <c r="R6" s="229"/>
      <c r="S6" s="229"/>
      <c r="T6" s="229"/>
      <c r="U6" s="230"/>
      <c r="V6" s="234" t="s">
        <v>53</v>
      </c>
      <c r="W6" s="235"/>
      <c r="X6" s="235"/>
      <c r="Y6" s="236"/>
      <c r="Z6" s="239" t="s">
        <v>54</v>
      </c>
      <c r="AA6" s="229"/>
      <c r="AB6" s="229"/>
      <c r="AC6" s="230"/>
      <c r="AD6" s="231" t="s">
        <v>55</v>
      </c>
      <c r="AE6" s="232"/>
      <c r="AF6" s="232"/>
      <c r="AG6" s="233"/>
      <c r="AH6" s="237" t="s">
        <v>56</v>
      </c>
      <c r="AI6" s="238"/>
      <c r="AJ6" s="238"/>
      <c r="AK6" s="238"/>
      <c r="AL6" s="238"/>
      <c r="AM6" s="238"/>
      <c r="AN6" s="238"/>
      <c r="AO6" s="238"/>
      <c r="AP6" s="214"/>
      <c r="AQ6" s="215"/>
      <c r="AR6" s="215"/>
      <c r="AS6" s="215"/>
      <c r="AT6" s="215"/>
      <c r="AU6" s="215"/>
      <c r="AV6" s="215"/>
      <c r="AW6" s="215"/>
      <c r="AX6" s="215"/>
      <c r="AY6" s="215"/>
      <c r="AZ6" s="215"/>
      <c r="BA6" s="215"/>
      <c r="BB6" s="215"/>
      <c r="BC6" s="215"/>
      <c r="BD6" s="215"/>
      <c r="BE6" s="215"/>
      <c r="BF6" s="215"/>
      <c r="BG6" s="215"/>
      <c r="BH6" s="215"/>
      <c r="BI6" s="215"/>
      <c r="BJ6" s="215"/>
      <c r="BK6" s="216"/>
      <c r="BL6" s="47"/>
      <c r="BM6" s="47"/>
      <c r="BN6" s="123"/>
      <c r="BO6" s="47"/>
      <c r="BP6" s="47"/>
      <c r="BQ6" s="47"/>
      <c r="BR6" s="124"/>
      <c r="BS6" s="218"/>
    </row>
    <row r="7" spans="1:76" ht="15" customHeight="1" hidden="1">
      <c r="A7" s="167"/>
      <c r="B7" s="174" t="s">
        <v>183</v>
      </c>
      <c r="C7" s="174" t="s">
        <v>184</v>
      </c>
      <c r="D7" s="174" t="s">
        <v>185</v>
      </c>
      <c r="E7" s="174" t="s">
        <v>186</v>
      </c>
      <c r="F7" s="165" t="s">
        <v>187</v>
      </c>
      <c r="G7" s="209"/>
      <c r="H7" s="223"/>
      <c r="I7" s="223"/>
      <c r="J7" s="223"/>
      <c r="K7" s="223"/>
      <c r="L7" s="223"/>
      <c r="M7" s="223"/>
      <c r="N7" s="226"/>
      <c r="O7" s="189" t="s">
        <v>57</v>
      </c>
      <c r="P7" s="200" t="s">
        <v>58</v>
      </c>
      <c r="Q7" s="196" t="s">
        <v>117</v>
      </c>
      <c r="R7" s="178" t="s">
        <v>118</v>
      </c>
      <c r="S7" s="178" t="s">
        <v>119</v>
      </c>
      <c r="T7" s="178" t="s">
        <v>120</v>
      </c>
      <c r="U7" s="200" t="s">
        <v>121</v>
      </c>
      <c r="V7" s="196" t="s">
        <v>59</v>
      </c>
      <c r="W7" s="178" t="s">
        <v>60</v>
      </c>
      <c r="X7" s="178" t="s">
        <v>61</v>
      </c>
      <c r="Y7" s="200" t="s">
        <v>62</v>
      </c>
      <c r="Z7" s="196" t="s">
        <v>108</v>
      </c>
      <c r="AA7" s="178" t="s">
        <v>63</v>
      </c>
      <c r="AB7" s="178" t="s">
        <v>64</v>
      </c>
      <c r="AC7" s="200" t="s">
        <v>65</v>
      </c>
      <c r="AD7" s="196" t="s">
        <v>66</v>
      </c>
      <c r="AE7" s="178" t="s">
        <v>67</v>
      </c>
      <c r="AF7" s="178" t="s">
        <v>68</v>
      </c>
      <c r="AG7" s="200" t="s">
        <v>69</v>
      </c>
      <c r="AH7" s="48"/>
      <c r="AI7" s="49"/>
      <c r="AJ7" s="49"/>
      <c r="AK7" s="49"/>
      <c r="AL7" s="49"/>
      <c r="AM7" s="49"/>
      <c r="AN7" s="49"/>
      <c r="AO7" s="50"/>
      <c r="AP7" s="194" t="s">
        <v>79</v>
      </c>
      <c r="AQ7" s="185" t="s">
        <v>80</v>
      </c>
      <c r="AR7" s="187" t="s">
        <v>81</v>
      </c>
      <c r="AS7" s="198" t="s">
        <v>82</v>
      </c>
      <c r="AT7" s="198" t="s">
        <v>83</v>
      </c>
      <c r="AU7" s="198" t="s">
        <v>84</v>
      </c>
      <c r="AV7" s="183" t="s">
        <v>85</v>
      </c>
      <c r="AW7" s="183" t="s">
        <v>86</v>
      </c>
      <c r="AX7" s="187" t="s">
        <v>87</v>
      </c>
      <c r="AY7" s="198" t="s">
        <v>88</v>
      </c>
      <c r="AZ7" s="198" t="s">
        <v>89</v>
      </c>
      <c r="BA7" s="187" t="s">
        <v>90</v>
      </c>
      <c r="BB7" s="202" t="s">
        <v>91</v>
      </c>
      <c r="BC7" s="183" t="s">
        <v>92</v>
      </c>
      <c r="BD7" s="187" t="s">
        <v>93</v>
      </c>
      <c r="BE7" s="198" t="s">
        <v>94</v>
      </c>
      <c r="BF7" s="198" t="s">
        <v>95</v>
      </c>
      <c r="BG7" s="187" t="s">
        <v>96</v>
      </c>
      <c r="BH7" s="204" t="s">
        <v>97</v>
      </c>
      <c r="BI7" s="183" t="s">
        <v>98</v>
      </c>
      <c r="BJ7" s="187" t="s">
        <v>99</v>
      </c>
      <c r="BK7" s="198" t="s">
        <v>100</v>
      </c>
      <c r="BL7" s="198" t="s">
        <v>101</v>
      </c>
      <c r="BM7" s="220" t="s">
        <v>102</v>
      </c>
      <c r="BN7" s="125"/>
      <c r="BO7" s="183" t="s">
        <v>349</v>
      </c>
      <c r="BP7" s="183" t="s">
        <v>350</v>
      </c>
      <c r="BQ7" s="243" t="s">
        <v>83</v>
      </c>
      <c r="BR7" s="183" t="s">
        <v>351</v>
      </c>
      <c r="BS7" s="218"/>
      <c r="BT7" s="164"/>
      <c r="BU7" s="164"/>
      <c r="BV7" s="164"/>
      <c r="BW7" s="164"/>
      <c r="BX7" s="118"/>
    </row>
    <row r="8" spans="1:76" s="35" customFormat="1" ht="191.25" customHeight="1" hidden="1" thickBot="1">
      <c r="A8" s="167"/>
      <c r="B8" s="175"/>
      <c r="C8" s="175"/>
      <c r="D8" s="175"/>
      <c r="E8" s="175"/>
      <c r="F8" s="166"/>
      <c r="G8" s="210"/>
      <c r="H8" s="224"/>
      <c r="I8" s="224"/>
      <c r="J8" s="224"/>
      <c r="K8" s="224"/>
      <c r="L8" s="224"/>
      <c r="M8" s="224"/>
      <c r="N8" s="227"/>
      <c r="O8" s="190"/>
      <c r="P8" s="201"/>
      <c r="Q8" s="197"/>
      <c r="R8" s="179"/>
      <c r="S8" s="179"/>
      <c r="T8" s="179"/>
      <c r="U8" s="201"/>
      <c r="V8" s="197"/>
      <c r="W8" s="179"/>
      <c r="X8" s="179"/>
      <c r="Y8" s="201"/>
      <c r="Z8" s="197"/>
      <c r="AA8" s="179"/>
      <c r="AB8" s="179"/>
      <c r="AC8" s="201"/>
      <c r="AD8" s="197"/>
      <c r="AE8" s="179"/>
      <c r="AF8" s="179"/>
      <c r="AG8" s="201"/>
      <c r="AH8" s="51" t="s">
        <v>70</v>
      </c>
      <c r="AI8" s="52" t="s">
        <v>71</v>
      </c>
      <c r="AJ8" s="52" t="s">
        <v>72</v>
      </c>
      <c r="AK8" s="52" t="s">
        <v>73</v>
      </c>
      <c r="AL8" s="52" t="s">
        <v>74</v>
      </c>
      <c r="AM8" s="52" t="s">
        <v>75</v>
      </c>
      <c r="AN8" s="52" t="s">
        <v>76</v>
      </c>
      <c r="AO8" s="53" t="s">
        <v>77</v>
      </c>
      <c r="AP8" s="195"/>
      <c r="AQ8" s="186"/>
      <c r="AR8" s="188"/>
      <c r="AS8" s="199"/>
      <c r="AT8" s="199"/>
      <c r="AU8" s="199"/>
      <c r="AV8" s="184"/>
      <c r="AW8" s="184"/>
      <c r="AX8" s="188"/>
      <c r="AY8" s="199"/>
      <c r="AZ8" s="199"/>
      <c r="BA8" s="188"/>
      <c r="BB8" s="203"/>
      <c r="BC8" s="184"/>
      <c r="BD8" s="188"/>
      <c r="BE8" s="199"/>
      <c r="BF8" s="199"/>
      <c r="BG8" s="188"/>
      <c r="BH8" s="205"/>
      <c r="BI8" s="184"/>
      <c r="BJ8" s="188"/>
      <c r="BK8" s="199"/>
      <c r="BL8" s="199"/>
      <c r="BM8" s="221"/>
      <c r="BN8" s="125" t="s">
        <v>80</v>
      </c>
      <c r="BO8" s="184"/>
      <c r="BP8" s="184"/>
      <c r="BQ8" s="244"/>
      <c r="BR8" s="184"/>
      <c r="BS8" s="219"/>
      <c r="BT8" s="116"/>
      <c r="BU8" s="116"/>
      <c r="BV8" s="117"/>
      <c r="BW8" s="116"/>
      <c r="BX8" s="119"/>
    </row>
    <row r="9" spans="1:75" s="54" customFormat="1" ht="15" customHeight="1">
      <c r="A9" s="61"/>
      <c r="B9" s="62"/>
      <c r="C9" s="62"/>
      <c r="D9" s="62"/>
      <c r="E9" s="62"/>
      <c r="F9" s="62"/>
      <c r="G9" s="63"/>
      <c r="H9" s="64"/>
      <c r="I9" s="64"/>
      <c r="J9" s="64"/>
      <c r="K9" s="64"/>
      <c r="L9" s="64"/>
      <c r="M9" s="64"/>
      <c r="N9" s="65"/>
      <c r="O9" s="66"/>
      <c r="P9" s="67"/>
      <c r="Q9" s="66"/>
      <c r="R9" s="68"/>
      <c r="S9" s="68"/>
      <c r="T9" s="68"/>
      <c r="U9" s="67"/>
      <c r="V9" s="66"/>
      <c r="W9" s="68"/>
      <c r="X9" s="68"/>
      <c r="Y9" s="67"/>
      <c r="Z9" s="66"/>
      <c r="AA9" s="68"/>
      <c r="AB9" s="68"/>
      <c r="AC9" s="67"/>
      <c r="AD9" s="66"/>
      <c r="AE9" s="68"/>
      <c r="AF9" s="68"/>
      <c r="AG9" s="67"/>
      <c r="AH9" s="69"/>
      <c r="AI9" s="70"/>
      <c r="AJ9" s="70"/>
      <c r="AK9" s="70"/>
      <c r="AL9" s="70"/>
      <c r="AM9" s="70"/>
      <c r="AN9" s="70"/>
      <c r="AO9" s="71"/>
      <c r="AP9" s="72"/>
      <c r="AQ9" s="73"/>
      <c r="AR9" s="74"/>
      <c r="AS9" s="75"/>
      <c r="AT9" s="75"/>
      <c r="AU9" s="75"/>
      <c r="AV9" s="73"/>
      <c r="AW9" s="73"/>
      <c r="AX9" s="74"/>
      <c r="AY9" s="75"/>
      <c r="AZ9" s="75"/>
      <c r="BA9" s="74"/>
      <c r="BB9" s="76"/>
      <c r="BC9" s="73"/>
      <c r="BD9" s="74"/>
      <c r="BE9" s="75"/>
      <c r="BF9" s="75"/>
      <c r="BG9" s="74"/>
      <c r="BH9" s="77"/>
      <c r="BI9" s="73"/>
      <c r="BJ9" s="74"/>
      <c r="BK9" s="75"/>
      <c r="BL9" s="75"/>
      <c r="BM9" s="73"/>
      <c r="BN9" s="73"/>
      <c r="BO9" s="73"/>
      <c r="BP9" s="73"/>
      <c r="BQ9" s="73"/>
      <c r="BR9" s="73"/>
      <c r="BS9" s="64"/>
      <c r="BT9" s="112"/>
      <c r="BU9" s="112"/>
      <c r="BV9" s="113"/>
      <c r="BW9" s="112"/>
    </row>
    <row r="10" spans="1:75" ht="18.75">
      <c r="A10" s="162" t="s">
        <v>50</v>
      </c>
      <c r="B10" s="162"/>
      <c r="C10" s="162"/>
      <c r="D10" s="162"/>
      <c r="E10" s="162"/>
      <c r="F10" s="162"/>
      <c r="G10" s="162"/>
      <c r="H10" s="55"/>
      <c r="I10" s="56"/>
      <c r="J10" s="56"/>
      <c r="K10" s="56"/>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8"/>
      <c r="AZ10" s="57"/>
      <c r="BA10" s="57"/>
      <c r="BB10" s="57"/>
      <c r="BC10" s="57"/>
      <c r="BD10" s="57"/>
      <c r="BE10" s="58"/>
      <c r="BF10" s="57"/>
      <c r="BG10" s="57"/>
      <c r="BH10" s="57"/>
      <c r="BI10" s="57"/>
      <c r="BJ10" s="57"/>
      <c r="BK10" s="58"/>
      <c r="BL10" s="57"/>
      <c r="BM10" s="57"/>
      <c r="BN10" s="107"/>
      <c r="BO10" s="107"/>
      <c r="BP10" s="107"/>
      <c r="BQ10" s="107"/>
      <c r="BR10" s="107"/>
      <c r="BS10" s="107"/>
      <c r="BT10" s="114"/>
      <c r="BU10" s="115"/>
      <c r="BV10" s="115"/>
      <c r="BW10" s="115"/>
    </row>
    <row r="11" spans="1:75" ht="18.75">
      <c r="A11" s="22">
        <v>1</v>
      </c>
      <c r="B11" s="22"/>
      <c r="C11" s="22"/>
      <c r="D11" s="22"/>
      <c r="E11" s="22"/>
      <c r="F11" s="22" t="s">
        <v>189</v>
      </c>
      <c r="G11" s="23" t="s">
        <v>191</v>
      </c>
      <c r="H11" s="24"/>
      <c r="I11" s="26"/>
      <c r="J11" s="26"/>
      <c r="K11" s="26"/>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37"/>
      <c r="AZ11" s="25"/>
      <c r="BA11" s="25"/>
      <c r="BB11" s="25"/>
      <c r="BC11" s="25"/>
      <c r="BD11" s="25"/>
      <c r="BE11" s="37"/>
      <c r="BF11" s="25"/>
      <c r="BG11" s="25"/>
      <c r="BH11" s="25"/>
      <c r="BI11" s="25"/>
      <c r="BJ11" s="25"/>
      <c r="BK11" s="37"/>
      <c r="BL11" s="25"/>
      <c r="BM11" s="25"/>
      <c r="BN11" s="108"/>
      <c r="BO11" s="108"/>
      <c r="BP11" s="108"/>
      <c r="BQ11" s="108"/>
      <c r="BR11" s="108"/>
      <c r="BS11" s="108"/>
      <c r="BT11" s="114"/>
      <c r="BU11" s="115"/>
      <c r="BV11" s="115"/>
      <c r="BW11" s="115"/>
    </row>
    <row r="12" spans="1:75" ht="18.75">
      <c r="A12" s="158"/>
      <c r="B12" s="16" t="s">
        <v>192</v>
      </c>
      <c r="C12" s="16"/>
      <c r="D12" s="16"/>
      <c r="E12" s="16"/>
      <c r="F12" s="16" t="s">
        <v>189</v>
      </c>
      <c r="G12" s="5" t="s">
        <v>193</v>
      </c>
      <c r="H12" s="27"/>
      <c r="I12" s="29"/>
      <c r="J12" s="29"/>
      <c r="K12" s="29"/>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38"/>
      <c r="AZ12" s="28"/>
      <c r="BA12" s="28"/>
      <c r="BB12" s="28"/>
      <c r="BC12" s="28"/>
      <c r="BD12" s="28"/>
      <c r="BE12" s="38"/>
      <c r="BF12" s="28"/>
      <c r="BG12" s="28"/>
      <c r="BH12" s="28"/>
      <c r="BI12" s="28"/>
      <c r="BJ12" s="28"/>
      <c r="BK12" s="38"/>
      <c r="BL12" s="28"/>
      <c r="BM12" s="28"/>
      <c r="BN12" s="109"/>
      <c r="BO12" s="109"/>
      <c r="BP12" s="109"/>
      <c r="BQ12" s="109"/>
      <c r="BR12" s="109"/>
      <c r="BS12" s="109"/>
      <c r="BT12" s="114"/>
      <c r="BU12" s="115"/>
      <c r="BV12" s="115"/>
      <c r="BW12" s="115"/>
    </row>
    <row r="13" spans="1:75" ht="36">
      <c r="A13" s="159"/>
      <c r="B13" s="161"/>
      <c r="C13" s="16" t="s">
        <v>2</v>
      </c>
      <c r="D13" s="16"/>
      <c r="E13" s="16"/>
      <c r="F13" s="16" t="s">
        <v>189</v>
      </c>
      <c r="G13" s="5" t="s">
        <v>194</v>
      </c>
      <c r="H13" s="27"/>
      <c r="I13" s="29"/>
      <c r="J13" s="29"/>
      <c r="K13" s="29"/>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38"/>
      <c r="AZ13" s="28"/>
      <c r="BA13" s="28"/>
      <c r="BB13" s="28"/>
      <c r="BC13" s="28"/>
      <c r="BD13" s="28"/>
      <c r="BE13" s="38"/>
      <c r="BF13" s="28"/>
      <c r="BG13" s="28"/>
      <c r="BH13" s="28"/>
      <c r="BI13" s="28"/>
      <c r="BJ13" s="28"/>
      <c r="BK13" s="38"/>
      <c r="BL13" s="28"/>
      <c r="BM13" s="28"/>
      <c r="BN13" s="109"/>
      <c r="BO13" s="109"/>
      <c r="BP13" s="109"/>
      <c r="BQ13" s="109"/>
      <c r="BR13" s="109"/>
      <c r="BS13" s="109"/>
      <c r="BT13" s="114"/>
      <c r="BU13" s="115"/>
      <c r="BV13" s="115"/>
      <c r="BW13" s="115"/>
    </row>
    <row r="14" spans="1:75" ht="54">
      <c r="A14" s="159"/>
      <c r="B14" s="161"/>
      <c r="C14" s="161"/>
      <c r="D14" s="10" t="s">
        <v>3</v>
      </c>
      <c r="E14" s="10"/>
      <c r="F14" s="10" t="s">
        <v>189</v>
      </c>
      <c r="G14" s="14" t="s">
        <v>195</v>
      </c>
      <c r="H14" s="30"/>
      <c r="I14" s="32"/>
      <c r="J14" s="32"/>
      <c r="K14" s="32"/>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9"/>
      <c r="AZ14" s="31"/>
      <c r="BA14" s="31"/>
      <c r="BB14" s="31"/>
      <c r="BC14" s="31"/>
      <c r="BD14" s="31"/>
      <c r="BE14" s="39"/>
      <c r="BF14" s="31"/>
      <c r="BG14" s="31"/>
      <c r="BH14" s="31"/>
      <c r="BI14" s="31"/>
      <c r="BJ14" s="31"/>
      <c r="BK14" s="39"/>
      <c r="BL14" s="31"/>
      <c r="BM14" s="31"/>
      <c r="BN14" s="110"/>
      <c r="BO14" s="110"/>
      <c r="BP14" s="110"/>
      <c r="BQ14" s="110"/>
      <c r="BR14" s="110"/>
      <c r="BS14" s="110"/>
      <c r="BT14" s="114"/>
      <c r="BU14" s="115"/>
      <c r="BV14" s="115"/>
      <c r="BW14" s="115"/>
    </row>
    <row r="15" spans="1:75" s="19" customFormat="1" ht="100.5" customHeight="1">
      <c r="A15" s="159"/>
      <c r="B15" s="161"/>
      <c r="C15" s="161"/>
      <c r="D15" s="160"/>
      <c r="E15" s="18" t="s">
        <v>228</v>
      </c>
      <c r="F15" s="7"/>
      <c r="G15" s="12" t="s">
        <v>123</v>
      </c>
      <c r="H15" s="13" t="s">
        <v>124</v>
      </c>
      <c r="I15" s="13">
        <v>0</v>
      </c>
      <c r="J15" s="13">
        <v>1</v>
      </c>
      <c r="K15" s="13" t="s">
        <v>106</v>
      </c>
      <c r="L15" s="13">
        <v>60</v>
      </c>
      <c r="M15" s="161">
        <v>37</v>
      </c>
      <c r="N15" s="182" t="s">
        <v>196</v>
      </c>
      <c r="O15" s="176">
        <v>283014</v>
      </c>
      <c r="P15" s="176">
        <v>272822</v>
      </c>
      <c r="Q15" s="44"/>
      <c r="R15" s="44"/>
      <c r="S15" s="44"/>
      <c r="T15" s="44"/>
      <c r="U15" s="44"/>
      <c r="V15" s="176">
        <v>270</v>
      </c>
      <c r="W15" s="176">
        <v>13609</v>
      </c>
      <c r="X15" s="44"/>
      <c r="Y15" s="44"/>
      <c r="Z15" s="176">
        <v>8512</v>
      </c>
      <c r="AA15" s="176"/>
      <c r="AB15" s="44"/>
      <c r="AC15" s="44"/>
      <c r="AD15" s="44"/>
      <c r="AE15" s="44"/>
      <c r="AF15" s="44"/>
      <c r="AG15" s="176">
        <v>555836</v>
      </c>
      <c r="AH15" s="44"/>
      <c r="AI15" s="44"/>
      <c r="AJ15" s="44"/>
      <c r="AK15" s="44"/>
      <c r="AL15" s="44"/>
      <c r="AM15" s="44"/>
      <c r="AN15" s="44"/>
      <c r="AO15" s="44"/>
      <c r="AP15" s="15">
        <v>0.3</v>
      </c>
      <c r="AQ15" s="151">
        <f>+BN15</f>
        <v>0.07</v>
      </c>
      <c r="AR15" s="139">
        <f>+AQ15/AP15</f>
        <v>0.23333333333333336</v>
      </c>
      <c r="AS15" s="87">
        <f>(1868034228.07*60/100)/1000</f>
        <v>1120820.536842</v>
      </c>
      <c r="AT15" s="86"/>
      <c r="AU15" s="86"/>
      <c r="AV15" s="86">
        <v>0.4</v>
      </c>
      <c r="AW15" s="86"/>
      <c r="AX15" s="86"/>
      <c r="AY15" s="87">
        <f>(823081558*60/100)/1000</f>
        <v>493848.9348</v>
      </c>
      <c r="AZ15" s="86"/>
      <c r="BA15" s="86"/>
      <c r="BB15" s="86">
        <v>0.3</v>
      </c>
      <c r="BC15" s="86"/>
      <c r="BD15" s="86"/>
      <c r="BE15" s="87">
        <f>(853203970.1*50/100)/1000</f>
        <v>426601.98505</v>
      </c>
      <c r="BF15" s="86"/>
      <c r="BG15" s="86"/>
      <c r="BH15" s="86">
        <v>1</v>
      </c>
      <c r="BI15" s="86"/>
      <c r="BJ15" s="86"/>
      <c r="BK15" s="87">
        <f>825477333/1000</f>
        <v>825477.333</v>
      </c>
      <c r="BL15" s="88"/>
      <c r="BM15" s="88"/>
      <c r="BN15" s="127">
        <v>0.07</v>
      </c>
      <c r="BO15" s="155">
        <f>+(BN15*100%)/AP15</f>
        <v>0.23333333333333336</v>
      </c>
      <c r="BP15" s="126">
        <v>1120820.54</v>
      </c>
      <c r="BQ15" s="86">
        <v>282250</v>
      </c>
      <c r="BR15" s="127">
        <f>+BQ15/BP15*100</f>
        <v>25.18244356942281</v>
      </c>
      <c r="BS15" s="91" t="s">
        <v>360</v>
      </c>
      <c r="BT15" s="114"/>
      <c r="BU15" s="115"/>
      <c r="BV15" s="115"/>
      <c r="BW15" s="115"/>
    </row>
    <row r="16" spans="1:75" s="19" customFormat="1" ht="81.75" customHeight="1">
      <c r="A16" s="159"/>
      <c r="B16" s="161"/>
      <c r="C16" s="161"/>
      <c r="D16" s="160"/>
      <c r="E16" s="18" t="s">
        <v>229</v>
      </c>
      <c r="F16" s="7"/>
      <c r="G16" s="12" t="s">
        <v>125</v>
      </c>
      <c r="H16" s="13" t="s">
        <v>126</v>
      </c>
      <c r="I16" s="13">
        <v>1</v>
      </c>
      <c r="J16" s="13">
        <v>5</v>
      </c>
      <c r="K16" s="13" t="s">
        <v>106</v>
      </c>
      <c r="L16" s="13">
        <v>10</v>
      </c>
      <c r="M16" s="161"/>
      <c r="N16" s="182"/>
      <c r="O16" s="176"/>
      <c r="P16" s="176"/>
      <c r="Q16" s="44"/>
      <c r="R16" s="44"/>
      <c r="S16" s="44"/>
      <c r="T16" s="44"/>
      <c r="U16" s="44"/>
      <c r="V16" s="176"/>
      <c r="W16" s="176"/>
      <c r="X16" s="44"/>
      <c r="Y16" s="44"/>
      <c r="Z16" s="176"/>
      <c r="AA16" s="176"/>
      <c r="AB16" s="44"/>
      <c r="AC16" s="44"/>
      <c r="AD16" s="44"/>
      <c r="AE16" s="44"/>
      <c r="AF16" s="44"/>
      <c r="AG16" s="176"/>
      <c r="AH16" s="44"/>
      <c r="AI16" s="44"/>
      <c r="AJ16" s="44"/>
      <c r="AK16" s="44"/>
      <c r="AL16" s="44"/>
      <c r="AM16" s="44"/>
      <c r="AN16" s="44"/>
      <c r="AO16" s="44"/>
      <c r="AP16" s="86">
        <v>1</v>
      </c>
      <c r="AQ16" s="152">
        <v>0</v>
      </c>
      <c r="AR16" s="139">
        <f>+AQ16/AP16</f>
        <v>0</v>
      </c>
      <c r="AS16" s="87">
        <f>(1868034228.07*10/100)/1000</f>
        <v>186803.42280700002</v>
      </c>
      <c r="AT16" s="86"/>
      <c r="AU16" s="86"/>
      <c r="AV16" s="86">
        <v>2</v>
      </c>
      <c r="AW16" s="86"/>
      <c r="AX16" s="86"/>
      <c r="AY16" s="87">
        <f>(823081558*10/100)/1000</f>
        <v>82308.1558</v>
      </c>
      <c r="AZ16" s="86"/>
      <c r="BA16" s="86"/>
      <c r="BB16" s="86">
        <v>2</v>
      </c>
      <c r="BC16" s="86"/>
      <c r="BD16" s="86"/>
      <c r="BE16" s="87">
        <f>(853203970.1*10/100)/1000</f>
        <v>85320.39701</v>
      </c>
      <c r="BF16" s="86"/>
      <c r="BG16" s="86"/>
      <c r="BH16" s="86"/>
      <c r="BI16" s="86"/>
      <c r="BJ16" s="86"/>
      <c r="BK16" s="87"/>
      <c r="BL16" s="88"/>
      <c r="BM16" s="88"/>
      <c r="BN16" s="86">
        <v>0</v>
      </c>
      <c r="BO16" s="15">
        <f>+(BN16*100%)/AP16</f>
        <v>0</v>
      </c>
      <c r="BP16" s="86">
        <v>186803.42</v>
      </c>
      <c r="BQ16" s="86">
        <v>0</v>
      </c>
      <c r="BR16" s="127">
        <f>+BQ16/BP16*100</f>
        <v>0</v>
      </c>
      <c r="BS16" s="91"/>
      <c r="BT16" s="114"/>
      <c r="BU16" s="115"/>
      <c r="BV16" s="115"/>
      <c r="BW16" s="115"/>
    </row>
    <row r="17" spans="1:75" s="19" customFormat="1" ht="81" customHeight="1">
      <c r="A17" s="159"/>
      <c r="B17" s="161"/>
      <c r="C17" s="161"/>
      <c r="D17" s="160"/>
      <c r="E17" s="18" t="s">
        <v>230</v>
      </c>
      <c r="F17" s="7"/>
      <c r="G17" s="12" t="s">
        <v>127</v>
      </c>
      <c r="H17" s="13" t="s">
        <v>128</v>
      </c>
      <c r="I17" s="13">
        <v>0</v>
      </c>
      <c r="J17" s="13">
        <v>3</v>
      </c>
      <c r="K17" s="13" t="s">
        <v>106</v>
      </c>
      <c r="L17" s="13">
        <v>15</v>
      </c>
      <c r="M17" s="161"/>
      <c r="N17" s="182"/>
      <c r="O17" s="176"/>
      <c r="P17" s="176"/>
      <c r="Q17" s="44"/>
      <c r="R17" s="44"/>
      <c r="S17" s="44"/>
      <c r="T17" s="44"/>
      <c r="U17" s="44"/>
      <c r="V17" s="176"/>
      <c r="W17" s="176"/>
      <c r="X17" s="44"/>
      <c r="Y17" s="44"/>
      <c r="Z17" s="176"/>
      <c r="AA17" s="176"/>
      <c r="AB17" s="44"/>
      <c r="AC17" s="44"/>
      <c r="AD17" s="44"/>
      <c r="AE17" s="44"/>
      <c r="AF17" s="44"/>
      <c r="AG17" s="176"/>
      <c r="AH17" s="44"/>
      <c r="AI17" s="44"/>
      <c r="AJ17" s="44"/>
      <c r="AK17" s="44"/>
      <c r="AL17" s="44"/>
      <c r="AM17" s="44"/>
      <c r="AN17" s="44"/>
      <c r="AO17" s="44"/>
      <c r="AP17" s="86">
        <v>1</v>
      </c>
      <c r="AQ17" s="152">
        <v>0</v>
      </c>
      <c r="AR17" s="139">
        <f>(AQ17*1005)/AP17</f>
        <v>0</v>
      </c>
      <c r="AS17" s="87">
        <f>(1868034228.07*15/100)/1000</f>
        <v>280205.1342105</v>
      </c>
      <c r="AT17" s="86"/>
      <c r="AU17" s="86"/>
      <c r="AV17" s="86">
        <v>1</v>
      </c>
      <c r="AW17" s="86"/>
      <c r="AX17" s="86"/>
      <c r="AY17" s="87">
        <f>(823081558*15/100)/1000</f>
        <v>123462.2337</v>
      </c>
      <c r="AZ17" s="86"/>
      <c r="BA17" s="86"/>
      <c r="BB17" s="86">
        <v>1</v>
      </c>
      <c r="BC17" s="86"/>
      <c r="BD17" s="86"/>
      <c r="BE17" s="87">
        <f>(853203970.1*15/100)/1000</f>
        <v>127980.595515</v>
      </c>
      <c r="BF17" s="86"/>
      <c r="BG17" s="86"/>
      <c r="BH17" s="86"/>
      <c r="BI17" s="86"/>
      <c r="BJ17" s="86"/>
      <c r="BK17" s="87"/>
      <c r="BL17" s="88"/>
      <c r="BM17" s="88"/>
      <c r="BN17" s="86">
        <v>0</v>
      </c>
      <c r="BO17" s="15">
        <f>+(BN17*100%)/AP17</f>
        <v>0</v>
      </c>
      <c r="BP17" s="86">
        <v>280205.13</v>
      </c>
      <c r="BQ17" s="86">
        <v>0</v>
      </c>
      <c r="BR17" s="86">
        <f>+BQ17*BP17</f>
        <v>0</v>
      </c>
      <c r="BS17" s="91"/>
      <c r="BT17" s="114"/>
      <c r="BU17" s="115"/>
      <c r="BV17" s="115"/>
      <c r="BW17" s="115"/>
    </row>
    <row r="18" spans="1:75" s="19" customFormat="1" ht="106.5" customHeight="1">
      <c r="A18" s="159"/>
      <c r="B18" s="161"/>
      <c r="C18" s="161"/>
      <c r="D18" s="160"/>
      <c r="E18" s="18" t="s">
        <v>231</v>
      </c>
      <c r="F18" s="7"/>
      <c r="G18" s="8" t="s">
        <v>129</v>
      </c>
      <c r="H18" s="13" t="s">
        <v>130</v>
      </c>
      <c r="I18" s="13">
        <v>0</v>
      </c>
      <c r="J18" s="13">
        <v>10</v>
      </c>
      <c r="K18" s="13" t="s">
        <v>106</v>
      </c>
      <c r="L18" s="13">
        <v>15</v>
      </c>
      <c r="M18" s="161"/>
      <c r="N18" s="182"/>
      <c r="O18" s="176"/>
      <c r="P18" s="176"/>
      <c r="Q18" s="44"/>
      <c r="R18" s="44"/>
      <c r="S18" s="44"/>
      <c r="T18" s="44"/>
      <c r="U18" s="44"/>
      <c r="V18" s="176"/>
      <c r="W18" s="176"/>
      <c r="X18" s="44"/>
      <c r="Y18" s="44"/>
      <c r="Z18" s="176"/>
      <c r="AA18" s="176"/>
      <c r="AB18" s="44"/>
      <c r="AC18" s="44"/>
      <c r="AD18" s="44"/>
      <c r="AE18" s="44"/>
      <c r="AF18" s="44"/>
      <c r="AG18" s="176"/>
      <c r="AH18" s="44"/>
      <c r="AI18" s="44"/>
      <c r="AJ18" s="44"/>
      <c r="AK18" s="44"/>
      <c r="AL18" s="44"/>
      <c r="AM18" s="44"/>
      <c r="AN18" s="44"/>
      <c r="AO18" s="44"/>
      <c r="AP18" s="86">
        <v>8</v>
      </c>
      <c r="AQ18" s="152">
        <v>0</v>
      </c>
      <c r="AR18" s="139">
        <f>(AQ18*1005)/AP18</f>
        <v>0</v>
      </c>
      <c r="AS18" s="87">
        <f>(1868034228.07*15/100)/1000</f>
        <v>280205.1342105</v>
      </c>
      <c r="AT18" s="86"/>
      <c r="AU18" s="86"/>
      <c r="AV18" s="86">
        <v>1</v>
      </c>
      <c r="AW18" s="86"/>
      <c r="AX18" s="86"/>
      <c r="AY18" s="87">
        <f>(823081558*15/100)/1000</f>
        <v>123462.2337</v>
      </c>
      <c r="AZ18" s="86"/>
      <c r="BA18" s="86"/>
      <c r="BB18" s="86">
        <v>1</v>
      </c>
      <c r="BC18" s="86"/>
      <c r="BD18" s="86"/>
      <c r="BE18" s="87">
        <f>(853203970.1*15/100)/1000</f>
        <v>127980.595515</v>
      </c>
      <c r="BF18" s="86"/>
      <c r="BG18" s="86"/>
      <c r="BH18" s="86"/>
      <c r="BI18" s="86"/>
      <c r="BJ18" s="86"/>
      <c r="BK18" s="87"/>
      <c r="BL18" s="88"/>
      <c r="BM18" s="88"/>
      <c r="BN18" s="86">
        <v>0</v>
      </c>
      <c r="BO18" s="15">
        <f>+(BN18*100%)/AP18</f>
        <v>0</v>
      </c>
      <c r="BP18" s="86">
        <v>280205.13</v>
      </c>
      <c r="BQ18" s="86">
        <v>0</v>
      </c>
      <c r="BR18" s="86">
        <f>+BQ18*BP18</f>
        <v>0</v>
      </c>
      <c r="BS18" s="91"/>
      <c r="BT18" s="114"/>
      <c r="BU18" s="115"/>
      <c r="BV18" s="115"/>
      <c r="BW18" s="115"/>
    </row>
    <row r="19" spans="1:75" s="19" customFormat="1" ht="105.75" customHeight="1">
      <c r="A19" s="159"/>
      <c r="B19" s="161"/>
      <c r="C19" s="161"/>
      <c r="D19" s="160"/>
      <c r="E19" s="18" t="s">
        <v>232</v>
      </c>
      <c r="F19" s="17"/>
      <c r="G19" s="12" t="s">
        <v>131</v>
      </c>
      <c r="H19" s="13" t="s">
        <v>132</v>
      </c>
      <c r="I19" s="13">
        <v>0</v>
      </c>
      <c r="J19" s="13">
        <v>4</v>
      </c>
      <c r="K19" s="13" t="s">
        <v>106</v>
      </c>
      <c r="L19" s="13">
        <v>10</v>
      </c>
      <c r="M19" s="15"/>
      <c r="N19" s="15"/>
      <c r="O19" s="176"/>
      <c r="P19" s="176"/>
      <c r="Q19" s="44"/>
      <c r="R19" s="44"/>
      <c r="S19" s="44"/>
      <c r="T19" s="44"/>
      <c r="U19" s="44"/>
      <c r="V19" s="176"/>
      <c r="W19" s="176"/>
      <c r="X19" s="44"/>
      <c r="Y19" s="44"/>
      <c r="Z19" s="176"/>
      <c r="AA19" s="176"/>
      <c r="AB19" s="44"/>
      <c r="AC19" s="44"/>
      <c r="AD19" s="44"/>
      <c r="AE19" s="44"/>
      <c r="AF19" s="44"/>
      <c r="AG19" s="176"/>
      <c r="AH19" s="44"/>
      <c r="AI19" s="44"/>
      <c r="AJ19" s="44"/>
      <c r="AK19" s="44"/>
      <c r="AL19" s="44"/>
      <c r="AM19" s="44"/>
      <c r="AN19" s="44"/>
      <c r="AO19" s="44"/>
      <c r="AP19" s="86"/>
      <c r="AQ19" s="86"/>
      <c r="AR19" s="86"/>
      <c r="AS19" s="86"/>
      <c r="AT19" s="86"/>
      <c r="AU19" s="86"/>
      <c r="AV19" s="86"/>
      <c r="AW19" s="86"/>
      <c r="AX19" s="86"/>
      <c r="AY19" s="87"/>
      <c r="AZ19" s="86"/>
      <c r="BA19" s="86"/>
      <c r="BB19" s="86">
        <v>2</v>
      </c>
      <c r="BC19" s="86"/>
      <c r="BD19" s="86"/>
      <c r="BE19" s="87">
        <f>(853203970.1*10/100)/1000</f>
        <v>85320.39701</v>
      </c>
      <c r="BF19" s="86"/>
      <c r="BG19" s="86"/>
      <c r="BH19" s="86">
        <v>2</v>
      </c>
      <c r="BI19" s="86"/>
      <c r="BJ19" s="86"/>
      <c r="BK19" s="87">
        <f>55424080.4/1000</f>
        <v>55424.0804</v>
      </c>
      <c r="BL19" s="88"/>
      <c r="BM19" s="88"/>
      <c r="BN19" s="86"/>
      <c r="BO19" s="86"/>
      <c r="BP19" s="86"/>
      <c r="BQ19" s="86"/>
      <c r="BR19" s="86"/>
      <c r="BS19" s="91"/>
      <c r="BT19" s="114"/>
      <c r="BU19" s="115"/>
      <c r="BV19" s="115"/>
      <c r="BW19" s="115"/>
    </row>
    <row r="20" spans="1:75" ht="36">
      <c r="A20" s="159"/>
      <c r="B20" s="161"/>
      <c r="C20" s="16" t="s">
        <v>4</v>
      </c>
      <c r="D20" s="16"/>
      <c r="E20" s="16"/>
      <c r="F20" s="16" t="s">
        <v>189</v>
      </c>
      <c r="G20" s="5" t="s">
        <v>197</v>
      </c>
      <c r="H20" s="27"/>
      <c r="I20" s="29"/>
      <c r="J20" s="29"/>
      <c r="K20" s="29"/>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38"/>
      <c r="AZ20" s="28"/>
      <c r="BA20" s="28"/>
      <c r="BB20" s="28"/>
      <c r="BC20" s="28"/>
      <c r="BD20" s="28"/>
      <c r="BE20" s="38"/>
      <c r="BF20" s="28"/>
      <c r="BG20" s="28"/>
      <c r="BH20" s="28"/>
      <c r="BI20" s="28"/>
      <c r="BJ20" s="28"/>
      <c r="BK20" s="38"/>
      <c r="BL20" s="28"/>
      <c r="BM20" s="28"/>
      <c r="BN20" s="109"/>
      <c r="BO20" s="109"/>
      <c r="BP20" s="109"/>
      <c r="BQ20" s="109"/>
      <c r="BR20" s="109"/>
      <c r="BS20" s="109"/>
      <c r="BT20" s="114"/>
      <c r="BU20" s="115"/>
      <c r="BV20" s="115"/>
      <c r="BW20" s="115"/>
    </row>
    <row r="21" spans="1:75" ht="36">
      <c r="A21" s="159"/>
      <c r="B21" s="161"/>
      <c r="C21" s="161"/>
      <c r="D21" s="10" t="s">
        <v>5</v>
      </c>
      <c r="E21" s="10"/>
      <c r="F21" s="10" t="s">
        <v>189</v>
      </c>
      <c r="G21" s="14" t="s">
        <v>198</v>
      </c>
      <c r="H21" s="30"/>
      <c r="I21" s="32"/>
      <c r="J21" s="32"/>
      <c r="K21" s="32"/>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9"/>
      <c r="AZ21" s="31"/>
      <c r="BA21" s="31"/>
      <c r="BB21" s="31"/>
      <c r="BC21" s="31"/>
      <c r="BD21" s="31"/>
      <c r="BE21" s="39"/>
      <c r="BF21" s="31"/>
      <c r="BG21" s="31"/>
      <c r="BH21" s="31"/>
      <c r="BI21" s="31"/>
      <c r="BJ21" s="31"/>
      <c r="BK21" s="39"/>
      <c r="BL21" s="31"/>
      <c r="BM21" s="31"/>
      <c r="BN21" s="110"/>
      <c r="BO21" s="110"/>
      <c r="BP21" s="110"/>
      <c r="BQ21" s="110"/>
      <c r="BR21" s="110"/>
      <c r="BS21" s="110"/>
      <c r="BT21" s="114"/>
      <c r="BU21" s="115"/>
      <c r="BV21" s="115"/>
      <c r="BW21" s="115"/>
    </row>
    <row r="22" spans="1:75" ht="106.5" customHeight="1">
      <c r="A22" s="159"/>
      <c r="B22" s="161"/>
      <c r="C22" s="161"/>
      <c r="D22" s="160"/>
      <c r="E22" s="17" t="s">
        <v>7</v>
      </c>
      <c r="F22" s="3"/>
      <c r="G22" s="9" t="s">
        <v>133</v>
      </c>
      <c r="H22" s="13" t="s">
        <v>134</v>
      </c>
      <c r="I22" s="13">
        <v>0</v>
      </c>
      <c r="J22" s="13">
        <v>16</v>
      </c>
      <c r="K22" s="13" t="s">
        <v>106</v>
      </c>
      <c r="L22" s="13">
        <v>40</v>
      </c>
      <c r="M22" s="161">
        <v>38</v>
      </c>
      <c r="N22" s="180" t="s">
        <v>199</v>
      </c>
      <c r="O22" s="176">
        <v>283014</v>
      </c>
      <c r="P22" s="176">
        <v>272822</v>
      </c>
      <c r="Q22" s="84"/>
      <c r="R22" s="84"/>
      <c r="S22" s="84"/>
      <c r="T22" s="84"/>
      <c r="U22" s="84"/>
      <c r="V22" s="176">
        <v>270</v>
      </c>
      <c r="W22" s="176">
        <v>13609</v>
      </c>
      <c r="X22" s="84"/>
      <c r="Y22" s="84"/>
      <c r="Z22" s="176">
        <v>8512</v>
      </c>
      <c r="AA22" s="176"/>
      <c r="AB22" s="84"/>
      <c r="AC22" s="84"/>
      <c r="AD22" s="84"/>
      <c r="AE22" s="84"/>
      <c r="AF22" s="84"/>
      <c r="AG22" s="176">
        <v>555836</v>
      </c>
      <c r="AH22" s="84"/>
      <c r="AI22" s="84"/>
      <c r="AJ22" s="84"/>
      <c r="AK22" s="84"/>
      <c r="AL22" s="84"/>
      <c r="AM22" s="84"/>
      <c r="AN22" s="84"/>
      <c r="AO22" s="84"/>
      <c r="AP22" s="3">
        <v>4</v>
      </c>
      <c r="AQ22" s="3">
        <v>0</v>
      </c>
      <c r="AR22" s="139">
        <f>+AQ22/AP22</f>
        <v>0</v>
      </c>
      <c r="AS22" s="20">
        <f>(221138209*40/100)/1000</f>
        <v>88455.2836</v>
      </c>
      <c r="AT22" s="3"/>
      <c r="AU22" s="3"/>
      <c r="AV22" s="3">
        <v>4</v>
      </c>
      <c r="AW22" s="3"/>
      <c r="AX22" s="3"/>
      <c r="AY22" s="4">
        <f>(93566031*40/100)/1000</f>
        <v>37426.4124</v>
      </c>
      <c r="AZ22" s="3"/>
      <c r="BA22" s="3"/>
      <c r="BB22" s="7">
        <v>4</v>
      </c>
      <c r="BC22" s="3"/>
      <c r="BD22" s="3"/>
      <c r="BE22" s="4">
        <f>90323.02*40/100</f>
        <v>36129.208000000006</v>
      </c>
      <c r="BF22" s="3"/>
      <c r="BG22" s="3"/>
      <c r="BH22" s="3">
        <v>4</v>
      </c>
      <c r="BI22" s="3"/>
      <c r="BJ22" s="3"/>
      <c r="BK22" s="4">
        <f>108532.703*40/100</f>
        <v>43413.0812</v>
      </c>
      <c r="BL22" s="3"/>
      <c r="BM22" s="3"/>
      <c r="BN22" s="111">
        <v>0</v>
      </c>
      <c r="BO22" s="130">
        <f>+BN22/AP22*100</f>
        <v>0</v>
      </c>
      <c r="BP22" s="128">
        <f>+AS22</f>
        <v>88455.2836</v>
      </c>
      <c r="BQ22" s="111">
        <v>15817</v>
      </c>
      <c r="BR22" s="153">
        <f>+BQ22/BP22</f>
        <v>0.17881351295560147</v>
      </c>
      <c r="BS22" s="6" t="s">
        <v>362</v>
      </c>
      <c r="BT22" s="163" t="s">
        <v>364</v>
      </c>
      <c r="BU22" s="115"/>
      <c r="BV22" s="115"/>
      <c r="BW22" s="115"/>
    </row>
    <row r="23" spans="1:75" ht="93.75" customHeight="1">
      <c r="A23" s="159"/>
      <c r="B23" s="161"/>
      <c r="C23" s="161"/>
      <c r="D23" s="160"/>
      <c r="E23" s="17" t="s">
        <v>6</v>
      </c>
      <c r="F23" s="3"/>
      <c r="G23" s="9" t="s">
        <v>135</v>
      </c>
      <c r="H23" s="13" t="s">
        <v>136</v>
      </c>
      <c r="I23" s="13">
        <v>0</v>
      </c>
      <c r="J23" s="13">
        <v>8</v>
      </c>
      <c r="K23" s="13" t="s">
        <v>106</v>
      </c>
      <c r="L23" s="13">
        <v>40</v>
      </c>
      <c r="M23" s="161"/>
      <c r="N23" s="180"/>
      <c r="O23" s="176"/>
      <c r="P23" s="176"/>
      <c r="Q23" s="84"/>
      <c r="R23" s="84"/>
      <c r="S23" s="84"/>
      <c r="T23" s="84"/>
      <c r="U23" s="84"/>
      <c r="V23" s="176"/>
      <c r="W23" s="176"/>
      <c r="X23" s="84"/>
      <c r="Y23" s="84"/>
      <c r="Z23" s="176"/>
      <c r="AA23" s="176"/>
      <c r="AB23" s="84"/>
      <c r="AC23" s="84"/>
      <c r="AD23" s="84"/>
      <c r="AE23" s="84"/>
      <c r="AF23" s="84"/>
      <c r="AG23" s="176"/>
      <c r="AH23" s="84"/>
      <c r="AI23" s="84"/>
      <c r="AJ23" s="84"/>
      <c r="AK23" s="84"/>
      <c r="AL23" s="84"/>
      <c r="AM23" s="84"/>
      <c r="AN23" s="84"/>
      <c r="AO23" s="84"/>
      <c r="AP23" s="3">
        <v>2</v>
      </c>
      <c r="AQ23" s="3">
        <f>+BN23</f>
        <v>0.5</v>
      </c>
      <c r="AR23" s="139">
        <f>+AQ23/AP23</f>
        <v>0.25</v>
      </c>
      <c r="AS23" s="20">
        <f>(221138209*40/100)/1000</f>
        <v>88455.2836</v>
      </c>
      <c r="AT23" s="3"/>
      <c r="AU23" s="3"/>
      <c r="AV23" s="3">
        <v>2</v>
      </c>
      <c r="AW23" s="3"/>
      <c r="AX23" s="3"/>
      <c r="AY23" s="4">
        <f>(93566031*40/100)/1000</f>
        <v>37426.4124</v>
      </c>
      <c r="AZ23" s="3"/>
      <c r="BA23" s="3"/>
      <c r="BB23" s="7">
        <v>2</v>
      </c>
      <c r="BC23" s="3"/>
      <c r="BD23" s="3"/>
      <c r="BE23" s="4">
        <f>90323.02*40/100</f>
        <v>36129.208000000006</v>
      </c>
      <c r="BF23" s="3"/>
      <c r="BG23" s="3"/>
      <c r="BH23" s="3">
        <v>2</v>
      </c>
      <c r="BI23" s="3"/>
      <c r="BJ23" s="3"/>
      <c r="BK23" s="4">
        <f>108532.703*40/100</f>
        <v>43413.0812</v>
      </c>
      <c r="BL23" s="3"/>
      <c r="BM23" s="3"/>
      <c r="BN23" s="111">
        <v>0.5</v>
      </c>
      <c r="BO23" s="130">
        <f>+BN23/AP23*100</f>
        <v>25</v>
      </c>
      <c r="BP23" s="128">
        <f>+AS23</f>
        <v>88455.2836</v>
      </c>
      <c r="BQ23" s="111">
        <v>60000</v>
      </c>
      <c r="BR23" s="129">
        <f>+BQ23/BP23*100</f>
        <v>67.83088308361944</v>
      </c>
      <c r="BS23" s="6" t="s">
        <v>361</v>
      </c>
      <c r="BT23" s="114"/>
      <c r="BU23" s="115"/>
      <c r="BV23" s="115"/>
      <c r="BW23" s="115"/>
    </row>
    <row r="24" spans="1:75" ht="78" customHeight="1">
      <c r="A24" s="159"/>
      <c r="B24" s="161"/>
      <c r="C24" s="161"/>
      <c r="D24" s="160"/>
      <c r="E24" s="17" t="s">
        <v>8</v>
      </c>
      <c r="F24" s="3"/>
      <c r="G24" s="9" t="s">
        <v>137</v>
      </c>
      <c r="H24" s="13" t="s">
        <v>138</v>
      </c>
      <c r="I24" s="13">
        <v>0</v>
      </c>
      <c r="J24" s="13">
        <v>4</v>
      </c>
      <c r="K24" s="13" t="s">
        <v>106</v>
      </c>
      <c r="L24" s="13">
        <v>20</v>
      </c>
      <c r="M24" s="161"/>
      <c r="N24" s="180"/>
      <c r="O24" s="176"/>
      <c r="P24" s="176"/>
      <c r="Q24" s="84"/>
      <c r="R24" s="84"/>
      <c r="S24" s="84"/>
      <c r="T24" s="84"/>
      <c r="U24" s="84"/>
      <c r="V24" s="176"/>
      <c r="W24" s="176"/>
      <c r="X24" s="84"/>
      <c r="Y24" s="84"/>
      <c r="Z24" s="176"/>
      <c r="AA24" s="176"/>
      <c r="AB24" s="84"/>
      <c r="AC24" s="84"/>
      <c r="AD24" s="84"/>
      <c r="AE24" s="84"/>
      <c r="AF24" s="84"/>
      <c r="AG24" s="176"/>
      <c r="AH24" s="84"/>
      <c r="AI24" s="84"/>
      <c r="AJ24" s="84"/>
      <c r="AK24" s="84"/>
      <c r="AL24" s="84"/>
      <c r="AM24" s="84"/>
      <c r="AN24" s="84"/>
      <c r="AO24" s="84"/>
      <c r="AP24" s="3">
        <v>1</v>
      </c>
      <c r="AQ24" s="3">
        <v>0</v>
      </c>
      <c r="AR24" s="139">
        <f>+AQ24/AP24</f>
        <v>0</v>
      </c>
      <c r="AS24" s="20">
        <f>(221138209*20/100)/1000</f>
        <v>44227.6418</v>
      </c>
      <c r="AT24" s="3"/>
      <c r="AU24" s="3"/>
      <c r="AV24" s="3">
        <v>1</v>
      </c>
      <c r="AW24" s="3"/>
      <c r="AX24" s="3"/>
      <c r="AY24" s="4">
        <f>(93566031*20/100)/1000</f>
        <v>18713.2062</v>
      </c>
      <c r="AZ24" s="3"/>
      <c r="BA24" s="3"/>
      <c r="BB24" s="7">
        <v>1</v>
      </c>
      <c r="BC24" s="3"/>
      <c r="BD24" s="3"/>
      <c r="BE24" s="4">
        <f>90323.02*20/100</f>
        <v>18064.604000000003</v>
      </c>
      <c r="BF24" s="3"/>
      <c r="BG24" s="3"/>
      <c r="BH24" s="3">
        <v>1</v>
      </c>
      <c r="BI24" s="3"/>
      <c r="BJ24" s="3"/>
      <c r="BK24" s="4">
        <f>108532.703*20/100</f>
        <v>21706.5406</v>
      </c>
      <c r="BL24" s="3"/>
      <c r="BM24" s="3"/>
      <c r="BN24" s="111">
        <v>0.5</v>
      </c>
      <c r="BO24" s="111">
        <f>+BN24/AP24*100</f>
        <v>50</v>
      </c>
      <c r="BP24" s="128">
        <f>+AS24</f>
        <v>44227.6418</v>
      </c>
      <c r="BQ24" s="111"/>
      <c r="BR24" s="129">
        <f>+BQ24/BP24*100</f>
        <v>0</v>
      </c>
      <c r="BS24" s="3"/>
      <c r="BT24" s="114"/>
      <c r="BU24" s="115"/>
      <c r="BV24" s="115"/>
      <c r="BW24" s="115"/>
    </row>
    <row r="25" spans="1:75" ht="18.75">
      <c r="A25" s="159"/>
      <c r="B25" s="161"/>
      <c r="C25" s="16" t="s">
        <v>9</v>
      </c>
      <c r="D25" s="16"/>
      <c r="E25" s="16"/>
      <c r="F25" s="16" t="s">
        <v>189</v>
      </c>
      <c r="G25" s="5" t="s">
        <v>200</v>
      </c>
      <c r="H25" s="27"/>
      <c r="I25" s="29"/>
      <c r="J25" s="29"/>
      <c r="K25" s="29"/>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38"/>
      <c r="AZ25" s="28"/>
      <c r="BA25" s="28"/>
      <c r="BB25" s="28"/>
      <c r="BC25" s="28"/>
      <c r="BD25" s="28"/>
      <c r="BE25" s="38"/>
      <c r="BF25" s="28"/>
      <c r="BG25" s="28"/>
      <c r="BH25" s="28"/>
      <c r="BI25" s="28"/>
      <c r="BJ25" s="28"/>
      <c r="BK25" s="38"/>
      <c r="BL25" s="28"/>
      <c r="BM25" s="28"/>
      <c r="BN25" s="109"/>
      <c r="BO25" s="109"/>
      <c r="BP25" s="109"/>
      <c r="BQ25" s="109"/>
      <c r="BR25" s="109"/>
      <c r="BS25" s="109"/>
      <c r="BT25" s="114"/>
      <c r="BU25" s="115"/>
      <c r="BV25" s="115"/>
      <c r="BW25" s="115"/>
    </row>
    <row r="26" spans="1:75" ht="36">
      <c r="A26" s="159"/>
      <c r="B26" s="161"/>
      <c r="C26" s="161"/>
      <c r="D26" s="10" t="s">
        <v>10</v>
      </c>
      <c r="E26" s="10"/>
      <c r="F26" s="10" t="s">
        <v>189</v>
      </c>
      <c r="G26" s="14" t="s">
        <v>201</v>
      </c>
      <c r="H26" s="30"/>
      <c r="I26" s="32"/>
      <c r="J26" s="32"/>
      <c r="K26" s="32"/>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9"/>
      <c r="AZ26" s="31"/>
      <c r="BA26" s="31"/>
      <c r="BB26" s="31"/>
      <c r="BC26" s="31"/>
      <c r="BD26" s="31"/>
      <c r="BE26" s="39"/>
      <c r="BF26" s="31"/>
      <c r="BG26" s="31"/>
      <c r="BH26" s="31"/>
      <c r="BI26" s="31"/>
      <c r="BJ26" s="31"/>
      <c r="BK26" s="39"/>
      <c r="BL26" s="31"/>
      <c r="BM26" s="31"/>
      <c r="BN26" s="110"/>
      <c r="BO26" s="110"/>
      <c r="BP26" s="110"/>
      <c r="BQ26" s="110"/>
      <c r="BR26" s="110"/>
      <c r="BS26" s="110"/>
      <c r="BT26" s="114"/>
      <c r="BU26" s="115"/>
      <c r="BV26" s="115"/>
      <c r="BW26" s="115"/>
    </row>
    <row r="27" spans="1:75" ht="55.5" customHeight="1">
      <c r="A27" s="159"/>
      <c r="B27" s="161"/>
      <c r="C27" s="161"/>
      <c r="D27" s="160"/>
      <c r="E27" s="17" t="s">
        <v>11</v>
      </c>
      <c r="F27" s="3"/>
      <c r="G27" s="9" t="s">
        <v>139</v>
      </c>
      <c r="H27" s="36" t="s">
        <v>140</v>
      </c>
      <c r="I27" s="13">
        <v>9332</v>
      </c>
      <c r="J27" s="13">
        <v>20000</v>
      </c>
      <c r="K27" s="13" t="s">
        <v>106</v>
      </c>
      <c r="L27" s="13">
        <v>50</v>
      </c>
      <c r="M27" s="161">
        <v>39</v>
      </c>
      <c r="N27" s="180" t="s">
        <v>202</v>
      </c>
      <c r="O27" s="176">
        <v>283014</v>
      </c>
      <c r="P27" s="176">
        <v>272822</v>
      </c>
      <c r="Q27" s="84"/>
      <c r="R27" s="84"/>
      <c r="S27" s="84"/>
      <c r="T27" s="84"/>
      <c r="U27" s="84"/>
      <c r="V27" s="176">
        <v>270</v>
      </c>
      <c r="W27" s="176">
        <v>13609</v>
      </c>
      <c r="X27" s="84"/>
      <c r="Y27" s="84"/>
      <c r="Z27" s="176">
        <v>8512</v>
      </c>
      <c r="AA27" s="176"/>
      <c r="AB27" s="84"/>
      <c r="AC27" s="84"/>
      <c r="AD27" s="84"/>
      <c r="AE27" s="84"/>
      <c r="AF27" s="84"/>
      <c r="AG27" s="176">
        <v>555836</v>
      </c>
      <c r="AH27" s="84"/>
      <c r="AI27" s="84"/>
      <c r="AJ27" s="84"/>
      <c r="AK27" s="84"/>
      <c r="AL27" s="84"/>
      <c r="AM27" s="84"/>
      <c r="AN27" s="84"/>
      <c r="AO27" s="84"/>
      <c r="AP27" s="89">
        <v>2667</v>
      </c>
      <c r="AQ27" s="89">
        <v>0</v>
      </c>
      <c r="AR27" s="139">
        <f>(AQ27*1005)/AP27</f>
        <v>0</v>
      </c>
      <c r="AS27" s="85">
        <f>(16200000*50/100)/1000</f>
        <v>8100</v>
      </c>
      <c r="AT27" s="89"/>
      <c r="AU27" s="89"/>
      <c r="AV27" s="89">
        <v>2667</v>
      </c>
      <c r="AW27" s="89"/>
      <c r="AX27" s="89"/>
      <c r="AY27" s="85">
        <f>(20000000*50/100)/1000</f>
        <v>10000</v>
      </c>
      <c r="AZ27" s="89"/>
      <c r="BA27" s="89"/>
      <c r="BB27" s="86">
        <v>2667</v>
      </c>
      <c r="BC27" s="89"/>
      <c r="BD27" s="89"/>
      <c r="BE27" s="85">
        <f>(15000000*50/100)/1000</f>
        <v>7500</v>
      </c>
      <c r="BF27" s="89"/>
      <c r="BG27" s="89"/>
      <c r="BH27" s="89">
        <v>2667</v>
      </c>
      <c r="BI27" s="89"/>
      <c r="BJ27" s="89"/>
      <c r="BK27" s="85">
        <f>(20000000*50/100)/1000</f>
        <v>10000</v>
      </c>
      <c r="BL27" s="90"/>
      <c r="BM27" s="90"/>
      <c r="BN27" s="89">
        <v>0</v>
      </c>
      <c r="BO27" s="111">
        <f>+BN27/AP27*100</f>
        <v>0</v>
      </c>
      <c r="BP27" s="132">
        <f>+AS27</f>
        <v>8100</v>
      </c>
      <c r="BQ27" s="89">
        <v>0</v>
      </c>
      <c r="BR27" s="89">
        <f>+BQ27/BR27*100</f>
        <v>0</v>
      </c>
      <c r="BS27" s="240"/>
      <c r="BT27" s="114"/>
      <c r="BU27" s="115"/>
      <c r="BV27" s="115"/>
      <c r="BW27" s="115"/>
    </row>
    <row r="28" spans="1:75" ht="52.5" customHeight="1">
      <c r="A28" s="159"/>
      <c r="B28" s="161"/>
      <c r="C28" s="161"/>
      <c r="D28" s="160"/>
      <c r="E28" s="17" t="s">
        <v>12</v>
      </c>
      <c r="F28" s="3"/>
      <c r="G28" s="9" t="s">
        <v>141</v>
      </c>
      <c r="H28" s="36" t="s">
        <v>142</v>
      </c>
      <c r="I28" s="13">
        <v>98000</v>
      </c>
      <c r="J28" s="13">
        <v>100000</v>
      </c>
      <c r="K28" s="13" t="s">
        <v>106</v>
      </c>
      <c r="L28" s="13">
        <v>25</v>
      </c>
      <c r="M28" s="161"/>
      <c r="N28" s="180"/>
      <c r="O28" s="176"/>
      <c r="P28" s="176"/>
      <c r="Q28" s="84"/>
      <c r="R28" s="84"/>
      <c r="S28" s="84"/>
      <c r="T28" s="84"/>
      <c r="U28" s="84"/>
      <c r="V28" s="176"/>
      <c r="W28" s="176"/>
      <c r="X28" s="84"/>
      <c r="Y28" s="84"/>
      <c r="Z28" s="176"/>
      <c r="AA28" s="176"/>
      <c r="AB28" s="84"/>
      <c r="AC28" s="84"/>
      <c r="AD28" s="84"/>
      <c r="AE28" s="84"/>
      <c r="AF28" s="84"/>
      <c r="AG28" s="176"/>
      <c r="AH28" s="84"/>
      <c r="AI28" s="84"/>
      <c r="AJ28" s="84"/>
      <c r="AK28" s="84"/>
      <c r="AL28" s="84"/>
      <c r="AM28" s="84"/>
      <c r="AN28" s="84"/>
      <c r="AO28" s="84"/>
      <c r="AP28" s="89">
        <v>200</v>
      </c>
      <c r="AQ28" s="89">
        <v>0</v>
      </c>
      <c r="AR28" s="139">
        <f>(AQ28*1005)/AP28</f>
        <v>0</v>
      </c>
      <c r="AS28" s="85">
        <f>(16200000*25/100)/1000</f>
        <v>4050</v>
      </c>
      <c r="AT28" s="89"/>
      <c r="AU28" s="89"/>
      <c r="AV28" s="89">
        <v>600</v>
      </c>
      <c r="AW28" s="89"/>
      <c r="AX28" s="89"/>
      <c r="AY28" s="85">
        <f>(20000000*25/100)/1000</f>
        <v>5000</v>
      </c>
      <c r="AZ28" s="89"/>
      <c r="BA28" s="89"/>
      <c r="BB28" s="86">
        <v>600</v>
      </c>
      <c r="BC28" s="89"/>
      <c r="BD28" s="89"/>
      <c r="BE28" s="85">
        <f>(15000000*25/100)/1000</f>
        <v>3750</v>
      </c>
      <c r="BF28" s="89"/>
      <c r="BG28" s="89"/>
      <c r="BH28" s="89">
        <v>600</v>
      </c>
      <c r="BI28" s="89"/>
      <c r="BJ28" s="89"/>
      <c r="BK28" s="85">
        <f>(20000000*25/100)/1000</f>
        <v>5000</v>
      </c>
      <c r="BL28" s="90"/>
      <c r="BM28" s="90"/>
      <c r="BN28" s="89">
        <v>0</v>
      </c>
      <c r="BO28" s="111">
        <f>+BN28/AP28*100</f>
        <v>0</v>
      </c>
      <c r="BP28" s="132">
        <f>+AS28</f>
        <v>4050</v>
      </c>
      <c r="BQ28" s="89">
        <v>0</v>
      </c>
      <c r="BR28" s="89">
        <f>+BQ28/BR28*100</f>
        <v>0</v>
      </c>
      <c r="BS28" s="240"/>
      <c r="BT28" s="114"/>
      <c r="BU28" s="115"/>
      <c r="BV28" s="115"/>
      <c r="BW28" s="115"/>
    </row>
    <row r="29" spans="1:75" ht="73.5" customHeight="1">
      <c r="A29" s="159"/>
      <c r="B29" s="161"/>
      <c r="C29" s="161"/>
      <c r="D29" s="160"/>
      <c r="E29" s="17" t="s">
        <v>13</v>
      </c>
      <c r="F29" s="3"/>
      <c r="G29" s="9" t="s">
        <v>110</v>
      </c>
      <c r="H29" s="9" t="s">
        <v>111</v>
      </c>
      <c r="I29" s="7">
        <v>0</v>
      </c>
      <c r="J29" s="7">
        <v>1</v>
      </c>
      <c r="K29" s="13" t="s">
        <v>106</v>
      </c>
      <c r="L29" s="13">
        <v>25</v>
      </c>
      <c r="M29" s="161"/>
      <c r="N29" s="180"/>
      <c r="O29" s="176"/>
      <c r="P29" s="176"/>
      <c r="Q29" s="84"/>
      <c r="R29" s="84"/>
      <c r="S29" s="84"/>
      <c r="T29" s="84"/>
      <c r="U29" s="84"/>
      <c r="V29" s="176"/>
      <c r="W29" s="176"/>
      <c r="X29" s="84"/>
      <c r="Y29" s="84"/>
      <c r="Z29" s="176"/>
      <c r="AA29" s="176"/>
      <c r="AB29" s="84"/>
      <c r="AC29" s="84"/>
      <c r="AD29" s="84"/>
      <c r="AE29" s="84"/>
      <c r="AF29" s="84"/>
      <c r="AG29" s="176"/>
      <c r="AH29" s="84"/>
      <c r="AI29" s="84"/>
      <c r="AJ29" s="84"/>
      <c r="AK29" s="84"/>
      <c r="AL29" s="84"/>
      <c r="AM29" s="84"/>
      <c r="AN29" s="84"/>
      <c r="AO29" s="84"/>
      <c r="AP29" s="89">
        <v>0.1</v>
      </c>
      <c r="AQ29" s="89">
        <v>0</v>
      </c>
      <c r="AR29" s="139">
        <f>(AQ29*1005)/AP29</f>
        <v>0</v>
      </c>
      <c r="AS29" s="85">
        <f>(16200000*25/100)/1000</f>
        <v>4050</v>
      </c>
      <c r="AT29" s="89"/>
      <c r="AU29" s="89"/>
      <c r="AV29" s="89">
        <v>0.5</v>
      </c>
      <c r="AW29" s="89"/>
      <c r="AX29" s="89"/>
      <c r="AY29" s="85">
        <f>(20000000*25/100)/1000</f>
        <v>5000</v>
      </c>
      <c r="AZ29" s="89"/>
      <c r="BA29" s="89"/>
      <c r="BB29" s="86">
        <v>0.4</v>
      </c>
      <c r="BC29" s="89"/>
      <c r="BD29" s="89"/>
      <c r="BE29" s="85">
        <f>(15000000*25/100)/1000</f>
        <v>3750</v>
      </c>
      <c r="BF29" s="89"/>
      <c r="BG29" s="89"/>
      <c r="BH29" s="89">
        <v>1</v>
      </c>
      <c r="BI29" s="89"/>
      <c r="BJ29" s="89"/>
      <c r="BK29" s="85">
        <f>(20000000*25/100)/1000</f>
        <v>5000</v>
      </c>
      <c r="BL29" s="90"/>
      <c r="BM29" s="90"/>
      <c r="BN29" s="89">
        <v>0</v>
      </c>
      <c r="BO29" s="111">
        <f>+BN29/AP29*100</f>
        <v>0</v>
      </c>
      <c r="BP29" s="132">
        <f>+AS29</f>
        <v>4050</v>
      </c>
      <c r="BQ29" s="89">
        <v>0</v>
      </c>
      <c r="BR29" s="89">
        <f>+BQ29/BR29*100</f>
        <v>0</v>
      </c>
      <c r="BS29" s="240"/>
      <c r="BT29" s="114"/>
      <c r="BU29" s="115"/>
      <c r="BV29" s="115"/>
      <c r="BW29" s="115"/>
    </row>
    <row r="30" spans="1:75" ht="69" customHeight="1">
      <c r="A30" s="159"/>
      <c r="B30" s="16" t="s">
        <v>203</v>
      </c>
      <c r="C30" s="16"/>
      <c r="D30" s="16"/>
      <c r="E30" s="16"/>
      <c r="F30" s="16" t="s">
        <v>189</v>
      </c>
      <c r="G30" s="5" t="s">
        <v>204</v>
      </c>
      <c r="H30" s="27"/>
      <c r="I30" s="29"/>
      <c r="J30" s="29"/>
      <c r="K30" s="29"/>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38"/>
      <c r="AZ30" s="28"/>
      <c r="BA30" s="28"/>
      <c r="BB30" s="28"/>
      <c r="BC30" s="28"/>
      <c r="BD30" s="28"/>
      <c r="BE30" s="38"/>
      <c r="BF30" s="28"/>
      <c r="BG30" s="28"/>
      <c r="BH30" s="28"/>
      <c r="BI30" s="28"/>
      <c r="BJ30" s="28"/>
      <c r="BK30" s="38"/>
      <c r="BL30" s="28"/>
      <c r="BM30" s="28"/>
      <c r="BN30" s="109"/>
      <c r="BO30" s="109"/>
      <c r="BP30" s="109"/>
      <c r="BQ30" s="109"/>
      <c r="BR30" s="109"/>
      <c r="BS30" s="109"/>
      <c r="BT30" s="114"/>
      <c r="BU30" s="115"/>
      <c r="BV30" s="115"/>
      <c r="BW30" s="115"/>
    </row>
    <row r="31" spans="1:75" ht="61.5" customHeight="1">
      <c r="A31" s="159"/>
      <c r="B31" s="161"/>
      <c r="C31" s="16" t="s">
        <v>14</v>
      </c>
      <c r="D31" s="16"/>
      <c r="E31" s="16"/>
      <c r="F31" s="16" t="s">
        <v>189</v>
      </c>
      <c r="G31" s="5" t="s">
        <v>205</v>
      </c>
      <c r="H31" s="27"/>
      <c r="I31" s="29"/>
      <c r="J31" s="29"/>
      <c r="K31" s="29"/>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38"/>
      <c r="AZ31" s="28"/>
      <c r="BA31" s="28"/>
      <c r="BB31" s="28"/>
      <c r="BC31" s="28"/>
      <c r="BD31" s="28"/>
      <c r="BE31" s="38"/>
      <c r="BF31" s="28"/>
      <c r="BG31" s="28"/>
      <c r="BH31" s="28"/>
      <c r="BI31" s="28"/>
      <c r="BJ31" s="28"/>
      <c r="BK31" s="38"/>
      <c r="BL31" s="28"/>
      <c r="BM31" s="28"/>
      <c r="BN31" s="109"/>
      <c r="BO31" s="109"/>
      <c r="BP31" s="109"/>
      <c r="BQ31" s="109"/>
      <c r="BR31" s="109"/>
      <c r="BS31" s="109"/>
      <c r="BT31" s="114"/>
      <c r="BU31" s="115"/>
      <c r="BV31" s="115"/>
      <c r="BW31" s="115"/>
    </row>
    <row r="32" spans="1:75" ht="55.5" customHeight="1">
      <c r="A32" s="159"/>
      <c r="B32" s="161"/>
      <c r="C32" s="161"/>
      <c r="D32" s="10" t="s">
        <v>15</v>
      </c>
      <c r="E32" s="10"/>
      <c r="F32" s="10" t="s">
        <v>189</v>
      </c>
      <c r="G32" s="14" t="s">
        <v>206</v>
      </c>
      <c r="H32" s="30"/>
      <c r="I32" s="32"/>
      <c r="J32" s="32"/>
      <c r="K32" s="32"/>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9"/>
      <c r="AZ32" s="31"/>
      <c r="BA32" s="31"/>
      <c r="BB32" s="31"/>
      <c r="BC32" s="31"/>
      <c r="BD32" s="31"/>
      <c r="BE32" s="39"/>
      <c r="BF32" s="31"/>
      <c r="BG32" s="31"/>
      <c r="BH32" s="31"/>
      <c r="BI32" s="31"/>
      <c r="BJ32" s="31"/>
      <c r="BK32" s="39"/>
      <c r="BL32" s="31"/>
      <c r="BM32" s="31"/>
      <c r="BN32" s="110"/>
      <c r="BO32" s="110"/>
      <c r="BP32" s="110"/>
      <c r="BQ32" s="110"/>
      <c r="BR32" s="110"/>
      <c r="BS32" s="110"/>
      <c r="BT32" s="114"/>
      <c r="BU32" s="115"/>
      <c r="BV32" s="115"/>
      <c r="BW32" s="115"/>
    </row>
    <row r="33" spans="1:71" ht="84.75" customHeight="1">
      <c r="A33" s="159"/>
      <c r="B33" s="161"/>
      <c r="C33" s="161"/>
      <c r="D33" s="160"/>
      <c r="E33" s="17" t="s">
        <v>16</v>
      </c>
      <c r="F33" s="3"/>
      <c r="G33" s="9" t="s">
        <v>143</v>
      </c>
      <c r="H33" s="13" t="s">
        <v>144</v>
      </c>
      <c r="I33" s="13" t="s">
        <v>122</v>
      </c>
      <c r="J33" s="13">
        <v>8</v>
      </c>
      <c r="K33" s="13" t="s">
        <v>106</v>
      </c>
      <c r="L33" s="13">
        <v>50</v>
      </c>
      <c r="M33" s="161">
        <v>50</v>
      </c>
      <c r="N33" s="180" t="s">
        <v>207</v>
      </c>
      <c r="O33" s="84">
        <v>282014</v>
      </c>
      <c r="P33" s="84">
        <v>272822</v>
      </c>
      <c r="Q33" s="84"/>
      <c r="R33" s="84"/>
      <c r="S33" s="84"/>
      <c r="T33" s="84"/>
      <c r="U33" s="84"/>
      <c r="V33" s="84"/>
      <c r="W33" s="84"/>
      <c r="X33" s="84"/>
      <c r="Y33" s="84"/>
      <c r="Z33" s="84"/>
      <c r="AA33" s="84"/>
      <c r="AB33" s="84"/>
      <c r="AC33" s="84"/>
      <c r="AD33" s="84"/>
      <c r="AE33" s="84"/>
      <c r="AF33" s="84">
        <v>555836</v>
      </c>
      <c r="AG33" s="84">
        <v>555836</v>
      </c>
      <c r="AH33" s="84"/>
      <c r="AI33" s="84"/>
      <c r="AJ33" s="84"/>
      <c r="AK33" s="84"/>
      <c r="AL33" s="84"/>
      <c r="AM33" s="84"/>
      <c r="AN33" s="84"/>
      <c r="AO33" s="84"/>
      <c r="AP33" s="89">
        <v>1</v>
      </c>
      <c r="AQ33" s="86">
        <v>0</v>
      </c>
      <c r="AR33" s="139">
        <f>(AQ33*1005)/AP33</f>
        <v>0</v>
      </c>
      <c r="AS33" s="85">
        <v>6250</v>
      </c>
      <c r="AT33" s="89"/>
      <c r="AU33" s="89"/>
      <c r="AV33" s="89">
        <v>3</v>
      </c>
      <c r="AW33" s="89"/>
      <c r="AX33" s="89"/>
      <c r="AY33" s="85">
        <v>14000</v>
      </c>
      <c r="AZ33" s="89"/>
      <c r="BA33" s="89"/>
      <c r="BB33" s="89">
        <v>4</v>
      </c>
      <c r="BC33" s="89"/>
      <c r="BD33" s="89"/>
      <c r="BE33" s="85">
        <v>18000</v>
      </c>
      <c r="BF33" s="89"/>
      <c r="BG33" s="89"/>
      <c r="BH33" s="89"/>
      <c r="BI33" s="89"/>
      <c r="BJ33" s="89"/>
      <c r="BK33" s="85"/>
      <c r="BL33" s="90"/>
      <c r="BM33" s="90"/>
      <c r="BN33" s="89">
        <v>0</v>
      </c>
      <c r="BO33" s="111">
        <f>+BN33/AP33*100</f>
        <v>0</v>
      </c>
      <c r="BP33" s="132">
        <f>+AS33</f>
        <v>6250</v>
      </c>
      <c r="BQ33" s="89">
        <v>0</v>
      </c>
      <c r="BR33" s="89">
        <f>+BQ33/BP33</f>
        <v>0</v>
      </c>
      <c r="BS33" s="241" t="s">
        <v>359</v>
      </c>
    </row>
    <row r="34" spans="1:71" ht="150">
      <c r="A34" s="159"/>
      <c r="B34" s="161"/>
      <c r="C34" s="161"/>
      <c r="D34" s="160"/>
      <c r="E34" s="17" t="s">
        <v>17</v>
      </c>
      <c r="F34" s="3"/>
      <c r="G34" s="9" t="s">
        <v>145</v>
      </c>
      <c r="H34" s="13" t="s">
        <v>146</v>
      </c>
      <c r="I34" s="13">
        <v>0</v>
      </c>
      <c r="J34" s="13">
        <v>1</v>
      </c>
      <c r="K34" s="13" t="s">
        <v>106</v>
      </c>
      <c r="L34" s="13">
        <v>50</v>
      </c>
      <c r="M34" s="161"/>
      <c r="N34" s="180"/>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9">
        <v>1</v>
      </c>
      <c r="AQ34" s="86">
        <v>0</v>
      </c>
      <c r="AR34" s="139">
        <f>(AQ34*1005)/AP34</f>
        <v>0</v>
      </c>
      <c r="AS34" s="85">
        <v>6250</v>
      </c>
      <c r="AT34" s="89"/>
      <c r="AU34" s="89"/>
      <c r="AV34" s="89">
        <v>0.5</v>
      </c>
      <c r="AW34" s="89"/>
      <c r="AX34" s="89"/>
      <c r="AY34" s="85">
        <v>14000</v>
      </c>
      <c r="AZ34" s="89"/>
      <c r="BA34" s="89"/>
      <c r="BB34" s="89">
        <v>1</v>
      </c>
      <c r="BC34" s="89"/>
      <c r="BD34" s="89"/>
      <c r="BE34" s="85">
        <v>18000</v>
      </c>
      <c r="BF34" s="89"/>
      <c r="BG34" s="89"/>
      <c r="BH34" s="89">
        <v>1</v>
      </c>
      <c r="BI34" s="89"/>
      <c r="BJ34" s="89"/>
      <c r="BK34" s="85">
        <v>43840</v>
      </c>
      <c r="BL34" s="90"/>
      <c r="BM34" s="90"/>
      <c r="BN34" s="89">
        <v>0</v>
      </c>
      <c r="BO34" s="111">
        <f>+BN34/AP34*100</f>
        <v>0</v>
      </c>
      <c r="BP34" s="132">
        <f>+AS34</f>
        <v>6250</v>
      </c>
      <c r="BQ34" s="89">
        <v>0</v>
      </c>
      <c r="BR34" s="89">
        <f>+BQ34/BP34</f>
        <v>0</v>
      </c>
      <c r="BS34" s="242"/>
    </row>
    <row r="35" spans="1:71" ht="36">
      <c r="A35" s="159"/>
      <c r="B35" s="161"/>
      <c r="C35" s="161"/>
      <c r="D35" s="10" t="s">
        <v>18</v>
      </c>
      <c r="E35" s="10"/>
      <c r="F35" s="10" t="s">
        <v>189</v>
      </c>
      <c r="G35" s="14" t="s">
        <v>208</v>
      </c>
      <c r="H35" s="30"/>
      <c r="I35" s="32"/>
      <c r="J35" s="32"/>
      <c r="K35" s="32"/>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9"/>
      <c r="AZ35" s="31"/>
      <c r="BA35" s="31"/>
      <c r="BB35" s="31"/>
      <c r="BC35" s="31"/>
      <c r="BD35" s="31"/>
      <c r="BE35" s="39"/>
      <c r="BF35" s="31"/>
      <c r="BG35" s="31"/>
      <c r="BH35" s="31"/>
      <c r="BI35" s="31"/>
      <c r="BJ35" s="31"/>
      <c r="BK35" s="39"/>
      <c r="BL35" s="31"/>
      <c r="BM35" s="31"/>
      <c r="BN35" s="31"/>
      <c r="BO35" s="31"/>
      <c r="BP35" s="31"/>
      <c r="BQ35" s="31"/>
      <c r="BR35" s="31"/>
      <c r="BS35" s="31"/>
    </row>
    <row r="36" spans="1:71" ht="102" customHeight="1">
      <c r="A36" s="159"/>
      <c r="B36" s="161"/>
      <c r="C36" s="161"/>
      <c r="D36" s="160"/>
      <c r="E36" s="17" t="s">
        <v>19</v>
      </c>
      <c r="F36" s="3"/>
      <c r="G36" s="9" t="s">
        <v>147</v>
      </c>
      <c r="H36" s="13" t="s">
        <v>148</v>
      </c>
      <c r="I36" s="13" t="s">
        <v>122</v>
      </c>
      <c r="J36" s="13">
        <v>70</v>
      </c>
      <c r="K36" s="13" t="s">
        <v>107</v>
      </c>
      <c r="L36" s="13">
        <v>20</v>
      </c>
      <c r="M36" s="161">
        <v>51</v>
      </c>
      <c r="N36" s="180" t="s">
        <v>209</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89">
        <v>70</v>
      </c>
      <c r="AQ36" s="89">
        <v>25</v>
      </c>
      <c r="AR36" s="148">
        <f>+AQ36/AP36</f>
        <v>0.35714285714285715</v>
      </c>
      <c r="AS36" s="85">
        <v>28280</v>
      </c>
      <c r="AT36" s="89"/>
      <c r="AU36" s="89"/>
      <c r="AV36" s="89">
        <v>70</v>
      </c>
      <c r="AW36" s="89"/>
      <c r="AX36" s="89"/>
      <c r="AY36" s="85">
        <f>(85625000*20/100)/1000</f>
        <v>17125</v>
      </c>
      <c r="AZ36" s="89"/>
      <c r="BA36" s="89"/>
      <c r="BB36" s="89">
        <v>70</v>
      </c>
      <c r="BC36" s="89"/>
      <c r="BD36" s="89"/>
      <c r="BE36" s="85">
        <f>(156300000*20/100)/1000</f>
        <v>31260</v>
      </c>
      <c r="BF36" s="89"/>
      <c r="BG36" s="89"/>
      <c r="BH36" s="89">
        <v>70</v>
      </c>
      <c r="BI36" s="89"/>
      <c r="BJ36" s="89"/>
      <c r="BK36" s="85">
        <f>(188187500*20/100)/1000</f>
        <v>37637.5</v>
      </c>
      <c r="BL36" s="90"/>
      <c r="BM36" s="90"/>
      <c r="BN36" s="89">
        <v>25</v>
      </c>
      <c r="BO36" s="130">
        <f>+BN36/AP36*100</f>
        <v>35.714285714285715</v>
      </c>
      <c r="BP36" s="132">
        <f>+AS36</f>
        <v>28280</v>
      </c>
      <c r="BQ36" s="89">
        <v>25000</v>
      </c>
      <c r="BR36" s="135">
        <f>+BQ36/BP36</f>
        <v>0.884016973125884</v>
      </c>
      <c r="BS36" s="91" t="s">
        <v>363</v>
      </c>
    </row>
    <row r="37" spans="1:71" ht="72" customHeight="1">
      <c r="A37" s="159"/>
      <c r="B37" s="161"/>
      <c r="C37" s="161"/>
      <c r="D37" s="160"/>
      <c r="E37" s="17" t="s">
        <v>20</v>
      </c>
      <c r="F37" s="3"/>
      <c r="G37" s="9" t="s">
        <v>149</v>
      </c>
      <c r="H37" s="13" t="s">
        <v>150</v>
      </c>
      <c r="I37" s="13">
        <v>0</v>
      </c>
      <c r="J37" s="13">
        <v>1</v>
      </c>
      <c r="K37" s="13" t="s">
        <v>107</v>
      </c>
      <c r="L37" s="13">
        <v>15</v>
      </c>
      <c r="M37" s="161"/>
      <c r="N37" s="180"/>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89">
        <v>1</v>
      </c>
      <c r="AQ37" s="89">
        <v>0</v>
      </c>
      <c r="AR37" s="139">
        <f>(AQ37*1005)/AP37</f>
        <v>0</v>
      </c>
      <c r="AS37" s="85">
        <v>21210</v>
      </c>
      <c r="AT37" s="89"/>
      <c r="AU37" s="89"/>
      <c r="AV37" s="89">
        <v>1</v>
      </c>
      <c r="AW37" s="89"/>
      <c r="AX37" s="89"/>
      <c r="AY37" s="85">
        <f>(85625000*15/100)/1000</f>
        <v>12843.75</v>
      </c>
      <c r="AZ37" s="89"/>
      <c r="BA37" s="89"/>
      <c r="BB37" s="89">
        <v>1</v>
      </c>
      <c r="BC37" s="89"/>
      <c r="BD37" s="89"/>
      <c r="BE37" s="85">
        <f>(156300000*15/100)/1000</f>
        <v>23445</v>
      </c>
      <c r="BF37" s="89"/>
      <c r="BG37" s="89"/>
      <c r="BH37" s="89">
        <v>1</v>
      </c>
      <c r="BI37" s="89"/>
      <c r="BJ37" s="89"/>
      <c r="BK37" s="85">
        <f>(188187500*15/100)/1000</f>
        <v>28228.125</v>
      </c>
      <c r="BL37" s="90"/>
      <c r="BM37" s="90"/>
      <c r="BN37" s="89">
        <v>0</v>
      </c>
      <c r="BO37" s="130">
        <f>+BN37/AP37*100</f>
        <v>0</v>
      </c>
      <c r="BP37" s="132">
        <f>+AS37</f>
        <v>21210</v>
      </c>
      <c r="BQ37" s="89">
        <v>0</v>
      </c>
      <c r="BR37" s="137">
        <f>+BQ37/BP37</f>
        <v>0</v>
      </c>
      <c r="BS37" s="91"/>
    </row>
    <row r="38" spans="1:71" ht="156" customHeight="1">
      <c r="A38" s="159"/>
      <c r="B38" s="161"/>
      <c r="C38" s="161"/>
      <c r="D38" s="160"/>
      <c r="E38" s="17" t="s">
        <v>21</v>
      </c>
      <c r="F38" s="3"/>
      <c r="G38" s="9" t="s">
        <v>151</v>
      </c>
      <c r="H38" s="13" t="s">
        <v>152</v>
      </c>
      <c r="I38" s="13">
        <v>0.5</v>
      </c>
      <c r="J38" s="13">
        <v>0.6</v>
      </c>
      <c r="K38" s="13" t="s">
        <v>107</v>
      </c>
      <c r="L38" s="13">
        <v>35</v>
      </c>
      <c r="M38" s="161"/>
      <c r="N38" s="180"/>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89">
        <v>0.6</v>
      </c>
      <c r="AQ38" s="89">
        <f>+BN38</f>
        <v>0.05</v>
      </c>
      <c r="AR38" s="139">
        <f>+AQ38/AP38</f>
        <v>0.08333333333333334</v>
      </c>
      <c r="AS38" s="85">
        <v>49490</v>
      </c>
      <c r="AT38" s="89"/>
      <c r="AU38" s="89"/>
      <c r="AV38" s="89">
        <v>0.6</v>
      </c>
      <c r="AW38" s="89"/>
      <c r="AX38" s="89"/>
      <c r="AY38" s="85">
        <f>(85625000*35/100)/1000</f>
        <v>29968.75</v>
      </c>
      <c r="AZ38" s="89"/>
      <c r="BA38" s="89"/>
      <c r="BB38" s="89">
        <v>0.6</v>
      </c>
      <c r="BC38" s="89"/>
      <c r="BD38" s="89"/>
      <c r="BE38" s="85">
        <f>(156300000*35/100)/1000</f>
        <v>54705</v>
      </c>
      <c r="BF38" s="89"/>
      <c r="BG38" s="89"/>
      <c r="BH38" s="89">
        <v>0.6</v>
      </c>
      <c r="BI38" s="89"/>
      <c r="BJ38" s="89"/>
      <c r="BK38" s="85">
        <f>(188187500*35/100)/1000</f>
        <v>65865.625</v>
      </c>
      <c r="BL38" s="90"/>
      <c r="BM38" s="90"/>
      <c r="BN38" s="89">
        <v>0.05</v>
      </c>
      <c r="BO38" s="131">
        <f>+BN38/AP38*100</f>
        <v>8.333333333333334</v>
      </c>
      <c r="BP38" s="132">
        <f>+AS38</f>
        <v>49490</v>
      </c>
      <c r="BQ38" s="89">
        <v>25100</v>
      </c>
      <c r="BR38" s="136">
        <f>+BQ38/BP38</f>
        <v>0.5071731662962214</v>
      </c>
      <c r="BS38" s="91" t="s">
        <v>0</v>
      </c>
    </row>
    <row r="39" spans="1:71" ht="209.25" customHeight="1">
      <c r="A39" s="159"/>
      <c r="B39" s="161"/>
      <c r="C39" s="161"/>
      <c r="D39" s="160"/>
      <c r="E39" s="17" t="s">
        <v>22</v>
      </c>
      <c r="F39" s="3"/>
      <c r="G39" s="9" t="s">
        <v>153</v>
      </c>
      <c r="H39" s="13" t="s">
        <v>154</v>
      </c>
      <c r="I39" s="13">
        <v>0</v>
      </c>
      <c r="J39" s="13">
        <v>13</v>
      </c>
      <c r="K39" s="13" t="s">
        <v>107</v>
      </c>
      <c r="L39" s="13">
        <v>30</v>
      </c>
      <c r="M39" s="161"/>
      <c r="N39" s="180"/>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89">
        <v>13</v>
      </c>
      <c r="AQ39" s="137">
        <v>5</v>
      </c>
      <c r="AR39" s="139">
        <f>+AQ39/AP39</f>
        <v>0.38461538461538464</v>
      </c>
      <c r="AS39" s="85">
        <v>42420</v>
      </c>
      <c r="AT39" s="89"/>
      <c r="AU39" s="89"/>
      <c r="AV39" s="89">
        <v>13</v>
      </c>
      <c r="AW39" s="89"/>
      <c r="AX39" s="89"/>
      <c r="AY39" s="85">
        <f>(85625000*30/100)/1000</f>
        <v>25687.5</v>
      </c>
      <c r="AZ39" s="89"/>
      <c r="BA39" s="89"/>
      <c r="BB39" s="89">
        <v>13</v>
      </c>
      <c r="BC39" s="89"/>
      <c r="BD39" s="89"/>
      <c r="BE39" s="85">
        <f>(156300000*30/100)/1000</f>
        <v>46890</v>
      </c>
      <c r="BF39" s="89"/>
      <c r="BG39" s="89"/>
      <c r="BH39" s="89">
        <v>13</v>
      </c>
      <c r="BI39" s="89"/>
      <c r="BJ39" s="89"/>
      <c r="BK39" s="85">
        <f>(188187500*30/100)/1000</f>
        <v>56456.25</v>
      </c>
      <c r="BL39" s="90"/>
      <c r="BM39" s="90"/>
      <c r="BN39" s="89">
        <v>5</v>
      </c>
      <c r="BO39" s="154">
        <f>+BN39/AP39*100</f>
        <v>38.46153846153847</v>
      </c>
      <c r="BP39" s="132">
        <f>+AS39</f>
        <v>42420</v>
      </c>
      <c r="BQ39" s="89">
        <v>10000</v>
      </c>
      <c r="BR39" s="135">
        <f>+BQ39/BP39</f>
        <v>0.23573785950023574</v>
      </c>
      <c r="BS39" s="134" t="s">
        <v>1</v>
      </c>
    </row>
    <row r="40" spans="1:71" ht="72">
      <c r="A40" s="159"/>
      <c r="B40" s="161"/>
      <c r="C40" s="161"/>
      <c r="D40" s="10" t="s">
        <v>23</v>
      </c>
      <c r="E40" s="10"/>
      <c r="F40" s="10" t="s">
        <v>189</v>
      </c>
      <c r="G40" s="14" t="s">
        <v>210</v>
      </c>
      <c r="H40" s="30"/>
      <c r="I40" s="32"/>
      <c r="J40" s="32"/>
      <c r="K40" s="32"/>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9"/>
      <c r="AZ40" s="31"/>
      <c r="BA40" s="31"/>
      <c r="BB40" s="31"/>
      <c r="BC40" s="31"/>
      <c r="BD40" s="31"/>
      <c r="BE40" s="39"/>
      <c r="BF40" s="31"/>
      <c r="BG40" s="31"/>
      <c r="BH40" s="31"/>
      <c r="BI40" s="31"/>
      <c r="BJ40" s="31"/>
      <c r="BK40" s="39"/>
      <c r="BL40" s="31"/>
      <c r="BM40" s="31"/>
      <c r="BN40" s="31"/>
      <c r="BO40" s="31"/>
      <c r="BP40" s="31"/>
      <c r="BQ40" s="31"/>
      <c r="BR40" s="31"/>
      <c r="BS40" s="31"/>
    </row>
    <row r="41" spans="1:71" ht="106.5" customHeight="1">
      <c r="A41" s="159"/>
      <c r="B41" s="161"/>
      <c r="C41" s="161"/>
      <c r="D41" s="160"/>
      <c r="E41" s="17" t="s">
        <v>24</v>
      </c>
      <c r="F41" s="3"/>
      <c r="G41" s="9" t="s">
        <v>155</v>
      </c>
      <c r="H41" s="13" t="s">
        <v>156</v>
      </c>
      <c r="I41" s="13">
        <v>0</v>
      </c>
      <c r="J41" s="13">
        <v>1</v>
      </c>
      <c r="K41" s="13" t="s">
        <v>106</v>
      </c>
      <c r="L41" s="13">
        <v>40</v>
      </c>
      <c r="M41" s="161">
        <v>52</v>
      </c>
      <c r="N41" s="180" t="s">
        <v>211</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89">
        <v>0.5</v>
      </c>
      <c r="AQ41" s="89">
        <v>0</v>
      </c>
      <c r="AR41" s="139">
        <f>(AQ41*1005)/AP41</f>
        <v>0</v>
      </c>
      <c r="AS41" s="85">
        <v>5000</v>
      </c>
      <c r="AT41" s="89"/>
      <c r="AU41" s="89"/>
      <c r="AV41" s="89">
        <v>0.5</v>
      </c>
      <c r="AW41" s="89"/>
      <c r="AX41" s="89"/>
      <c r="AY41" s="85">
        <v>8000</v>
      </c>
      <c r="AZ41" s="89"/>
      <c r="BA41" s="89"/>
      <c r="BB41" s="89">
        <v>1</v>
      </c>
      <c r="BC41" s="89"/>
      <c r="BD41" s="89"/>
      <c r="BE41" s="85">
        <v>8000</v>
      </c>
      <c r="BF41" s="89"/>
      <c r="BG41" s="89"/>
      <c r="BH41" s="89">
        <v>1</v>
      </c>
      <c r="BI41" s="89"/>
      <c r="BJ41" s="89"/>
      <c r="BK41" s="85">
        <v>8000</v>
      </c>
      <c r="BL41" s="90"/>
      <c r="BM41" s="90"/>
      <c r="BN41" s="89">
        <v>0</v>
      </c>
      <c r="BO41" s="111">
        <f>+BN41/AP41*100</f>
        <v>0</v>
      </c>
      <c r="BP41" s="132">
        <f>+AS41</f>
        <v>5000</v>
      </c>
      <c r="BQ41" s="89">
        <v>0</v>
      </c>
      <c r="BR41" s="89">
        <f>+BQ41/BP41</f>
        <v>0</v>
      </c>
      <c r="BS41" s="133"/>
    </row>
    <row r="42" spans="1:71" ht="120.75" customHeight="1">
      <c r="A42" s="159"/>
      <c r="B42" s="161"/>
      <c r="C42" s="161"/>
      <c r="D42" s="160"/>
      <c r="E42" s="17" t="s">
        <v>25</v>
      </c>
      <c r="F42" s="3"/>
      <c r="G42" s="9" t="s">
        <v>112</v>
      </c>
      <c r="H42" s="6" t="s">
        <v>113</v>
      </c>
      <c r="I42" s="7">
        <v>4</v>
      </c>
      <c r="J42" s="7">
        <v>13</v>
      </c>
      <c r="K42" s="13" t="s">
        <v>107</v>
      </c>
      <c r="L42" s="13">
        <v>60</v>
      </c>
      <c r="M42" s="161"/>
      <c r="N42" s="180"/>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89">
        <v>13</v>
      </c>
      <c r="AQ42" s="89">
        <v>0</v>
      </c>
      <c r="AR42" s="139">
        <f>(AQ42*1005)/AP42</f>
        <v>0</v>
      </c>
      <c r="AS42" s="85">
        <v>7500</v>
      </c>
      <c r="AT42" s="89"/>
      <c r="AU42" s="89"/>
      <c r="AV42" s="89">
        <v>13</v>
      </c>
      <c r="AW42" s="89"/>
      <c r="AX42" s="89"/>
      <c r="AY42" s="85">
        <v>12000</v>
      </c>
      <c r="AZ42" s="89"/>
      <c r="BA42" s="89"/>
      <c r="BB42" s="89">
        <v>13</v>
      </c>
      <c r="BC42" s="89"/>
      <c r="BD42" s="89"/>
      <c r="BE42" s="85">
        <v>12000</v>
      </c>
      <c r="BF42" s="89"/>
      <c r="BG42" s="89"/>
      <c r="BH42" s="89">
        <v>13</v>
      </c>
      <c r="BI42" s="89"/>
      <c r="BJ42" s="89"/>
      <c r="BK42" s="85">
        <v>12000</v>
      </c>
      <c r="BL42" s="90"/>
      <c r="BM42" s="90"/>
      <c r="BN42" s="89">
        <v>0</v>
      </c>
      <c r="BO42" s="111">
        <f>+BN42/AP42*100</f>
        <v>0</v>
      </c>
      <c r="BP42" s="132">
        <f>+AS42</f>
        <v>7500</v>
      </c>
      <c r="BQ42" s="89">
        <v>0</v>
      </c>
      <c r="BR42" s="89">
        <f>+BQ42/BP42</f>
        <v>0</v>
      </c>
      <c r="BS42" s="91"/>
    </row>
    <row r="43" spans="1:71" ht="18.75">
      <c r="A43" s="159"/>
      <c r="B43" s="22"/>
      <c r="C43" s="22"/>
      <c r="D43" s="22"/>
      <c r="E43" s="22"/>
      <c r="F43" s="22" t="s">
        <v>189</v>
      </c>
      <c r="G43" s="23" t="s">
        <v>212</v>
      </c>
      <c r="H43" s="24"/>
      <c r="I43" s="26"/>
      <c r="J43" s="26"/>
      <c r="K43" s="26"/>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37"/>
      <c r="AZ43" s="25"/>
      <c r="BA43" s="25"/>
      <c r="BB43" s="25"/>
      <c r="BC43" s="25"/>
      <c r="BD43" s="25"/>
      <c r="BE43" s="37"/>
      <c r="BF43" s="25"/>
      <c r="BG43" s="25"/>
      <c r="BH43" s="25"/>
      <c r="BI43" s="25"/>
      <c r="BJ43" s="25"/>
      <c r="BK43" s="37"/>
      <c r="BL43" s="25"/>
      <c r="BM43" s="25"/>
      <c r="BN43" s="25"/>
      <c r="BO43" s="25"/>
      <c r="BP43" s="25"/>
      <c r="BQ43" s="25"/>
      <c r="BR43" s="25"/>
      <c r="BS43" s="25"/>
    </row>
    <row r="44" spans="1:71" ht="18.75">
      <c r="A44" s="159"/>
      <c r="B44" s="16" t="s">
        <v>213</v>
      </c>
      <c r="C44" s="16"/>
      <c r="D44" s="16"/>
      <c r="E44" s="16"/>
      <c r="F44" s="16" t="s">
        <v>189</v>
      </c>
      <c r="G44" s="5" t="s">
        <v>214</v>
      </c>
      <c r="H44" s="27"/>
      <c r="I44" s="29"/>
      <c r="J44" s="29"/>
      <c r="K44" s="29"/>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38"/>
      <c r="AZ44" s="28"/>
      <c r="BA44" s="28"/>
      <c r="BB44" s="28"/>
      <c r="BC44" s="28"/>
      <c r="BD44" s="28"/>
      <c r="BE44" s="38"/>
      <c r="BF44" s="28"/>
      <c r="BG44" s="28"/>
      <c r="BH44" s="28"/>
      <c r="BI44" s="28"/>
      <c r="BJ44" s="28"/>
      <c r="BK44" s="38"/>
      <c r="BL44" s="28"/>
      <c r="BM44" s="28"/>
      <c r="BN44" s="28"/>
      <c r="BO44" s="28"/>
      <c r="BP44" s="28"/>
      <c r="BQ44" s="28"/>
      <c r="BR44" s="28"/>
      <c r="BS44" s="28"/>
    </row>
    <row r="45" spans="1:71" ht="54">
      <c r="A45" s="159"/>
      <c r="B45" s="161"/>
      <c r="C45" s="16" t="s">
        <v>27</v>
      </c>
      <c r="D45" s="16"/>
      <c r="E45" s="16"/>
      <c r="F45" s="16" t="s">
        <v>189</v>
      </c>
      <c r="G45" s="5" t="s">
        <v>215</v>
      </c>
      <c r="H45" s="27"/>
      <c r="I45" s="29"/>
      <c r="J45" s="29"/>
      <c r="K45" s="29"/>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38"/>
      <c r="AZ45" s="28"/>
      <c r="BA45" s="28"/>
      <c r="BB45" s="28"/>
      <c r="BC45" s="28"/>
      <c r="BD45" s="28"/>
      <c r="BE45" s="38"/>
      <c r="BF45" s="28"/>
      <c r="BG45" s="28"/>
      <c r="BH45" s="28"/>
      <c r="BI45" s="28"/>
      <c r="BJ45" s="28"/>
      <c r="BK45" s="38"/>
      <c r="BL45" s="28"/>
      <c r="BM45" s="28"/>
      <c r="BN45" s="28"/>
      <c r="BO45" s="28"/>
      <c r="BP45" s="28"/>
      <c r="BQ45" s="28"/>
      <c r="BR45" s="28"/>
      <c r="BS45" s="28"/>
    </row>
    <row r="46" spans="1:71" ht="36">
      <c r="A46" s="159"/>
      <c r="B46" s="161"/>
      <c r="C46" s="161"/>
      <c r="D46" s="10" t="s">
        <v>28</v>
      </c>
      <c r="E46" s="10"/>
      <c r="F46" s="10" t="s">
        <v>189</v>
      </c>
      <c r="G46" s="14" t="s">
        <v>216</v>
      </c>
      <c r="H46" s="30"/>
      <c r="I46" s="32"/>
      <c r="J46" s="32"/>
      <c r="K46" s="32"/>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9"/>
      <c r="AZ46" s="31"/>
      <c r="BA46" s="31"/>
      <c r="BB46" s="31"/>
      <c r="BC46" s="31"/>
      <c r="BD46" s="31"/>
      <c r="BE46" s="39"/>
      <c r="BF46" s="31"/>
      <c r="BG46" s="31"/>
      <c r="BH46" s="31"/>
      <c r="BI46" s="31"/>
      <c r="BJ46" s="31"/>
      <c r="BK46" s="39"/>
      <c r="BL46" s="31"/>
      <c r="BM46" s="31"/>
      <c r="BN46" s="31"/>
      <c r="BO46" s="31"/>
      <c r="BP46" s="31"/>
      <c r="BQ46" s="31"/>
      <c r="BR46" s="31"/>
      <c r="BS46" s="31"/>
    </row>
    <row r="47" spans="1:71" s="19" customFormat="1" ht="80.25" customHeight="1">
      <c r="A47" s="159"/>
      <c r="B47" s="161"/>
      <c r="C47" s="161"/>
      <c r="D47" s="161"/>
      <c r="E47" s="18" t="s">
        <v>29</v>
      </c>
      <c r="F47" s="18" t="s">
        <v>189</v>
      </c>
      <c r="G47" s="8" t="s">
        <v>157</v>
      </c>
      <c r="H47" s="13" t="s">
        <v>158</v>
      </c>
      <c r="I47" s="13">
        <v>1</v>
      </c>
      <c r="J47" s="13">
        <v>4</v>
      </c>
      <c r="K47" s="13" t="s">
        <v>106</v>
      </c>
      <c r="L47" s="92">
        <v>60</v>
      </c>
      <c r="M47" s="158">
        <v>67</v>
      </c>
      <c r="N47" s="191" t="s">
        <v>217</v>
      </c>
      <c r="O47" s="176">
        <v>283014</v>
      </c>
      <c r="P47" s="176">
        <v>272822</v>
      </c>
      <c r="Q47" s="44"/>
      <c r="R47" s="44"/>
      <c r="S47" s="176">
        <v>49582</v>
      </c>
      <c r="T47" s="44"/>
      <c r="U47" s="44"/>
      <c r="V47" s="176">
        <v>270</v>
      </c>
      <c r="W47" s="176">
        <v>13609</v>
      </c>
      <c r="X47" s="44"/>
      <c r="Y47" s="44"/>
      <c r="Z47" s="44"/>
      <c r="AA47" s="44"/>
      <c r="AB47" s="44"/>
      <c r="AC47" s="44"/>
      <c r="AD47" s="44"/>
      <c r="AE47" s="44"/>
      <c r="AF47" s="44"/>
      <c r="AG47" s="44"/>
      <c r="AH47" s="44"/>
      <c r="AI47" s="44"/>
      <c r="AJ47" s="44"/>
      <c r="AK47" s="44"/>
      <c r="AL47" s="44"/>
      <c r="AM47" s="44"/>
      <c r="AN47" s="176">
        <v>555836</v>
      </c>
      <c r="AO47" s="44"/>
      <c r="AP47" s="86">
        <v>1</v>
      </c>
      <c r="AQ47" s="86">
        <v>0</v>
      </c>
      <c r="AR47" s="139">
        <f>(AQ47*1005)/AP47</f>
        <v>0</v>
      </c>
      <c r="AS47" s="87">
        <f>41511.287*L47/100</f>
        <v>24906.772199999996</v>
      </c>
      <c r="AT47" s="86"/>
      <c r="AU47" s="86"/>
      <c r="AV47" s="86">
        <v>1</v>
      </c>
      <c r="AW47" s="86"/>
      <c r="AX47" s="86"/>
      <c r="AY47" s="87">
        <f>60000*L47/100</f>
        <v>36000</v>
      </c>
      <c r="AZ47" s="86"/>
      <c r="BA47" s="86"/>
      <c r="BB47" s="86">
        <v>1</v>
      </c>
      <c r="BC47" s="86"/>
      <c r="BD47" s="86"/>
      <c r="BE47" s="87">
        <f>75000*L47/100</f>
        <v>45000</v>
      </c>
      <c r="BF47" s="86"/>
      <c r="BG47" s="86"/>
      <c r="BH47" s="86">
        <v>1</v>
      </c>
      <c r="BI47" s="86"/>
      <c r="BJ47" s="86"/>
      <c r="BK47" s="87">
        <f>70000*L47/100</f>
        <v>42000</v>
      </c>
      <c r="BL47" s="88"/>
      <c r="BM47" s="88"/>
      <c r="BN47" s="86">
        <v>0.33</v>
      </c>
      <c r="BO47" s="111">
        <f>+BN47/AP47*100</f>
        <v>33</v>
      </c>
      <c r="BP47" s="126">
        <f>+AS47</f>
        <v>24906.772199999996</v>
      </c>
      <c r="BQ47" s="86">
        <v>8333</v>
      </c>
      <c r="BR47" s="135">
        <f>+BQ47/BP47</f>
        <v>0.3345676402018886</v>
      </c>
      <c r="BS47" s="150" t="s">
        <v>365</v>
      </c>
    </row>
    <row r="48" spans="1:71" s="19" customFormat="1" ht="117" customHeight="1">
      <c r="A48" s="159"/>
      <c r="B48" s="161"/>
      <c r="C48" s="161"/>
      <c r="D48" s="161"/>
      <c r="E48" s="18" t="s">
        <v>30</v>
      </c>
      <c r="F48" s="7"/>
      <c r="G48" s="12" t="s">
        <v>159</v>
      </c>
      <c r="H48" s="13" t="s">
        <v>160</v>
      </c>
      <c r="I48" s="13">
        <v>0</v>
      </c>
      <c r="J48" s="13">
        <v>3</v>
      </c>
      <c r="K48" s="13" t="s">
        <v>106</v>
      </c>
      <c r="L48" s="92">
        <v>15</v>
      </c>
      <c r="M48" s="159"/>
      <c r="N48" s="192"/>
      <c r="O48" s="176"/>
      <c r="P48" s="176"/>
      <c r="Q48" s="44"/>
      <c r="R48" s="44"/>
      <c r="S48" s="176"/>
      <c r="T48" s="44"/>
      <c r="U48" s="44"/>
      <c r="V48" s="176"/>
      <c r="W48" s="176"/>
      <c r="X48" s="44"/>
      <c r="Y48" s="44"/>
      <c r="Z48" s="44"/>
      <c r="AA48" s="44"/>
      <c r="AB48" s="44"/>
      <c r="AC48" s="44"/>
      <c r="AD48" s="44"/>
      <c r="AE48" s="44"/>
      <c r="AF48" s="44"/>
      <c r="AG48" s="44"/>
      <c r="AH48" s="44"/>
      <c r="AI48" s="44"/>
      <c r="AJ48" s="44"/>
      <c r="AK48" s="44"/>
      <c r="AL48" s="44"/>
      <c r="AM48" s="44"/>
      <c r="AN48" s="176"/>
      <c r="AO48" s="44"/>
      <c r="AP48" s="86">
        <v>0.2</v>
      </c>
      <c r="AQ48" s="86">
        <v>0</v>
      </c>
      <c r="AR48" s="139">
        <f>(AQ48*1005)/AP48</f>
        <v>0</v>
      </c>
      <c r="AS48" s="87">
        <f>41511.287*L48/100</f>
        <v>6226.693049999999</v>
      </c>
      <c r="AT48" s="86"/>
      <c r="AU48" s="86"/>
      <c r="AV48" s="86">
        <v>0.8</v>
      </c>
      <c r="AW48" s="86"/>
      <c r="AX48" s="86"/>
      <c r="AY48" s="87">
        <f>60000*L48/100</f>
        <v>9000</v>
      </c>
      <c r="AZ48" s="86"/>
      <c r="BA48" s="86"/>
      <c r="BB48" s="86">
        <v>1</v>
      </c>
      <c r="BC48" s="86"/>
      <c r="BD48" s="86"/>
      <c r="BE48" s="87">
        <f>75000*L48/100</f>
        <v>11250</v>
      </c>
      <c r="BF48" s="86"/>
      <c r="BG48" s="86"/>
      <c r="BH48" s="86">
        <v>1</v>
      </c>
      <c r="BI48" s="86"/>
      <c r="BJ48" s="86"/>
      <c r="BK48" s="87">
        <f>70000*L48/100</f>
        <v>10500</v>
      </c>
      <c r="BL48" s="88"/>
      <c r="BM48" s="88"/>
      <c r="BN48" s="86">
        <v>0</v>
      </c>
      <c r="BO48" s="111">
        <f>+BN48/AP48*100</f>
        <v>0</v>
      </c>
      <c r="BP48" s="126">
        <f>+AS48</f>
        <v>6226.693049999999</v>
      </c>
      <c r="BQ48" s="86">
        <v>0</v>
      </c>
      <c r="BR48" s="89">
        <f>+BQ48/BP48</f>
        <v>0</v>
      </c>
      <c r="BS48" s="91"/>
    </row>
    <row r="49" spans="1:71" s="19" customFormat="1" ht="117" customHeight="1">
      <c r="A49" s="159"/>
      <c r="B49" s="161"/>
      <c r="C49" s="161"/>
      <c r="D49" s="161"/>
      <c r="E49" s="18" t="s">
        <v>31</v>
      </c>
      <c r="F49" s="7"/>
      <c r="G49" s="12" t="s">
        <v>161</v>
      </c>
      <c r="H49" s="13" t="s">
        <v>162</v>
      </c>
      <c r="I49" s="13">
        <v>0</v>
      </c>
      <c r="J49" s="13">
        <v>4</v>
      </c>
      <c r="K49" s="13" t="s">
        <v>106</v>
      </c>
      <c r="L49" s="92">
        <v>25</v>
      </c>
      <c r="M49" s="181"/>
      <c r="N49" s="193"/>
      <c r="O49" s="176"/>
      <c r="P49" s="176"/>
      <c r="Q49" s="83"/>
      <c r="R49" s="83"/>
      <c r="S49" s="176"/>
      <c r="T49" s="83"/>
      <c r="U49" s="83"/>
      <c r="V49" s="176"/>
      <c r="W49" s="176"/>
      <c r="X49" s="83"/>
      <c r="Y49" s="83"/>
      <c r="Z49" s="83"/>
      <c r="AA49" s="83"/>
      <c r="AB49" s="83"/>
      <c r="AC49" s="83"/>
      <c r="AD49" s="83"/>
      <c r="AE49" s="83"/>
      <c r="AF49" s="83"/>
      <c r="AG49" s="83"/>
      <c r="AH49" s="83"/>
      <c r="AI49" s="83"/>
      <c r="AJ49" s="83"/>
      <c r="AK49" s="83"/>
      <c r="AL49" s="83"/>
      <c r="AM49" s="83"/>
      <c r="AN49" s="176"/>
      <c r="AO49" s="83"/>
      <c r="AP49" s="93">
        <v>0.2</v>
      </c>
      <c r="AQ49" s="93">
        <v>0</v>
      </c>
      <c r="AR49" s="139">
        <f>(AQ49*1005)/AP49</f>
        <v>0</v>
      </c>
      <c r="AS49" s="87">
        <f>41511.287*L49/100</f>
        <v>10377.82175</v>
      </c>
      <c r="AT49" s="93"/>
      <c r="AU49" s="93"/>
      <c r="AV49" s="86">
        <v>0.8</v>
      </c>
      <c r="AW49" s="93"/>
      <c r="AX49" s="93"/>
      <c r="AY49" s="87">
        <f>60000*L49/100</f>
        <v>15000</v>
      </c>
      <c r="AZ49" s="93"/>
      <c r="BA49" s="93"/>
      <c r="BB49" s="93">
        <v>2</v>
      </c>
      <c r="BC49" s="93"/>
      <c r="BD49" s="93"/>
      <c r="BE49" s="87">
        <f>75000*L49/100</f>
        <v>18750</v>
      </c>
      <c r="BF49" s="93"/>
      <c r="BG49" s="93"/>
      <c r="BH49" s="93">
        <v>1</v>
      </c>
      <c r="BI49" s="93"/>
      <c r="BJ49" s="93"/>
      <c r="BK49" s="87">
        <f>70000*L49/100</f>
        <v>17500</v>
      </c>
      <c r="BL49" s="94"/>
      <c r="BM49" s="94"/>
      <c r="BN49" s="93">
        <v>0</v>
      </c>
      <c r="BO49" s="111">
        <f>+BN49/AP49*100</f>
        <v>0</v>
      </c>
      <c r="BP49" s="138">
        <f>+AS49</f>
        <v>10377.82175</v>
      </c>
      <c r="BQ49" s="93">
        <v>0</v>
      </c>
      <c r="BR49" s="89">
        <f>+BQ49/BP49</f>
        <v>0</v>
      </c>
      <c r="BS49" s="91"/>
    </row>
    <row r="50" spans="1:71" s="19" customFormat="1" ht="36">
      <c r="A50" s="159"/>
      <c r="B50" s="161"/>
      <c r="C50" s="161"/>
      <c r="D50" s="10" t="s">
        <v>32</v>
      </c>
      <c r="E50" s="10"/>
      <c r="F50" s="10" t="s">
        <v>189</v>
      </c>
      <c r="G50" s="41" t="s">
        <v>218</v>
      </c>
      <c r="H50" s="4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43"/>
      <c r="AZ50" s="32"/>
      <c r="BA50" s="32"/>
      <c r="BB50" s="32"/>
      <c r="BC50" s="32"/>
      <c r="BD50" s="32"/>
      <c r="BE50" s="43"/>
      <c r="BF50" s="32"/>
      <c r="BG50" s="32"/>
      <c r="BH50" s="32"/>
      <c r="BI50" s="32"/>
      <c r="BJ50" s="32"/>
      <c r="BK50" s="43"/>
      <c r="BL50" s="32"/>
      <c r="BM50" s="32"/>
      <c r="BN50" s="32"/>
      <c r="BO50" s="32"/>
      <c r="BP50" s="32"/>
      <c r="BQ50" s="32"/>
      <c r="BR50" s="32"/>
      <c r="BS50" s="140"/>
    </row>
    <row r="51" spans="1:75" s="19" customFormat="1" ht="42.75" customHeight="1">
      <c r="A51" s="159"/>
      <c r="B51" s="161"/>
      <c r="C51" s="161"/>
      <c r="D51" s="160"/>
      <c r="E51" s="17" t="s">
        <v>33</v>
      </c>
      <c r="F51" s="7"/>
      <c r="G51" s="12" t="s">
        <v>163</v>
      </c>
      <c r="H51" s="13" t="s">
        <v>164</v>
      </c>
      <c r="I51" s="13">
        <v>0</v>
      </c>
      <c r="J51" s="13">
        <v>80</v>
      </c>
      <c r="K51" s="13" t="s">
        <v>106</v>
      </c>
      <c r="L51" s="13">
        <v>25</v>
      </c>
      <c r="M51" s="161">
        <v>68</v>
      </c>
      <c r="N51" s="182" t="s">
        <v>219</v>
      </c>
      <c r="O51" s="177">
        <v>283014</v>
      </c>
      <c r="P51" s="177">
        <v>272822</v>
      </c>
      <c r="Q51" s="7"/>
      <c r="R51" s="7"/>
      <c r="S51" s="177">
        <v>49582</v>
      </c>
      <c r="T51" s="7"/>
      <c r="U51" s="7"/>
      <c r="V51" s="177">
        <v>270</v>
      </c>
      <c r="W51" s="177">
        <v>13609</v>
      </c>
      <c r="X51" s="7"/>
      <c r="Y51" s="7"/>
      <c r="Z51" s="7"/>
      <c r="AA51" s="7"/>
      <c r="AB51" s="7"/>
      <c r="AC51" s="7"/>
      <c r="AD51" s="7"/>
      <c r="AE51" s="7"/>
      <c r="AF51" s="7"/>
      <c r="AG51" s="7"/>
      <c r="AH51" s="7"/>
      <c r="AI51" s="7"/>
      <c r="AJ51" s="7"/>
      <c r="AK51" s="7"/>
      <c r="AL51" s="7"/>
      <c r="AM51" s="7" t="s">
        <v>109</v>
      </c>
      <c r="AN51" s="177">
        <v>555836</v>
      </c>
      <c r="AO51" s="7"/>
      <c r="AP51" s="86">
        <v>10</v>
      </c>
      <c r="AQ51" s="86">
        <v>2</v>
      </c>
      <c r="AR51" s="139">
        <f>+AQ51/AP51</f>
        <v>0.2</v>
      </c>
      <c r="AS51" s="87">
        <v>7850</v>
      </c>
      <c r="AT51" s="86"/>
      <c r="AU51" s="86"/>
      <c r="AV51" s="86">
        <v>25</v>
      </c>
      <c r="AW51" s="86"/>
      <c r="AX51" s="86"/>
      <c r="AY51" s="87">
        <v>36250</v>
      </c>
      <c r="AZ51" s="86"/>
      <c r="BA51" s="86"/>
      <c r="BB51" s="86">
        <v>30</v>
      </c>
      <c r="BC51" s="86"/>
      <c r="BD51" s="86"/>
      <c r="BE51" s="87">
        <f>(173296999.25*25/100)/1000</f>
        <v>43324.2498125</v>
      </c>
      <c r="BF51" s="86"/>
      <c r="BG51" s="86"/>
      <c r="BH51" s="86">
        <v>15</v>
      </c>
      <c r="BI51" s="86"/>
      <c r="BJ51" s="86"/>
      <c r="BK51" s="87">
        <f>(210000000*25/100)/1000</f>
        <v>52500</v>
      </c>
      <c r="BL51" s="88"/>
      <c r="BM51" s="88"/>
      <c r="BN51" s="86">
        <v>2</v>
      </c>
      <c r="BO51" s="111">
        <f aca="true" t="shared" si="0" ref="BO51:BO56">+BN51/AP51*100</f>
        <v>20</v>
      </c>
      <c r="BP51" s="126">
        <f aca="true" t="shared" si="1" ref="BP51:BP56">+AS51</f>
        <v>7850</v>
      </c>
      <c r="BQ51" s="86">
        <v>2400</v>
      </c>
      <c r="BR51" s="135">
        <f aca="true" t="shared" si="2" ref="BR51:BR56">+BQ51/BP51</f>
        <v>0.3057324840764331</v>
      </c>
      <c r="BS51" s="142" t="s">
        <v>353</v>
      </c>
      <c r="BT51" s="143" t="s">
        <v>354</v>
      </c>
      <c r="BU51" s="144" t="s">
        <v>355</v>
      </c>
      <c r="BV51" s="145"/>
      <c r="BW51" s="145"/>
    </row>
    <row r="52" spans="1:71" s="19" customFormat="1" ht="102" customHeight="1">
      <c r="A52" s="159"/>
      <c r="B52" s="161"/>
      <c r="C52" s="161"/>
      <c r="D52" s="160"/>
      <c r="E52" s="17" t="s">
        <v>34</v>
      </c>
      <c r="F52" s="7"/>
      <c r="G52" s="12" t="s">
        <v>165</v>
      </c>
      <c r="H52" s="13" t="s">
        <v>166</v>
      </c>
      <c r="I52" s="13">
        <v>0</v>
      </c>
      <c r="J52" s="13">
        <v>1</v>
      </c>
      <c r="K52" s="13" t="s">
        <v>107</v>
      </c>
      <c r="L52" s="13">
        <v>20</v>
      </c>
      <c r="M52" s="161"/>
      <c r="N52" s="182"/>
      <c r="O52" s="177"/>
      <c r="P52" s="177"/>
      <c r="Q52" s="7"/>
      <c r="R52" s="7"/>
      <c r="S52" s="177"/>
      <c r="T52" s="7"/>
      <c r="U52" s="7"/>
      <c r="V52" s="177"/>
      <c r="W52" s="177"/>
      <c r="X52" s="7"/>
      <c r="Y52" s="7"/>
      <c r="Z52" s="7"/>
      <c r="AA52" s="7"/>
      <c r="AB52" s="7"/>
      <c r="AC52" s="7"/>
      <c r="AD52" s="7"/>
      <c r="AE52" s="7"/>
      <c r="AF52" s="7"/>
      <c r="AG52" s="7"/>
      <c r="AH52" s="7"/>
      <c r="AI52" s="7"/>
      <c r="AJ52" s="7"/>
      <c r="AK52" s="7"/>
      <c r="AL52" s="7"/>
      <c r="AM52" s="7"/>
      <c r="AN52" s="177"/>
      <c r="AO52" s="7"/>
      <c r="AP52" s="86">
        <v>1</v>
      </c>
      <c r="AQ52" s="86">
        <v>0</v>
      </c>
      <c r="AR52" s="139">
        <f>(AQ52*1005)/AP52</f>
        <v>0</v>
      </c>
      <c r="AS52" s="87">
        <v>6280</v>
      </c>
      <c r="AT52" s="86"/>
      <c r="AU52" s="86"/>
      <c r="AV52" s="86">
        <v>1</v>
      </c>
      <c r="AW52" s="86"/>
      <c r="AX52" s="86"/>
      <c r="AY52" s="87">
        <v>29000</v>
      </c>
      <c r="AZ52" s="86"/>
      <c r="BA52" s="86"/>
      <c r="BB52" s="86">
        <v>1</v>
      </c>
      <c r="BC52" s="86"/>
      <c r="BD52" s="86"/>
      <c r="BE52" s="87">
        <v>51989.1</v>
      </c>
      <c r="BF52" s="86"/>
      <c r="BG52" s="86"/>
      <c r="BH52" s="86">
        <v>1</v>
      </c>
      <c r="BI52" s="86"/>
      <c r="BJ52" s="86"/>
      <c r="BK52" s="87">
        <v>63000</v>
      </c>
      <c r="BL52" s="88"/>
      <c r="BM52" s="88"/>
      <c r="BN52" s="86">
        <v>0</v>
      </c>
      <c r="BO52" s="86">
        <f t="shared" si="0"/>
        <v>0</v>
      </c>
      <c r="BP52" s="126">
        <f t="shared" si="1"/>
        <v>6280</v>
      </c>
      <c r="BQ52" s="86">
        <v>0</v>
      </c>
      <c r="BR52" s="86">
        <f t="shared" si="2"/>
        <v>0</v>
      </c>
      <c r="BS52" s="141"/>
    </row>
    <row r="53" spans="1:71" s="19" customFormat="1" ht="124.5" customHeight="1">
      <c r="A53" s="159"/>
      <c r="B53" s="161"/>
      <c r="C53" s="161"/>
      <c r="D53" s="160"/>
      <c r="E53" s="17" t="s">
        <v>35</v>
      </c>
      <c r="F53" s="7"/>
      <c r="G53" s="12" t="s">
        <v>167</v>
      </c>
      <c r="H53" s="13" t="s">
        <v>168</v>
      </c>
      <c r="I53" s="13">
        <v>0</v>
      </c>
      <c r="J53" s="13">
        <v>1</v>
      </c>
      <c r="K53" s="13" t="s">
        <v>107</v>
      </c>
      <c r="L53" s="13">
        <v>15</v>
      </c>
      <c r="M53" s="161"/>
      <c r="N53" s="182"/>
      <c r="O53" s="177"/>
      <c r="P53" s="177"/>
      <c r="Q53" s="7"/>
      <c r="R53" s="7"/>
      <c r="S53" s="177"/>
      <c r="T53" s="7"/>
      <c r="U53" s="7"/>
      <c r="V53" s="177"/>
      <c r="W53" s="177"/>
      <c r="X53" s="7"/>
      <c r="Y53" s="7"/>
      <c r="Z53" s="7"/>
      <c r="AA53" s="7"/>
      <c r="AB53" s="7"/>
      <c r="AC53" s="7"/>
      <c r="AD53" s="7"/>
      <c r="AE53" s="7"/>
      <c r="AF53" s="7"/>
      <c r="AG53" s="7"/>
      <c r="AH53" s="7"/>
      <c r="AI53" s="7"/>
      <c r="AJ53" s="7"/>
      <c r="AK53" s="7"/>
      <c r="AL53" s="7"/>
      <c r="AM53" s="7"/>
      <c r="AN53" s="177"/>
      <c r="AO53" s="7"/>
      <c r="AP53" s="86">
        <v>1</v>
      </c>
      <c r="AQ53" s="86">
        <v>0</v>
      </c>
      <c r="AR53" s="139">
        <f>(AQ53*1005)/AP53</f>
        <v>0</v>
      </c>
      <c r="AS53" s="87">
        <v>4710</v>
      </c>
      <c r="AT53" s="86"/>
      <c r="AU53" s="86"/>
      <c r="AV53" s="86">
        <v>1</v>
      </c>
      <c r="AW53" s="86"/>
      <c r="AX53" s="86"/>
      <c r="AY53" s="87">
        <v>21750</v>
      </c>
      <c r="AZ53" s="86"/>
      <c r="BA53" s="86"/>
      <c r="BB53" s="86">
        <v>1</v>
      </c>
      <c r="BC53" s="86"/>
      <c r="BD53" s="86"/>
      <c r="BE53" s="87">
        <f>(173296999.25*15/100)/1000</f>
        <v>25994.549887499998</v>
      </c>
      <c r="BF53" s="86"/>
      <c r="BG53" s="86"/>
      <c r="BH53" s="86">
        <v>1</v>
      </c>
      <c r="BI53" s="86"/>
      <c r="BJ53" s="86"/>
      <c r="BK53" s="87">
        <f>(210000000*15/100)/1000</f>
        <v>31500</v>
      </c>
      <c r="BL53" s="88"/>
      <c r="BM53" s="88"/>
      <c r="BN53" s="86">
        <v>0</v>
      </c>
      <c r="BO53" s="86">
        <f t="shared" si="0"/>
        <v>0</v>
      </c>
      <c r="BP53" s="126">
        <f t="shared" si="1"/>
        <v>4710</v>
      </c>
      <c r="BQ53" s="86">
        <v>0</v>
      </c>
      <c r="BR53" s="86">
        <f t="shared" si="2"/>
        <v>0</v>
      </c>
      <c r="BS53" s="86"/>
    </row>
    <row r="54" spans="1:71" s="19" customFormat="1" ht="108" customHeight="1">
      <c r="A54" s="159"/>
      <c r="B54" s="161"/>
      <c r="C54" s="161"/>
      <c r="D54" s="160"/>
      <c r="E54" s="17" t="s">
        <v>36</v>
      </c>
      <c r="F54" s="7"/>
      <c r="G54" s="12" t="s">
        <v>169</v>
      </c>
      <c r="H54" s="13" t="s">
        <v>170</v>
      </c>
      <c r="I54" s="13">
        <v>3</v>
      </c>
      <c r="J54" s="13">
        <v>12</v>
      </c>
      <c r="K54" s="13" t="s">
        <v>106</v>
      </c>
      <c r="L54" s="13">
        <v>10</v>
      </c>
      <c r="M54" s="161"/>
      <c r="N54" s="182"/>
      <c r="O54" s="177"/>
      <c r="P54" s="177"/>
      <c r="Q54" s="7"/>
      <c r="R54" s="7"/>
      <c r="S54" s="177"/>
      <c r="T54" s="7"/>
      <c r="U54" s="7"/>
      <c r="V54" s="177"/>
      <c r="W54" s="177"/>
      <c r="X54" s="7"/>
      <c r="Y54" s="7"/>
      <c r="Z54" s="7"/>
      <c r="AA54" s="7"/>
      <c r="AB54" s="7"/>
      <c r="AC54" s="7"/>
      <c r="AD54" s="7"/>
      <c r="AE54" s="7"/>
      <c r="AF54" s="7"/>
      <c r="AG54" s="7"/>
      <c r="AH54" s="7"/>
      <c r="AI54" s="7"/>
      <c r="AJ54" s="7"/>
      <c r="AK54" s="7"/>
      <c r="AL54" s="7"/>
      <c r="AM54" s="7"/>
      <c r="AN54" s="177"/>
      <c r="AO54" s="7"/>
      <c r="AP54" s="86">
        <v>3</v>
      </c>
      <c r="AQ54" s="86">
        <v>0</v>
      </c>
      <c r="AR54" s="139">
        <f>(AQ54*1005)/AP54</f>
        <v>0</v>
      </c>
      <c r="AS54" s="87">
        <v>3140</v>
      </c>
      <c r="AT54" s="86"/>
      <c r="AU54" s="86"/>
      <c r="AV54" s="86">
        <v>3</v>
      </c>
      <c r="AW54" s="86"/>
      <c r="AX54" s="86"/>
      <c r="AY54" s="87">
        <v>14500</v>
      </c>
      <c r="AZ54" s="86"/>
      <c r="BA54" s="86"/>
      <c r="BB54" s="86">
        <v>3</v>
      </c>
      <c r="BC54" s="86"/>
      <c r="BD54" s="86"/>
      <c r="BE54" s="87">
        <f>(173296999.25*10/100)/1000</f>
        <v>17329.699925</v>
      </c>
      <c r="BF54" s="86"/>
      <c r="BG54" s="86"/>
      <c r="BH54" s="86">
        <v>3</v>
      </c>
      <c r="BI54" s="86"/>
      <c r="BJ54" s="86"/>
      <c r="BK54" s="87">
        <f>(210000000*10/100)/1000</f>
        <v>21000</v>
      </c>
      <c r="BL54" s="88"/>
      <c r="BM54" s="88"/>
      <c r="BN54" s="86">
        <v>0</v>
      </c>
      <c r="BO54" s="86">
        <f t="shared" si="0"/>
        <v>0</v>
      </c>
      <c r="BP54" s="126">
        <f t="shared" si="1"/>
        <v>3140</v>
      </c>
      <c r="BQ54" s="86">
        <v>0</v>
      </c>
      <c r="BR54" s="86">
        <f t="shared" si="2"/>
        <v>0</v>
      </c>
      <c r="BS54" s="86"/>
    </row>
    <row r="55" spans="1:71" s="19" customFormat="1" ht="61.5" customHeight="1">
      <c r="A55" s="159"/>
      <c r="B55" s="161"/>
      <c r="C55" s="161"/>
      <c r="D55" s="160"/>
      <c r="E55" s="17" t="s">
        <v>37</v>
      </c>
      <c r="F55" s="7"/>
      <c r="G55" s="12" t="s">
        <v>171</v>
      </c>
      <c r="H55" s="13" t="s">
        <v>172</v>
      </c>
      <c r="I55" s="13">
        <v>0</v>
      </c>
      <c r="J55" s="13">
        <v>1</v>
      </c>
      <c r="K55" s="13" t="s">
        <v>106</v>
      </c>
      <c r="L55" s="13">
        <v>10</v>
      </c>
      <c r="M55" s="161"/>
      <c r="N55" s="182"/>
      <c r="O55" s="177"/>
      <c r="P55" s="177"/>
      <c r="Q55" s="7"/>
      <c r="R55" s="7"/>
      <c r="S55" s="177"/>
      <c r="T55" s="7"/>
      <c r="U55" s="7"/>
      <c r="V55" s="177"/>
      <c r="W55" s="177"/>
      <c r="X55" s="7"/>
      <c r="Y55" s="7"/>
      <c r="Z55" s="7"/>
      <c r="AA55" s="7"/>
      <c r="AB55" s="7"/>
      <c r="AC55" s="7"/>
      <c r="AD55" s="7"/>
      <c r="AE55" s="7"/>
      <c r="AF55" s="7"/>
      <c r="AG55" s="7"/>
      <c r="AH55" s="7"/>
      <c r="AI55" s="7"/>
      <c r="AJ55" s="7"/>
      <c r="AK55" s="7"/>
      <c r="AL55" s="7"/>
      <c r="AM55" s="7"/>
      <c r="AN55" s="177"/>
      <c r="AO55" s="7"/>
      <c r="AP55" s="86">
        <v>0.3</v>
      </c>
      <c r="AQ55" s="86">
        <v>0</v>
      </c>
      <c r="AR55" s="139">
        <f>(AQ55*1005)/AP55</f>
        <v>0</v>
      </c>
      <c r="AS55" s="87">
        <v>3140</v>
      </c>
      <c r="AT55" s="86"/>
      <c r="AU55" s="86"/>
      <c r="AV55" s="86">
        <v>0.7</v>
      </c>
      <c r="AW55" s="86"/>
      <c r="AX55" s="86"/>
      <c r="AY55" s="87">
        <v>14500</v>
      </c>
      <c r="AZ55" s="86"/>
      <c r="BA55" s="86"/>
      <c r="BB55" s="86"/>
      <c r="BC55" s="86"/>
      <c r="BD55" s="86"/>
      <c r="BE55" s="87"/>
      <c r="BF55" s="86"/>
      <c r="BG55" s="86"/>
      <c r="BH55" s="86"/>
      <c r="BI55" s="86"/>
      <c r="BJ55" s="86"/>
      <c r="BK55" s="87"/>
      <c r="BL55" s="88"/>
      <c r="BM55" s="88"/>
      <c r="BN55" s="86">
        <v>0</v>
      </c>
      <c r="BO55" s="86">
        <f t="shared" si="0"/>
        <v>0</v>
      </c>
      <c r="BP55" s="126">
        <f t="shared" si="1"/>
        <v>3140</v>
      </c>
      <c r="BQ55" s="86">
        <v>0</v>
      </c>
      <c r="BR55" s="86">
        <f t="shared" si="2"/>
        <v>0</v>
      </c>
      <c r="BS55" s="86"/>
    </row>
    <row r="56" spans="1:71" s="19" customFormat="1" ht="76.5" customHeight="1">
      <c r="A56" s="159"/>
      <c r="B56" s="161"/>
      <c r="C56" s="161"/>
      <c r="D56" s="160"/>
      <c r="E56" s="17" t="s">
        <v>38</v>
      </c>
      <c r="F56" s="17" t="s">
        <v>189</v>
      </c>
      <c r="G56" s="8" t="s">
        <v>173</v>
      </c>
      <c r="H56" s="13" t="s">
        <v>174</v>
      </c>
      <c r="I56" s="13">
        <v>0</v>
      </c>
      <c r="J56" s="13">
        <v>1</v>
      </c>
      <c r="K56" s="13" t="s">
        <v>107</v>
      </c>
      <c r="L56" s="13">
        <v>20</v>
      </c>
      <c r="M56" s="161"/>
      <c r="N56" s="182"/>
      <c r="O56" s="177"/>
      <c r="P56" s="177"/>
      <c r="Q56" s="7"/>
      <c r="R56" s="7"/>
      <c r="S56" s="177"/>
      <c r="T56" s="7"/>
      <c r="U56" s="7"/>
      <c r="V56" s="177"/>
      <c r="W56" s="177"/>
      <c r="X56" s="7"/>
      <c r="Y56" s="7"/>
      <c r="Z56" s="7"/>
      <c r="AA56" s="7"/>
      <c r="AB56" s="7"/>
      <c r="AC56" s="7"/>
      <c r="AD56" s="7"/>
      <c r="AE56" s="7"/>
      <c r="AF56" s="7"/>
      <c r="AG56" s="7"/>
      <c r="AH56" s="7"/>
      <c r="AI56" s="7"/>
      <c r="AJ56" s="7"/>
      <c r="AK56" s="7"/>
      <c r="AL56" s="7"/>
      <c r="AM56" s="7"/>
      <c r="AN56" s="177"/>
      <c r="AO56" s="7"/>
      <c r="AP56" s="86">
        <v>1</v>
      </c>
      <c r="AQ56" s="86">
        <v>1</v>
      </c>
      <c r="AR56" s="147">
        <f>+AQ56/AP56</f>
        <v>1</v>
      </c>
      <c r="AS56" s="87">
        <v>6280</v>
      </c>
      <c r="AT56" s="86"/>
      <c r="AU56" s="86"/>
      <c r="AV56" s="86">
        <v>1</v>
      </c>
      <c r="AW56" s="86"/>
      <c r="AX56" s="86"/>
      <c r="AY56" s="87">
        <v>29000</v>
      </c>
      <c r="AZ56" s="86"/>
      <c r="BA56" s="86"/>
      <c r="BB56" s="86">
        <v>1</v>
      </c>
      <c r="BC56" s="86"/>
      <c r="BD56" s="86"/>
      <c r="BE56" s="87">
        <f>(173296999.25*20/100)/1000</f>
        <v>34659.39985</v>
      </c>
      <c r="BF56" s="86"/>
      <c r="BG56" s="86"/>
      <c r="BH56" s="86">
        <v>1</v>
      </c>
      <c r="BI56" s="86"/>
      <c r="BJ56" s="86"/>
      <c r="BK56" s="87">
        <f>(210000000*20/100)/1000</f>
        <v>42000</v>
      </c>
      <c r="BL56" s="88"/>
      <c r="BM56" s="88"/>
      <c r="BN56" s="86">
        <v>1</v>
      </c>
      <c r="BO56" s="86">
        <f t="shared" si="0"/>
        <v>100</v>
      </c>
      <c r="BP56" s="126">
        <f t="shared" si="1"/>
        <v>6280</v>
      </c>
      <c r="BQ56" s="86">
        <v>6280</v>
      </c>
      <c r="BR56" s="86">
        <f t="shared" si="2"/>
        <v>1</v>
      </c>
      <c r="BS56" s="146" t="s">
        <v>356</v>
      </c>
    </row>
    <row r="57" spans="1:71" ht="18.75">
      <c r="A57" s="40">
        <v>5</v>
      </c>
      <c r="B57" s="22"/>
      <c r="C57" s="22"/>
      <c r="D57" s="22"/>
      <c r="E57" s="22"/>
      <c r="F57" s="22" t="s">
        <v>189</v>
      </c>
      <c r="G57" s="23" t="s">
        <v>190</v>
      </c>
      <c r="H57" s="24"/>
      <c r="I57" s="26"/>
      <c r="J57" s="26"/>
      <c r="K57" s="26"/>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37"/>
      <c r="AZ57" s="25"/>
      <c r="BA57" s="25"/>
      <c r="BB57" s="25"/>
      <c r="BC57" s="25"/>
      <c r="BD57" s="25"/>
      <c r="BE57" s="37"/>
      <c r="BF57" s="25"/>
      <c r="BG57" s="25"/>
      <c r="BH57" s="25"/>
      <c r="BI57" s="25"/>
      <c r="BJ57" s="25"/>
      <c r="BK57" s="37"/>
      <c r="BL57" s="25"/>
      <c r="BM57" s="25"/>
      <c r="BN57" s="25"/>
      <c r="BO57" s="25"/>
      <c r="BP57" s="25"/>
      <c r="BQ57" s="25"/>
      <c r="BR57" s="25"/>
      <c r="BS57" s="25"/>
    </row>
    <row r="58" spans="1:71" ht="18.75">
      <c r="A58" s="159"/>
      <c r="B58" s="16" t="s">
        <v>220</v>
      </c>
      <c r="C58" s="16"/>
      <c r="D58" s="16"/>
      <c r="E58" s="16"/>
      <c r="F58" s="16" t="s">
        <v>189</v>
      </c>
      <c r="G58" s="5" t="s">
        <v>221</v>
      </c>
      <c r="H58" s="27"/>
      <c r="I58" s="29"/>
      <c r="J58" s="29"/>
      <c r="K58" s="29"/>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38"/>
      <c r="AZ58" s="28"/>
      <c r="BA58" s="28"/>
      <c r="BB58" s="28"/>
      <c r="BC58" s="28"/>
      <c r="BD58" s="28"/>
      <c r="BE58" s="38"/>
      <c r="BF58" s="28"/>
      <c r="BG58" s="28"/>
      <c r="BH58" s="28"/>
      <c r="BI58" s="28"/>
      <c r="BJ58" s="28"/>
      <c r="BK58" s="38"/>
      <c r="BL58" s="28"/>
      <c r="BM58" s="28"/>
      <c r="BN58" s="28"/>
      <c r="BO58" s="28"/>
      <c r="BP58" s="28"/>
      <c r="BQ58" s="28"/>
      <c r="BR58" s="28"/>
      <c r="BS58" s="28"/>
    </row>
    <row r="59" spans="1:71" ht="18.75">
      <c r="A59" s="159"/>
      <c r="B59" s="161"/>
      <c r="C59" s="16" t="s">
        <v>39</v>
      </c>
      <c r="D59" s="16"/>
      <c r="E59" s="16"/>
      <c r="F59" s="16" t="s">
        <v>189</v>
      </c>
      <c r="G59" s="5" t="s">
        <v>222</v>
      </c>
      <c r="H59" s="27"/>
      <c r="I59" s="29"/>
      <c r="J59" s="29"/>
      <c r="K59" s="29"/>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38"/>
      <c r="AZ59" s="28"/>
      <c r="BA59" s="28"/>
      <c r="BB59" s="28"/>
      <c r="BC59" s="28"/>
      <c r="BD59" s="28"/>
      <c r="BE59" s="38"/>
      <c r="BF59" s="28"/>
      <c r="BG59" s="28"/>
      <c r="BH59" s="28"/>
      <c r="BI59" s="28"/>
      <c r="BJ59" s="28"/>
      <c r="BK59" s="38"/>
      <c r="BL59" s="28"/>
      <c r="BM59" s="28"/>
      <c r="BN59" s="28"/>
      <c r="BO59" s="28"/>
      <c r="BP59" s="28"/>
      <c r="BQ59" s="28"/>
      <c r="BR59" s="28"/>
      <c r="BS59" s="28"/>
    </row>
    <row r="60" spans="1:71" ht="36">
      <c r="A60" s="159"/>
      <c r="B60" s="161"/>
      <c r="C60" s="161"/>
      <c r="D60" s="10" t="s">
        <v>40</v>
      </c>
      <c r="E60" s="10"/>
      <c r="F60" s="10" t="s">
        <v>189</v>
      </c>
      <c r="G60" s="14" t="s">
        <v>223</v>
      </c>
      <c r="H60" s="30"/>
      <c r="I60" s="32"/>
      <c r="J60" s="32"/>
      <c r="K60" s="32"/>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9"/>
      <c r="AZ60" s="31"/>
      <c r="BA60" s="31"/>
      <c r="BB60" s="31"/>
      <c r="BC60" s="31"/>
      <c r="BD60" s="31"/>
      <c r="BE60" s="39"/>
      <c r="BF60" s="31"/>
      <c r="BG60" s="31"/>
      <c r="BH60" s="31"/>
      <c r="BI60" s="31"/>
      <c r="BJ60" s="31"/>
      <c r="BK60" s="39"/>
      <c r="BL60" s="31"/>
      <c r="BM60" s="31"/>
      <c r="BN60" s="31"/>
      <c r="BO60" s="31"/>
      <c r="BP60" s="31"/>
      <c r="BQ60" s="31"/>
      <c r="BR60" s="31"/>
      <c r="BS60" s="31"/>
    </row>
    <row r="61" spans="1:71" ht="72.75" customHeight="1">
      <c r="A61" s="159"/>
      <c r="B61" s="161"/>
      <c r="C61" s="161"/>
      <c r="D61" s="161"/>
      <c r="E61" s="18" t="s">
        <v>41</v>
      </c>
      <c r="F61" s="3"/>
      <c r="G61" s="9" t="s">
        <v>175</v>
      </c>
      <c r="H61" s="13" t="s">
        <v>176</v>
      </c>
      <c r="I61" s="13">
        <v>672</v>
      </c>
      <c r="J61" s="13">
        <v>672</v>
      </c>
      <c r="K61" s="13" t="s">
        <v>107</v>
      </c>
      <c r="L61" s="13">
        <v>10</v>
      </c>
      <c r="M61" s="161">
        <v>69</v>
      </c>
      <c r="N61" s="182" t="s">
        <v>224</v>
      </c>
      <c r="O61" s="228">
        <v>9408</v>
      </c>
      <c r="P61" s="228"/>
      <c r="Q61" s="3"/>
      <c r="R61" s="3"/>
      <c r="S61" s="3"/>
      <c r="T61" s="3"/>
      <c r="U61" s="3"/>
      <c r="V61" s="3"/>
      <c r="W61" s="3"/>
      <c r="X61" s="3"/>
      <c r="Y61" s="3"/>
      <c r="Z61" s="3"/>
      <c r="AA61" s="3"/>
      <c r="AB61" s="3"/>
      <c r="AC61" s="3"/>
      <c r="AD61" s="3"/>
      <c r="AE61" s="3"/>
      <c r="AF61" s="3"/>
      <c r="AG61" s="3"/>
      <c r="AH61" s="3"/>
      <c r="AI61" s="3"/>
      <c r="AJ61" s="3"/>
      <c r="AK61" s="3"/>
      <c r="AL61" s="3"/>
      <c r="AM61" s="3"/>
      <c r="AN61" s="3"/>
      <c r="AO61" s="3"/>
      <c r="AP61" s="89">
        <v>672</v>
      </c>
      <c r="AQ61" s="89">
        <v>614</v>
      </c>
      <c r="AR61" s="148">
        <f>+AQ61/AP61</f>
        <v>0.9136904761904762</v>
      </c>
      <c r="AS61" s="89">
        <f>(62000000*20/100)/1000</f>
        <v>12400</v>
      </c>
      <c r="AT61" s="89"/>
      <c r="AU61" s="89"/>
      <c r="AV61" s="89">
        <v>672</v>
      </c>
      <c r="AW61" s="89"/>
      <c r="AX61" s="89"/>
      <c r="AY61" s="85">
        <f>(117635000*20/100)/1000</f>
        <v>23527</v>
      </c>
      <c r="AZ61" s="89"/>
      <c r="BA61" s="89"/>
      <c r="BB61" s="89">
        <v>672</v>
      </c>
      <c r="BC61" s="89"/>
      <c r="BD61" s="89"/>
      <c r="BE61" s="85">
        <f>(139000000*20/100)/1000</f>
        <v>27800</v>
      </c>
      <c r="BF61" s="89"/>
      <c r="BG61" s="89"/>
      <c r="BH61" s="89">
        <v>672</v>
      </c>
      <c r="BI61" s="89"/>
      <c r="BJ61" s="89"/>
      <c r="BK61" s="85">
        <f>(125676002.61*20/100)/1000</f>
        <v>25135.200522</v>
      </c>
      <c r="BL61" s="90"/>
      <c r="BM61" s="90"/>
      <c r="BN61" s="89">
        <v>614</v>
      </c>
      <c r="BO61" s="149">
        <f>+BN61/AP61*100</f>
        <v>91.36904761904762</v>
      </c>
      <c r="BP61" s="89">
        <f>+AS61</f>
        <v>12400</v>
      </c>
      <c r="BQ61" s="89">
        <v>26000</v>
      </c>
      <c r="BR61" s="86">
        <f>+BQ61/BP61</f>
        <v>2.096774193548387</v>
      </c>
      <c r="BS61" s="150" t="s">
        <v>357</v>
      </c>
    </row>
    <row r="62" spans="1:71" ht="45.75" customHeight="1">
      <c r="A62" s="159"/>
      <c r="B62" s="161"/>
      <c r="C62" s="161"/>
      <c r="D62" s="161"/>
      <c r="E62" s="18" t="s">
        <v>42</v>
      </c>
      <c r="F62" s="3"/>
      <c r="G62" s="9" t="s">
        <v>177</v>
      </c>
      <c r="H62" s="13" t="s">
        <v>178</v>
      </c>
      <c r="I62" s="13">
        <v>0</v>
      </c>
      <c r="J62" s="13">
        <v>1</v>
      </c>
      <c r="K62" s="13" t="s">
        <v>106</v>
      </c>
      <c r="L62" s="13">
        <v>30</v>
      </c>
      <c r="M62" s="161"/>
      <c r="N62" s="182"/>
      <c r="O62" s="228"/>
      <c r="P62" s="228"/>
      <c r="Q62" s="3"/>
      <c r="R62" s="3"/>
      <c r="S62" s="3"/>
      <c r="T62" s="3"/>
      <c r="U62" s="3"/>
      <c r="V62" s="3"/>
      <c r="W62" s="3"/>
      <c r="X62" s="3"/>
      <c r="Y62" s="3"/>
      <c r="Z62" s="3"/>
      <c r="AA62" s="3"/>
      <c r="AB62" s="3"/>
      <c r="AC62" s="3"/>
      <c r="AD62" s="3"/>
      <c r="AE62" s="3"/>
      <c r="AF62" s="3"/>
      <c r="AG62" s="3"/>
      <c r="AH62" s="3"/>
      <c r="AI62" s="3"/>
      <c r="AJ62" s="3"/>
      <c r="AK62" s="3"/>
      <c r="AL62" s="3"/>
      <c r="AM62" s="3"/>
      <c r="AN62" s="3"/>
      <c r="AO62" s="3"/>
      <c r="AP62" s="89">
        <v>0.1</v>
      </c>
      <c r="AQ62" s="89">
        <v>0</v>
      </c>
      <c r="AR62" s="139">
        <f>+AQ62/AP62</f>
        <v>0</v>
      </c>
      <c r="AS62" s="89">
        <f>(62000000*30/100)/1000</f>
        <v>18600</v>
      </c>
      <c r="AT62" s="89"/>
      <c r="AU62" s="89"/>
      <c r="AV62" s="89">
        <v>0.3</v>
      </c>
      <c r="AW62" s="89"/>
      <c r="AX62" s="89"/>
      <c r="AY62" s="85">
        <f>(117635000*30/100)/1000</f>
        <v>35290.5</v>
      </c>
      <c r="AZ62" s="89"/>
      <c r="BA62" s="89"/>
      <c r="BB62" s="89">
        <v>0.3</v>
      </c>
      <c r="BC62" s="89"/>
      <c r="BD62" s="89"/>
      <c r="BE62" s="85">
        <f>(139000000*30/100)/1000</f>
        <v>41700</v>
      </c>
      <c r="BF62" s="89"/>
      <c r="BG62" s="89"/>
      <c r="BH62" s="89">
        <v>0.3</v>
      </c>
      <c r="BI62" s="89"/>
      <c r="BJ62" s="89"/>
      <c r="BK62" s="85">
        <f>(125676002.61*30/100)/1000</f>
        <v>37702.800783</v>
      </c>
      <c r="BL62" s="90"/>
      <c r="BM62" s="90"/>
      <c r="BN62" s="89">
        <v>0</v>
      </c>
      <c r="BO62" s="86">
        <f>+BN62/AP62*100</f>
        <v>0</v>
      </c>
      <c r="BP62" s="89">
        <f>+AS62</f>
        <v>18600</v>
      </c>
      <c r="BQ62" s="89">
        <v>0</v>
      </c>
      <c r="BR62" s="149">
        <f>+BQ62/BP62</f>
        <v>0</v>
      </c>
      <c r="BS62" s="91"/>
    </row>
    <row r="63" spans="1:71" ht="57.75" customHeight="1">
      <c r="A63" s="159"/>
      <c r="B63" s="161"/>
      <c r="C63" s="161"/>
      <c r="D63" s="161"/>
      <c r="E63" s="18" t="s">
        <v>43</v>
      </c>
      <c r="F63" s="3"/>
      <c r="G63" s="9" t="s">
        <v>179</v>
      </c>
      <c r="H63" s="13" t="s">
        <v>180</v>
      </c>
      <c r="I63" s="13">
        <v>0</v>
      </c>
      <c r="J63" s="13">
        <v>1</v>
      </c>
      <c r="K63" s="13" t="s">
        <v>107</v>
      </c>
      <c r="L63" s="13">
        <v>10</v>
      </c>
      <c r="M63" s="161"/>
      <c r="N63" s="182"/>
      <c r="O63" s="228"/>
      <c r="P63" s="228"/>
      <c r="Q63" s="3"/>
      <c r="R63" s="3"/>
      <c r="S63" s="3"/>
      <c r="T63" s="3"/>
      <c r="U63" s="3"/>
      <c r="V63" s="3"/>
      <c r="W63" s="3"/>
      <c r="X63" s="3"/>
      <c r="Y63" s="3"/>
      <c r="Z63" s="3"/>
      <c r="AA63" s="3"/>
      <c r="AB63" s="3"/>
      <c r="AC63" s="3"/>
      <c r="AD63" s="3"/>
      <c r="AE63" s="3"/>
      <c r="AF63" s="3"/>
      <c r="AG63" s="3"/>
      <c r="AH63" s="3"/>
      <c r="AI63" s="3"/>
      <c r="AJ63" s="3"/>
      <c r="AK63" s="3"/>
      <c r="AL63" s="3"/>
      <c r="AM63" s="3"/>
      <c r="AN63" s="3"/>
      <c r="AO63" s="3"/>
      <c r="AP63" s="89">
        <v>0</v>
      </c>
      <c r="AQ63" s="89"/>
      <c r="AR63" s="89"/>
      <c r="AS63" s="89">
        <v>0</v>
      </c>
      <c r="AT63" s="89"/>
      <c r="AU63" s="89"/>
      <c r="AV63" s="89">
        <v>1</v>
      </c>
      <c r="AW63" s="89"/>
      <c r="AX63" s="89"/>
      <c r="AY63" s="85">
        <v>0</v>
      </c>
      <c r="AZ63" s="89"/>
      <c r="BA63" s="89"/>
      <c r="BB63" s="89">
        <v>1</v>
      </c>
      <c r="BC63" s="89"/>
      <c r="BD63" s="89"/>
      <c r="BE63" s="85">
        <v>0</v>
      </c>
      <c r="BF63" s="89"/>
      <c r="BG63" s="89"/>
      <c r="BH63" s="89">
        <v>1</v>
      </c>
      <c r="BI63" s="89"/>
      <c r="BJ63" s="89"/>
      <c r="BK63" s="85">
        <v>0</v>
      </c>
      <c r="BL63" s="90"/>
      <c r="BM63" s="90"/>
      <c r="BN63" s="89"/>
      <c r="BO63" s="89"/>
      <c r="BP63" s="89"/>
      <c r="BQ63" s="89"/>
      <c r="BR63" s="89"/>
      <c r="BS63" s="91"/>
    </row>
    <row r="64" spans="1:71" ht="72.75" customHeight="1">
      <c r="A64" s="159"/>
      <c r="B64" s="161"/>
      <c r="C64" s="161"/>
      <c r="D64" s="161"/>
      <c r="E64" s="18" t="s">
        <v>44</v>
      </c>
      <c r="F64" s="3"/>
      <c r="G64" s="9" t="s">
        <v>114</v>
      </c>
      <c r="H64" s="13" t="s">
        <v>115</v>
      </c>
      <c r="I64" s="13" t="s">
        <v>122</v>
      </c>
      <c r="J64" s="13">
        <v>1000</v>
      </c>
      <c r="K64" s="13" t="s">
        <v>106</v>
      </c>
      <c r="L64" s="13">
        <v>30</v>
      </c>
      <c r="M64" s="161"/>
      <c r="N64" s="182"/>
      <c r="O64" s="228"/>
      <c r="P64" s="228"/>
      <c r="Q64" s="3"/>
      <c r="R64" s="3"/>
      <c r="S64" s="3"/>
      <c r="T64" s="3"/>
      <c r="U64" s="3"/>
      <c r="V64" s="3"/>
      <c r="W64" s="3"/>
      <c r="X64" s="3"/>
      <c r="Y64" s="3"/>
      <c r="Z64" s="3"/>
      <c r="AA64" s="3"/>
      <c r="AB64" s="3"/>
      <c r="AC64" s="3"/>
      <c r="AD64" s="3"/>
      <c r="AE64" s="3"/>
      <c r="AF64" s="3"/>
      <c r="AG64" s="3"/>
      <c r="AH64" s="3"/>
      <c r="AI64" s="3"/>
      <c r="AJ64" s="3"/>
      <c r="AK64" s="3"/>
      <c r="AL64" s="3"/>
      <c r="AM64" s="3"/>
      <c r="AN64" s="3"/>
      <c r="AO64" s="3"/>
      <c r="AP64" s="89">
        <v>150</v>
      </c>
      <c r="AQ64" s="89">
        <v>0</v>
      </c>
      <c r="AR64" s="139">
        <f>(AQ64*1005)/AP64</f>
        <v>0</v>
      </c>
      <c r="AS64" s="89">
        <f>(62000000*30/100)/1000</f>
        <v>18600</v>
      </c>
      <c r="AT64" s="89"/>
      <c r="AU64" s="89"/>
      <c r="AV64" s="89">
        <v>300</v>
      </c>
      <c r="AW64" s="89"/>
      <c r="AX64" s="89"/>
      <c r="AY64" s="85">
        <f>(117635000*30/100)/1000</f>
        <v>35290.5</v>
      </c>
      <c r="AZ64" s="89"/>
      <c r="BA64" s="89"/>
      <c r="BB64" s="89">
        <v>275</v>
      </c>
      <c r="BC64" s="89"/>
      <c r="BD64" s="89"/>
      <c r="BE64" s="85">
        <f>(139000000*30/100)/1000</f>
        <v>41700</v>
      </c>
      <c r="BF64" s="89"/>
      <c r="BG64" s="89"/>
      <c r="BH64" s="89">
        <v>275</v>
      </c>
      <c r="BI64" s="89"/>
      <c r="BJ64" s="89"/>
      <c r="BK64" s="85">
        <f>(125676002.61*30/100)/1000</f>
        <v>37702.800783</v>
      </c>
      <c r="BL64" s="90"/>
      <c r="BM64" s="90"/>
      <c r="BN64" s="89">
        <v>0</v>
      </c>
      <c r="BO64" s="86">
        <f>+BN64/AP64*100</f>
        <v>0</v>
      </c>
      <c r="BP64" s="89">
        <f>+AS64</f>
        <v>18600</v>
      </c>
      <c r="BQ64" s="89">
        <v>0</v>
      </c>
      <c r="BR64" s="86">
        <f>+BQ64/BP64</f>
        <v>0</v>
      </c>
      <c r="BS64" s="91"/>
    </row>
    <row r="65" spans="1:71" ht="142.5" customHeight="1">
      <c r="A65" s="159"/>
      <c r="B65" s="161"/>
      <c r="C65" s="161"/>
      <c r="D65" s="161"/>
      <c r="E65" s="18" t="s">
        <v>45</v>
      </c>
      <c r="F65" s="18"/>
      <c r="G65" s="11" t="s">
        <v>116</v>
      </c>
      <c r="H65" s="13" t="s">
        <v>49</v>
      </c>
      <c r="I65" s="13">
        <v>0</v>
      </c>
      <c r="J65" s="13">
        <v>12</v>
      </c>
      <c r="K65" s="13" t="s">
        <v>106</v>
      </c>
      <c r="L65" s="13">
        <v>20</v>
      </c>
      <c r="M65" s="161"/>
      <c r="N65" s="182"/>
      <c r="O65" s="228"/>
      <c r="P65" s="228"/>
      <c r="Q65" s="3"/>
      <c r="R65" s="3"/>
      <c r="S65" s="3"/>
      <c r="T65" s="3"/>
      <c r="U65" s="3"/>
      <c r="V65" s="3"/>
      <c r="W65" s="3"/>
      <c r="X65" s="3"/>
      <c r="Y65" s="3"/>
      <c r="Z65" s="3"/>
      <c r="AA65" s="3"/>
      <c r="AB65" s="3"/>
      <c r="AC65" s="3"/>
      <c r="AD65" s="3"/>
      <c r="AE65" s="3"/>
      <c r="AF65" s="3"/>
      <c r="AG65" s="3"/>
      <c r="AH65" s="3"/>
      <c r="AI65" s="3"/>
      <c r="AJ65" s="3"/>
      <c r="AK65" s="3"/>
      <c r="AL65" s="3"/>
      <c r="AM65" s="3"/>
      <c r="AN65" s="3"/>
      <c r="AO65" s="3"/>
      <c r="AP65" s="89">
        <v>1</v>
      </c>
      <c r="AQ65" s="89">
        <v>0</v>
      </c>
      <c r="AR65" s="139">
        <f>(AQ65*1005)/AP65</f>
        <v>0</v>
      </c>
      <c r="AS65" s="89">
        <f>(62000000*20/100)/1000</f>
        <v>12400</v>
      </c>
      <c r="AT65" s="89"/>
      <c r="AU65" s="89"/>
      <c r="AV65" s="89">
        <v>4</v>
      </c>
      <c r="AW65" s="89"/>
      <c r="AX65" s="89"/>
      <c r="AY65" s="85">
        <f>(117635000*20/100)/1000</f>
        <v>23527</v>
      </c>
      <c r="AZ65" s="89"/>
      <c r="BA65" s="89"/>
      <c r="BB65" s="89">
        <v>4</v>
      </c>
      <c r="BC65" s="89"/>
      <c r="BD65" s="89"/>
      <c r="BE65" s="85">
        <f>(139000000*20/100)/1000</f>
        <v>27800</v>
      </c>
      <c r="BF65" s="89"/>
      <c r="BG65" s="89"/>
      <c r="BH65" s="89">
        <v>3</v>
      </c>
      <c r="BI65" s="89"/>
      <c r="BJ65" s="89"/>
      <c r="BK65" s="85">
        <f>(125676002.61*20/100)/1000</f>
        <v>25135.200522</v>
      </c>
      <c r="BL65" s="90"/>
      <c r="BM65" s="90"/>
      <c r="BN65" s="89">
        <v>0</v>
      </c>
      <c r="BO65" s="86">
        <f>+BN65/AP65*100</f>
        <v>0</v>
      </c>
      <c r="BP65" s="89">
        <f>+AS65</f>
        <v>12400</v>
      </c>
      <c r="BQ65" s="89">
        <v>10000</v>
      </c>
      <c r="BR65" s="127">
        <f>+BQ65/BP65</f>
        <v>0.8064516129032258</v>
      </c>
      <c r="BS65" s="91" t="s">
        <v>358</v>
      </c>
    </row>
    <row r="66" ht="19.5" thickBot="1"/>
    <row r="67" spans="9:14" ht="18.75">
      <c r="I67" s="245" t="s">
        <v>352</v>
      </c>
      <c r="J67" s="246"/>
      <c r="K67" s="246"/>
      <c r="L67" s="246"/>
      <c r="M67" s="246"/>
      <c r="N67" s="247"/>
    </row>
    <row r="68" spans="9:14" ht="18.75">
      <c r="I68" s="248"/>
      <c r="J68" s="249"/>
      <c r="K68" s="249"/>
      <c r="L68" s="249"/>
      <c r="M68" s="249"/>
      <c r="N68" s="250"/>
    </row>
    <row r="69" spans="9:14" ht="18.75">
      <c r="I69" s="248"/>
      <c r="J69" s="249"/>
      <c r="K69" s="249"/>
      <c r="L69" s="249"/>
      <c r="M69" s="249"/>
      <c r="N69" s="250"/>
    </row>
    <row r="70" spans="9:14" ht="19.5" thickBot="1">
      <c r="I70" s="251"/>
      <c r="J70" s="252"/>
      <c r="K70" s="252"/>
      <c r="L70" s="252"/>
      <c r="M70" s="252"/>
      <c r="N70" s="253"/>
    </row>
  </sheetData>
  <sheetProtection/>
  <mergeCells count="150">
    <mergeCell ref="BP7:BP8"/>
    <mergeCell ref="BQ7:BQ8"/>
    <mergeCell ref="BR7:BR8"/>
    <mergeCell ref="I67:N70"/>
    <mergeCell ref="AG15:AG19"/>
    <mergeCell ref="AA22:AA24"/>
    <mergeCell ref="AA27:AA29"/>
    <mergeCell ref="Z27:Z29"/>
    <mergeCell ref="W22:W24"/>
    <mergeCell ref="BO7:BO8"/>
    <mergeCell ref="BS27:BS29"/>
    <mergeCell ref="AG27:AG29"/>
    <mergeCell ref="AN47:AN49"/>
    <mergeCell ref="W47:W49"/>
    <mergeCell ref="W27:W29"/>
    <mergeCell ref="BS33:BS34"/>
    <mergeCell ref="W15:W19"/>
    <mergeCell ref="Z15:Z19"/>
    <mergeCell ref="AA15:AA19"/>
    <mergeCell ref="AB7:AB8"/>
    <mergeCell ref="Y7:Y8"/>
    <mergeCell ref="O27:O29"/>
    <mergeCell ref="P27:P29"/>
    <mergeCell ref="AC7:AC8"/>
    <mergeCell ref="T7:T8"/>
    <mergeCell ref="V27:V29"/>
    <mergeCell ref="V22:V24"/>
    <mergeCell ref="Z22:Z24"/>
    <mergeCell ref="P7:P8"/>
    <mergeCell ref="Q7:Q8"/>
    <mergeCell ref="P22:P24"/>
    <mergeCell ref="O22:O24"/>
    <mergeCell ref="AH6:AO6"/>
    <mergeCell ref="P15:P19"/>
    <mergeCell ref="AF7:AF8"/>
    <mergeCell ref="V15:V19"/>
    <mergeCell ref="W7:W8"/>
    <mergeCell ref="R7:R8"/>
    <mergeCell ref="S7:S8"/>
    <mergeCell ref="O15:O19"/>
    <mergeCell ref="Z6:AC6"/>
    <mergeCell ref="U7:U8"/>
    <mergeCell ref="V7:V8"/>
    <mergeCell ref="O6:P6"/>
    <mergeCell ref="AD6:AG6"/>
    <mergeCell ref="AA7:AA8"/>
    <mergeCell ref="AE7:AE8"/>
    <mergeCell ref="Z7:Z8"/>
    <mergeCell ref="Q6:U6"/>
    <mergeCell ref="V6:Y6"/>
    <mergeCell ref="A58:A65"/>
    <mergeCell ref="B59:B65"/>
    <mergeCell ref="C60:C65"/>
    <mergeCell ref="O61:P65"/>
    <mergeCell ref="M61:M65"/>
    <mergeCell ref="I5:I8"/>
    <mergeCell ref="J5:J8"/>
    <mergeCell ref="N5:N8"/>
    <mergeCell ref="H5:H8"/>
    <mergeCell ref="L5:L8"/>
    <mergeCell ref="M5:M8"/>
    <mergeCell ref="A2:BS2"/>
    <mergeCell ref="A3:BS3"/>
    <mergeCell ref="G5:G8"/>
    <mergeCell ref="AP5:BK6"/>
    <mergeCell ref="BS5:BS8"/>
    <mergeCell ref="BE7:BE8"/>
    <mergeCell ref="BF7:BF8"/>
    <mergeCell ref="BM7:BM8"/>
    <mergeCell ref="K5:K8"/>
    <mergeCell ref="BL7:BL8"/>
    <mergeCell ref="BH7:BH8"/>
    <mergeCell ref="BI7:BI8"/>
    <mergeCell ref="BJ7:BJ8"/>
    <mergeCell ref="BK7:BK8"/>
    <mergeCell ref="BG7:BG8"/>
    <mergeCell ref="BD7:BD8"/>
    <mergeCell ref="AW7:AW8"/>
    <mergeCell ref="AY7:AY8"/>
    <mergeCell ref="AZ7:AZ8"/>
    <mergeCell ref="BA7:BA8"/>
    <mergeCell ref="BB7:BB8"/>
    <mergeCell ref="BC7:BC8"/>
    <mergeCell ref="AX7:AX8"/>
    <mergeCell ref="AP7:AP8"/>
    <mergeCell ref="AD7:AD8"/>
    <mergeCell ref="AS7:AS8"/>
    <mergeCell ref="AU7:AU8"/>
    <mergeCell ref="AT7:AT8"/>
    <mergeCell ref="AG7:AG8"/>
    <mergeCell ref="AV7:AV8"/>
    <mergeCell ref="AQ7:AQ8"/>
    <mergeCell ref="AR7:AR8"/>
    <mergeCell ref="N61:N65"/>
    <mergeCell ref="N41:N42"/>
    <mergeCell ref="AG22:AG24"/>
    <mergeCell ref="O7:O8"/>
    <mergeCell ref="N15:N18"/>
    <mergeCell ref="N47:N49"/>
    <mergeCell ref="V47:V49"/>
    <mergeCell ref="O51:O56"/>
    <mergeCell ref="W51:W56"/>
    <mergeCell ref="V51:V56"/>
    <mergeCell ref="D61:D65"/>
    <mergeCell ref="N51:N56"/>
    <mergeCell ref="M47:M49"/>
    <mergeCell ref="M41:M42"/>
    <mergeCell ref="M51:M56"/>
    <mergeCell ref="D22:D24"/>
    <mergeCell ref="N33:N34"/>
    <mergeCell ref="N36:N39"/>
    <mergeCell ref="D36:D39"/>
    <mergeCell ref="M36:M39"/>
    <mergeCell ref="C21:C24"/>
    <mergeCell ref="C14:C19"/>
    <mergeCell ref="C26:C29"/>
    <mergeCell ref="D27:D29"/>
    <mergeCell ref="N22:N24"/>
    <mergeCell ref="M15:M18"/>
    <mergeCell ref="M22:M24"/>
    <mergeCell ref="N27:N29"/>
    <mergeCell ref="M27:M29"/>
    <mergeCell ref="B45:B56"/>
    <mergeCell ref="C46:C56"/>
    <mergeCell ref="D51:D56"/>
    <mergeCell ref="D41:D42"/>
    <mergeCell ref="C32:C42"/>
    <mergeCell ref="D47:D49"/>
    <mergeCell ref="B31:B42"/>
    <mergeCell ref="D33:D34"/>
    <mergeCell ref="D7:D8"/>
    <mergeCell ref="S47:S49"/>
    <mergeCell ref="AN51:AN56"/>
    <mergeCell ref="P51:P56"/>
    <mergeCell ref="S51:S56"/>
    <mergeCell ref="O47:O49"/>
    <mergeCell ref="P47:P49"/>
    <mergeCell ref="E7:E8"/>
    <mergeCell ref="M33:M34"/>
    <mergeCell ref="X7:X8"/>
    <mergeCell ref="BT7:BW7"/>
    <mergeCell ref="F7:F8"/>
    <mergeCell ref="A12:A56"/>
    <mergeCell ref="D15:D19"/>
    <mergeCell ref="B13:B29"/>
    <mergeCell ref="A10:G10"/>
    <mergeCell ref="A5:A8"/>
    <mergeCell ref="B5:E6"/>
    <mergeCell ref="B7:B8"/>
    <mergeCell ref="C7:C8"/>
  </mergeCells>
  <hyperlinks>
    <hyperlink ref="BS51" r:id="rId1" display="F:\INTERIOR\Planeacion\Seguimiento\Evidencias Seguimiento\asistenciascapacitacioneswiliam0001.pdf"/>
    <hyperlink ref="BS56" r:id="rId2" display="F:\INTERIOR\Planeacion\Seguimiento\Evidencias Seguimiento\ESTRATEGIA  DEPARTAMENTAL.doc"/>
    <hyperlink ref="BU51" r:id="rId3" display="F:\INTERIOR\Planeacion\Seguimiento\Evidencias Seguimiento\capacitacioneslorena0001.pdf"/>
    <hyperlink ref="BT51" r:id="rId4" display="F:\INTERIOR\Planeacion\Seguimiento\Evidencias Seguimiento\campañatiemposeco0001.pdf"/>
    <hyperlink ref="BS61" r:id="rId5" display="F:\INTERIOR\Planeacion\Seguimiento\Evidencias Seguimiento\ELECTOS CONSOLIDADOS 2012.xlsx"/>
    <hyperlink ref="BT22" r:id="rId6" display="Evidencias Seguimiento\Propuesta Campaña de sensibilización Por un Quindio Mas Humano,  ABRAZOS.docx"/>
    <hyperlink ref="BS47" r:id="rId7" display="Evidencias Seguimiento\EVIDENCIAS CT. MENDEZ.pdf"/>
  </hyperlinks>
  <printOptions/>
  <pageMargins left="1.299212598425197" right="0.31496062992125984" top="0.7480314960629921" bottom="0.7480314960629921" header="0.31496062992125984" footer="0.31496062992125984"/>
  <pageSetup horizontalDpi="600" verticalDpi="600" orientation="landscape" paperSize="9" scale="60" r:id="rId10"/>
  <legacyDrawing r:id="rId9"/>
</worksheet>
</file>

<file path=xl/worksheets/sheet2.xml><?xml version="1.0" encoding="utf-8"?>
<worksheet xmlns="http://schemas.openxmlformats.org/spreadsheetml/2006/main" xmlns:r="http://schemas.openxmlformats.org/officeDocument/2006/relationships">
  <dimension ref="A1:N41"/>
  <sheetViews>
    <sheetView zoomScale="60" zoomScaleNormal="60" zoomScalePageLayoutView="0" workbookViewId="0" topLeftCell="A1">
      <selection activeCell="G7" sqref="G7:G11"/>
    </sheetView>
  </sheetViews>
  <sheetFormatPr defaultColWidth="11.421875" defaultRowHeight="15"/>
  <cols>
    <col min="1" max="1" width="19.7109375" style="0" customWidth="1"/>
    <col min="2" max="2" width="35.28125" style="0" customWidth="1"/>
    <col min="3" max="3" width="17.8515625" style="0" customWidth="1"/>
    <col min="4" max="4" width="21.7109375" style="0" customWidth="1"/>
    <col min="6" max="6" width="17.7109375" style="0" bestFit="1" customWidth="1"/>
    <col min="7" max="7" width="29.00390625" style="0" customWidth="1"/>
    <col min="8" max="8" width="19.00390625" style="0" customWidth="1"/>
    <col min="9" max="9" width="31.8515625" style="0" customWidth="1"/>
    <col min="10" max="10" width="17.7109375" style="0" bestFit="1" customWidth="1"/>
    <col min="11" max="11" width="16.7109375" style="0" customWidth="1"/>
  </cols>
  <sheetData>
    <row r="1" spans="1:14" ht="15">
      <c r="A1" s="306" t="s">
        <v>233</v>
      </c>
      <c r="B1" s="307"/>
      <c r="C1" s="307"/>
      <c r="D1" s="307"/>
      <c r="E1" s="307"/>
      <c r="F1" s="307"/>
      <c r="G1" s="307"/>
      <c r="H1" s="307"/>
      <c r="I1" s="307"/>
      <c r="J1" s="307"/>
      <c r="K1" s="307"/>
      <c r="L1" s="307"/>
      <c r="M1" s="307"/>
      <c r="N1" s="308"/>
    </row>
    <row r="2" spans="1:14" ht="15">
      <c r="A2" s="309" t="s">
        <v>234</v>
      </c>
      <c r="B2" s="310"/>
      <c r="C2" s="310"/>
      <c r="D2" s="310"/>
      <c r="E2" s="310"/>
      <c r="F2" s="310"/>
      <c r="G2" s="310"/>
      <c r="H2" s="310"/>
      <c r="I2" s="310"/>
      <c r="J2" s="310"/>
      <c r="K2" s="310"/>
      <c r="L2" s="310"/>
      <c r="M2" s="310"/>
      <c r="N2" s="311"/>
    </row>
    <row r="3" spans="1:14" ht="15.75" thickBot="1">
      <c r="A3" s="312" t="s">
        <v>235</v>
      </c>
      <c r="B3" s="313"/>
      <c r="C3" s="313"/>
      <c r="D3" s="313"/>
      <c r="E3" s="313"/>
      <c r="F3" s="313"/>
      <c r="G3" s="314"/>
      <c r="H3" s="313"/>
      <c r="I3" s="313"/>
      <c r="J3" s="313"/>
      <c r="K3" s="315"/>
      <c r="L3" s="316"/>
      <c r="M3" s="316"/>
      <c r="N3" s="317"/>
    </row>
    <row r="4" spans="1:14" ht="15.75" thickBot="1">
      <c r="A4" s="296" t="s">
        <v>236</v>
      </c>
      <c r="B4" s="297"/>
      <c r="C4" s="298"/>
      <c r="D4" s="299" t="s">
        <v>188</v>
      </c>
      <c r="E4" s="300"/>
      <c r="F4" s="301"/>
      <c r="G4" s="302"/>
      <c r="H4" s="303" t="s">
        <v>237</v>
      </c>
      <c r="I4" s="303"/>
      <c r="J4" s="303"/>
      <c r="K4" s="304"/>
      <c r="L4" s="304"/>
      <c r="M4" s="304"/>
      <c r="N4" s="305"/>
    </row>
    <row r="5" spans="1:14" ht="26.25" thickBot="1">
      <c r="A5" s="289" t="s">
        <v>238</v>
      </c>
      <c r="B5" s="285" t="s">
        <v>239</v>
      </c>
      <c r="C5" s="291" t="s">
        <v>240</v>
      </c>
      <c r="D5" s="293" t="s">
        <v>241</v>
      </c>
      <c r="E5" s="285" t="s">
        <v>242</v>
      </c>
      <c r="F5" s="285" t="s">
        <v>243</v>
      </c>
      <c r="G5" s="283" t="s">
        <v>244</v>
      </c>
      <c r="H5" s="285" t="s">
        <v>245</v>
      </c>
      <c r="I5" s="285" t="s">
        <v>246</v>
      </c>
      <c r="J5" s="285" t="s">
        <v>247</v>
      </c>
      <c r="K5" s="285" t="s">
        <v>248</v>
      </c>
      <c r="L5" s="287" t="s">
        <v>249</v>
      </c>
      <c r="M5" s="288"/>
      <c r="N5" s="95" t="s">
        <v>250</v>
      </c>
    </row>
    <row r="6" spans="1:14" ht="15">
      <c r="A6" s="290"/>
      <c r="B6" s="286"/>
      <c r="C6" s="292"/>
      <c r="D6" s="294"/>
      <c r="E6" s="286"/>
      <c r="F6" s="286"/>
      <c r="G6" s="284"/>
      <c r="H6" s="286"/>
      <c r="I6" s="286"/>
      <c r="J6" s="286"/>
      <c r="K6" s="295"/>
      <c r="L6" s="96" t="s">
        <v>251</v>
      </c>
      <c r="M6" s="96" t="s">
        <v>252</v>
      </c>
      <c r="N6" s="97" t="s">
        <v>253</v>
      </c>
    </row>
    <row r="7" spans="1:14" ht="60">
      <c r="A7" s="265" t="s">
        <v>254</v>
      </c>
      <c r="B7" s="98" t="s">
        <v>255</v>
      </c>
      <c r="C7" s="98" t="s">
        <v>256</v>
      </c>
      <c r="D7" s="265" t="s">
        <v>257</v>
      </c>
      <c r="E7" s="99">
        <v>0.3</v>
      </c>
      <c r="F7" s="279">
        <f>1868034228.39/1000</f>
        <v>1868034.22839</v>
      </c>
      <c r="G7" s="265" t="s">
        <v>258</v>
      </c>
      <c r="H7" s="265" t="s">
        <v>259</v>
      </c>
      <c r="I7" s="272" t="s">
        <v>260</v>
      </c>
      <c r="J7" s="274">
        <v>1777872.99032</v>
      </c>
      <c r="K7" s="270" t="s">
        <v>261</v>
      </c>
      <c r="L7" s="267">
        <v>41093</v>
      </c>
      <c r="M7" s="267">
        <v>41274</v>
      </c>
      <c r="N7" s="265" t="s">
        <v>262</v>
      </c>
    </row>
    <row r="8" spans="1:14" ht="90">
      <c r="A8" s="266"/>
      <c r="B8" s="98" t="s">
        <v>263</v>
      </c>
      <c r="C8" s="98" t="s">
        <v>264</v>
      </c>
      <c r="D8" s="266"/>
      <c r="E8" s="99">
        <v>0.2</v>
      </c>
      <c r="F8" s="280"/>
      <c r="G8" s="266"/>
      <c r="H8" s="266"/>
      <c r="I8" s="273"/>
      <c r="J8" s="275"/>
      <c r="K8" s="271"/>
      <c r="L8" s="268"/>
      <c r="M8" s="268"/>
      <c r="N8" s="266"/>
    </row>
    <row r="9" spans="1:14" ht="90">
      <c r="A9" s="266"/>
      <c r="B9" s="98" t="s">
        <v>265</v>
      </c>
      <c r="C9" s="98" t="s">
        <v>266</v>
      </c>
      <c r="D9" s="266"/>
      <c r="E9" s="99">
        <v>0.3333</v>
      </c>
      <c r="F9" s="280"/>
      <c r="G9" s="266"/>
      <c r="H9" s="266"/>
      <c r="I9" s="273"/>
      <c r="J9" s="275"/>
      <c r="K9" s="271"/>
      <c r="L9" s="268"/>
      <c r="M9" s="268"/>
      <c r="N9" s="266"/>
    </row>
    <row r="10" spans="1:14" ht="135">
      <c r="A10" s="266"/>
      <c r="B10" s="98" t="s">
        <v>267</v>
      </c>
      <c r="C10" s="98" t="s">
        <v>268</v>
      </c>
      <c r="D10" s="266"/>
      <c r="E10" s="99">
        <v>0.8</v>
      </c>
      <c r="F10" s="280"/>
      <c r="G10" s="266"/>
      <c r="H10" s="266"/>
      <c r="I10" s="273"/>
      <c r="J10" s="275"/>
      <c r="K10" s="271"/>
      <c r="L10" s="268"/>
      <c r="M10" s="268"/>
      <c r="N10" s="266"/>
    </row>
    <row r="11" spans="1:14" ht="127.5" customHeight="1">
      <c r="A11" s="269"/>
      <c r="B11" s="98" t="s">
        <v>269</v>
      </c>
      <c r="C11" s="98" t="s">
        <v>270</v>
      </c>
      <c r="D11" s="269"/>
      <c r="E11" s="99">
        <v>0</v>
      </c>
      <c r="F11" s="281"/>
      <c r="G11" s="269"/>
      <c r="H11" s="269"/>
      <c r="I11" s="282"/>
      <c r="J11" s="278"/>
      <c r="K11" s="276"/>
      <c r="L11" s="277"/>
      <c r="M11" s="277"/>
      <c r="N11" s="269"/>
    </row>
    <row r="12" spans="1:14" ht="127.5" customHeight="1">
      <c r="A12" s="265" t="s">
        <v>271</v>
      </c>
      <c r="B12" s="98" t="s">
        <v>272</v>
      </c>
      <c r="C12" s="98" t="s">
        <v>273</v>
      </c>
      <c r="D12" s="265" t="s">
        <v>274</v>
      </c>
      <c r="E12" s="99">
        <v>0.25</v>
      </c>
      <c r="F12" s="274">
        <v>221138.209</v>
      </c>
      <c r="G12" s="265" t="s">
        <v>275</v>
      </c>
      <c r="H12" s="265" t="s">
        <v>276</v>
      </c>
      <c r="I12" s="265" t="s">
        <v>277</v>
      </c>
      <c r="J12" s="274">
        <v>221138.209</v>
      </c>
      <c r="K12" s="270" t="s">
        <v>278</v>
      </c>
      <c r="L12" s="267">
        <v>41093</v>
      </c>
      <c r="M12" s="267">
        <v>41274</v>
      </c>
      <c r="N12" s="265" t="s">
        <v>262</v>
      </c>
    </row>
    <row r="13" spans="1:14" ht="127.5" customHeight="1">
      <c r="A13" s="266"/>
      <c r="B13" s="98" t="s">
        <v>279</v>
      </c>
      <c r="C13" s="98" t="s">
        <v>280</v>
      </c>
      <c r="D13" s="266"/>
      <c r="E13" s="99">
        <v>0.25</v>
      </c>
      <c r="F13" s="275"/>
      <c r="G13" s="266"/>
      <c r="H13" s="266"/>
      <c r="I13" s="266"/>
      <c r="J13" s="275"/>
      <c r="K13" s="271"/>
      <c r="L13" s="268"/>
      <c r="M13" s="268"/>
      <c r="N13" s="266"/>
    </row>
    <row r="14" spans="1:14" ht="127.5" customHeight="1">
      <c r="A14" s="269"/>
      <c r="B14" s="98" t="s">
        <v>281</v>
      </c>
      <c r="C14" s="98" t="s">
        <v>282</v>
      </c>
      <c r="D14" s="269"/>
      <c r="E14" s="99">
        <v>0.25</v>
      </c>
      <c r="F14" s="275"/>
      <c r="G14" s="269"/>
      <c r="H14" s="269"/>
      <c r="I14" s="269"/>
      <c r="J14" s="278"/>
      <c r="K14" s="276"/>
      <c r="L14" s="277"/>
      <c r="M14" s="277"/>
      <c r="N14" s="269"/>
    </row>
    <row r="15" spans="1:14" ht="148.5" customHeight="1">
      <c r="A15" s="265" t="s">
        <v>283</v>
      </c>
      <c r="B15" s="98" t="s">
        <v>139</v>
      </c>
      <c r="C15" s="98" t="s">
        <v>284</v>
      </c>
      <c r="D15" s="265" t="s">
        <v>285</v>
      </c>
      <c r="E15" s="99">
        <v>0.25</v>
      </c>
      <c r="F15" s="274">
        <v>16200</v>
      </c>
      <c r="G15" s="265" t="s">
        <v>286</v>
      </c>
      <c r="H15" s="265" t="s">
        <v>287</v>
      </c>
      <c r="I15" s="265" t="s">
        <v>288</v>
      </c>
      <c r="J15" s="274">
        <v>16200</v>
      </c>
      <c r="K15" s="270" t="s">
        <v>278</v>
      </c>
      <c r="L15" s="267">
        <v>41093</v>
      </c>
      <c r="M15" s="267">
        <v>41274</v>
      </c>
      <c r="N15" s="265" t="s">
        <v>262</v>
      </c>
    </row>
    <row r="16" spans="1:14" ht="148.5" customHeight="1">
      <c r="A16" s="266"/>
      <c r="B16" s="98" t="s">
        <v>141</v>
      </c>
      <c r="C16" s="98" t="s">
        <v>142</v>
      </c>
      <c r="D16" s="266"/>
      <c r="E16" s="99">
        <v>0.1</v>
      </c>
      <c r="F16" s="275"/>
      <c r="G16" s="266"/>
      <c r="H16" s="266"/>
      <c r="I16" s="266"/>
      <c r="J16" s="275"/>
      <c r="K16" s="271"/>
      <c r="L16" s="268"/>
      <c r="M16" s="268"/>
      <c r="N16" s="266"/>
    </row>
    <row r="17" spans="1:14" ht="148.5" customHeight="1">
      <c r="A17" s="269"/>
      <c r="B17" s="98" t="s">
        <v>110</v>
      </c>
      <c r="C17" s="98" t="s">
        <v>111</v>
      </c>
      <c r="D17" s="269"/>
      <c r="E17" s="99">
        <v>0.1</v>
      </c>
      <c r="F17" s="275"/>
      <c r="G17" s="269"/>
      <c r="H17" s="269"/>
      <c r="I17" s="269"/>
      <c r="J17" s="275"/>
      <c r="K17" s="276"/>
      <c r="L17" s="277"/>
      <c r="M17" s="277"/>
      <c r="N17" s="269"/>
    </row>
    <row r="18" spans="1:14" ht="246.75" customHeight="1">
      <c r="A18" s="265" t="s">
        <v>289</v>
      </c>
      <c r="B18" s="98" t="s">
        <v>143</v>
      </c>
      <c r="C18" s="98" t="s">
        <v>144</v>
      </c>
      <c r="D18" s="265" t="s">
        <v>207</v>
      </c>
      <c r="E18" s="99">
        <v>1</v>
      </c>
      <c r="F18" s="274">
        <v>12500</v>
      </c>
      <c r="G18" s="265" t="s">
        <v>290</v>
      </c>
      <c r="H18" s="265" t="s">
        <v>291</v>
      </c>
      <c r="I18" s="265" t="s">
        <v>292</v>
      </c>
      <c r="J18" s="274">
        <v>12500</v>
      </c>
      <c r="K18" s="270" t="s">
        <v>278</v>
      </c>
      <c r="L18" s="267">
        <v>41093</v>
      </c>
      <c r="M18" s="267">
        <v>41274</v>
      </c>
      <c r="N18" s="265" t="s">
        <v>293</v>
      </c>
    </row>
    <row r="19" spans="1:14" ht="246" customHeight="1">
      <c r="A19" s="266"/>
      <c r="B19" s="98" t="s">
        <v>145</v>
      </c>
      <c r="C19" s="98" t="s">
        <v>146</v>
      </c>
      <c r="D19" s="266"/>
      <c r="E19" s="99">
        <v>1</v>
      </c>
      <c r="F19" s="275"/>
      <c r="G19" s="266"/>
      <c r="H19" s="266"/>
      <c r="I19" s="266"/>
      <c r="J19" s="275"/>
      <c r="K19" s="271"/>
      <c r="L19" s="268"/>
      <c r="M19" s="268"/>
      <c r="N19" s="266"/>
    </row>
    <row r="20" spans="1:14" ht="90">
      <c r="A20" s="265" t="s">
        <v>294</v>
      </c>
      <c r="B20" s="98" t="s">
        <v>147</v>
      </c>
      <c r="C20" s="98" t="s">
        <v>295</v>
      </c>
      <c r="D20" s="265" t="s">
        <v>209</v>
      </c>
      <c r="E20" s="99">
        <v>0.8</v>
      </c>
      <c r="F20" s="274">
        <v>141400</v>
      </c>
      <c r="G20" s="265" t="s">
        <v>296</v>
      </c>
      <c r="H20" s="265" t="s">
        <v>297</v>
      </c>
      <c r="I20" s="265" t="s">
        <v>298</v>
      </c>
      <c r="J20" s="274">
        <v>141400</v>
      </c>
      <c r="K20" s="270" t="s">
        <v>278</v>
      </c>
      <c r="L20" s="267">
        <v>41093</v>
      </c>
      <c r="M20" s="267">
        <v>41274</v>
      </c>
      <c r="N20" s="265" t="s">
        <v>293</v>
      </c>
    </row>
    <row r="21" spans="1:14" ht="45">
      <c r="A21" s="266"/>
      <c r="B21" s="98" t="s">
        <v>299</v>
      </c>
      <c r="C21" s="98" t="s">
        <v>150</v>
      </c>
      <c r="D21" s="266"/>
      <c r="E21" s="99">
        <v>1</v>
      </c>
      <c r="F21" s="275"/>
      <c r="G21" s="266"/>
      <c r="H21" s="266"/>
      <c r="I21" s="266"/>
      <c r="J21" s="275"/>
      <c r="K21" s="271"/>
      <c r="L21" s="268"/>
      <c r="M21" s="268"/>
      <c r="N21" s="266"/>
    </row>
    <row r="22" spans="1:14" ht="180">
      <c r="A22" s="266"/>
      <c r="B22" s="98" t="s">
        <v>300</v>
      </c>
      <c r="C22" s="98" t="s">
        <v>301</v>
      </c>
      <c r="D22" s="266"/>
      <c r="E22" s="99">
        <v>0.8</v>
      </c>
      <c r="F22" s="275"/>
      <c r="G22" s="266"/>
      <c r="H22" s="266"/>
      <c r="I22" s="266"/>
      <c r="J22" s="275"/>
      <c r="K22" s="271"/>
      <c r="L22" s="268"/>
      <c r="M22" s="268"/>
      <c r="N22" s="266"/>
    </row>
    <row r="23" spans="1:14" ht="150">
      <c r="A23" s="266"/>
      <c r="B23" s="98" t="s">
        <v>302</v>
      </c>
      <c r="C23" s="98" t="s">
        <v>303</v>
      </c>
      <c r="D23" s="266"/>
      <c r="E23" s="99">
        <v>1</v>
      </c>
      <c r="F23" s="275"/>
      <c r="G23" s="266"/>
      <c r="H23" s="266"/>
      <c r="I23" s="266"/>
      <c r="J23" s="275"/>
      <c r="K23" s="271"/>
      <c r="L23" s="268"/>
      <c r="M23" s="268"/>
      <c r="N23" s="266"/>
    </row>
    <row r="24" spans="1:14" ht="131.25" customHeight="1">
      <c r="A24" s="265" t="s">
        <v>304</v>
      </c>
      <c r="B24" s="98" t="s">
        <v>155</v>
      </c>
      <c r="C24" s="98" t="s">
        <v>305</v>
      </c>
      <c r="D24" s="265" t="s">
        <v>306</v>
      </c>
      <c r="E24" s="99">
        <v>0.5</v>
      </c>
      <c r="F24" s="274">
        <v>12500</v>
      </c>
      <c r="G24" s="265" t="s">
        <v>307</v>
      </c>
      <c r="H24" s="265" t="s">
        <v>308</v>
      </c>
      <c r="I24" s="265" t="s">
        <v>309</v>
      </c>
      <c r="J24" s="274">
        <v>12500</v>
      </c>
      <c r="K24" s="270" t="s">
        <v>278</v>
      </c>
      <c r="L24" s="267">
        <v>41093</v>
      </c>
      <c r="M24" s="267">
        <v>41274</v>
      </c>
      <c r="N24" s="265" t="s">
        <v>293</v>
      </c>
    </row>
    <row r="25" spans="1:14" ht="131.25" customHeight="1">
      <c r="A25" s="266"/>
      <c r="B25" s="98" t="s">
        <v>112</v>
      </c>
      <c r="C25" s="98" t="s">
        <v>310</v>
      </c>
      <c r="D25" s="266"/>
      <c r="E25" s="99">
        <v>1</v>
      </c>
      <c r="F25" s="275"/>
      <c r="G25" s="266"/>
      <c r="H25" s="266"/>
      <c r="I25" s="266"/>
      <c r="J25" s="275"/>
      <c r="K25" s="271"/>
      <c r="L25" s="268"/>
      <c r="M25" s="268"/>
      <c r="N25" s="266"/>
    </row>
    <row r="26" spans="1:14" ht="60">
      <c r="A26" s="265" t="s">
        <v>311</v>
      </c>
      <c r="B26" s="98" t="s">
        <v>312</v>
      </c>
      <c r="C26" s="98" t="s">
        <v>313</v>
      </c>
      <c r="D26" s="265" t="s">
        <v>314</v>
      </c>
      <c r="E26" s="99">
        <v>0.25</v>
      </c>
      <c r="F26" s="274">
        <v>41511.287</v>
      </c>
      <c r="G26" s="265" t="s">
        <v>315</v>
      </c>
      <c r="H26" s="265" t="s">
        <v>316</v>
      </c>
      <c r="I26" s="272" t="s">
        <v>317</v>
      </c>
      <c r="J26" s="274">
        <v>41511.287</v>
      </c>
      <c r="K26" s="270" t="s">
        <v>278</v>
      </c>
      <c r="L26" s="267">
        <v>41093</v>
      </c>
      <c r="M26" s="267">
        <v>41274</v>
      </c>
      <c r="N26" s="265" t="s">
        <v>318</v>
      </c>
    </row>
    <row r="27" spans="1:14" ht="105">
      <c r="A27" s="266"/>
      <c r="B27" s="98" t="s">
        <v>319</v>
      </c>
      <c r="C27" s="98" t="s">
        <v>320</v>
      </c>
      <c r="D27" s="266"/>
      <c r="E27" s="99">
        <v>0.2</v>
      </c>
      <c r="F27" s="275"/>
      <c r="G27" s="266"/>
      <c r="H27" s="266"/>
      <c r="I27" s="273"/>
      <c r="J27" s="275"/>
      <c r="K27" s="271"/>
      <c r="L27" s="268"/>
      <c r="M27" s="268"/>
      <c r="N27" s="266"/>
    </row>
    <row r="28" spans="1:14" ht="75">
      <c r="A28" s="266"/>
      <c r="B28" s="98" t="s">
        <v>321</v>
      </c>
      <c r="C28" s="98" t="s">
        <v>322</v>
      </c>
      <c r="D28" s="266"/>
      <c r="E28" s="99">
        <v>0.2</v>
      </c>
      <c r="F28" s="275"/>
      <c r="G28" s="266"/>
      <c r="H28" s="266"/>
      <c r="I28" s="273"/>
      <c r="J28" s="275"/>
      <c r="K28" s="271"/>
      <c r="L28" s="268"/>
      <c r="M28" s="268"/>
      <c r="N28" s="269"/>
    </row>
    <row r="29" spans="1:14" ht="75">
      <c r="A29" s="265" t="s">
        <v>323</v>
      </c>
      <c r="B29" s="98" t="s">
        <v>324</v>
      </c>
      <c r="C29" s="98" t="s">
        <v>325</v>
      </c>
      <c r="D29" s="265" t="s">
        <v>326</v>
      </c>
      <c r="E29" s="100">
        <v>0.125</v>
      </c>
      <c r="F29" s="274">
        <v>31400</v>
      </c>
      <c r="G29" s="265" t="s">
        <v>327</v>
      </c>
      <c r="H29" s="265" t="s">
        <v>328</v>
      </c>
      <c r="I29" s="265" t="s">
        <v>329</v>
      </c>
      <c r="J29" s="274">
        <v>31400</v>
      </c>
      <c r="K29" s="270" t="s">
        <v>278</v>
      </c>
      <c r="L29" s="267">
        <v>41093</v>
      </c>
      <c r="M29" s="267">
        <v>41274</v>
      </c>
      <c r="N29" s="265" t="s">
        <v>318</v>
      </c>
    </row>
    <row r="30" spans="1:14" ht="180">
      <c r="A30" s="266"/>
      <c r="B30" s="98" t="s">
        <v>330</v>
      </c>
      <c r="C30" s="98" t="s">
        <v>331</v>
      </c>
      <c r="D30" s="266"/>
      <c r="E30" s="99">
        <v>1</v>
      </c>
      <c r="F30" s="275"/>
      <c r="G30" s="266"/>
      <c r="H30" s="266"/>
      <c r="I30" s="266"/>
      <c r="J30" s="275"/>
      <c r="K30" s="271"/>
      <c r="L30" s="268"/>
      <c r="M30" s="268"/>
      <c r="N30" s="266"/>
    </row>
    <row r="31" spans="1:14" ht="150">
      <c r="A31" s="266"/>
      <c r="B31" s="98" t="s">
        <v>332</v>
      </c>
      <c r="C31" s="98" t="s">
        <v>333</v>
      </c>
      <c r="D31" s="266"/>
      <c r="E31" s="99">
        <v>1</v>
      </c>
      <c r="F31" s="275"/>
      <c r="G31" s="266"/>
      <c r="H31" s="266"/>
      <c r="I31" s="266"/>
      <c r="J31" s="275"/>
      <c r="K31" s="271"/>
      <c r="L31" s="268"/>
      <c r="M31" s="268"/>
      <c r="N31" s="266"/>
    </row>
    <row r="32" spans="1:14" ht="90">
      <c r="A32" s="266"/>
      <c r="B32" s="98" t="s">
        <v>334</v>
      </c>
      <c r="C32" s="98" t="s">
        <v>335</v>
      </c>
      <c r="D32" s="266"/>
      <c r="E32" s="101">
        <v>0.3333</v>
      </c>
      <c r="F32" s="275"/>
      <c r="G32" s="266"/>
      <c r="H32" s="266"/>
      <c r="I32" s="266"/>
      <c r="J32" s="275"/>
      <c r="K32" s="271"/>
      <c r="L32" s="268"/>
      <c r="M32" s="268"/>
      <c r="N32" s="266"/>
    </row>
    <row r="33" spans="1:14" ht="60">
      <c r="A33" s="266"/>
      <c r="B33" s="98" t="s">
        <v>336</v>
      </c>
      <c r="C33" s="98" t="s">
        <v>337</v>
      </c>
      <c r="D33" s="266"/>
      <c r="E33" s="99">
        <v>0.3</v>
      </c>
      <c r="F33" s="275"/>
      <c r="G33" s="266"/>
      <c r="H33" s="266"/>
      <c r="I33" s="266"/>
      <c r="J33" s="275"/>
      <c r="K33" s="271"/>
      <c r="L33" s="268"/>
      <c r="M33" s="268"/>
      <c r="N33" s="266"/>
    </row>
    <row r="34" spans="1:14" ht="75">
      <c r="A34" s="269"/>
      <c r="B34" s="102" t="s">
        <v>338</v>
      </c>
      <c r="C34" s="102" t="s">
        <v>339</v>
      </c>
      <c r="D34" s="266"/>
      <c r="E34" s="103">
        <v>1</v>
      </c>
      <c r="F34" s="275"/>
      <c r="G34" s="266"/>
      <c r="H34" s="266"/>
      <c r="I34" s="266"/>
      <c r="J34" s="275"/>
      <c r="K34" s="271"/>
      <c r="L34" s="268"/>
      <c r="M34" s="268"/>
      <c r="N34" s="266"/>
    </row>
    <row r="35" spans="1:14" ht="105">
      <c r="A35" s="265" t="s">
        <v>340</v>
      </c>
      <c r="B35" s="98" t="s">
        <v>175</v>
      </c>
      <c r="C35" s="104" t="s">
        <v>175</v>
      </c>
      <c r="D35" s="262" t="s">
        <v>341</v>
      </c>
      <c r="E35" s="99">
        <v>1</v>
      </c>
      <c r="F35" s="259">
        <v>62000</v>
      </c>
      <c r="G35" s="262" t="s">
        <v>342</v>
      </c>
      <c r="H35" s="262" t="s">
        <v>343</v>
      </c>
      <c r="I35" s="262" t="s">
        <v>344</v>
      </c>
      <c r="J35" s="259">
        <v>62000</v>
      </c>
      <c r="K35" s="260" t="s">
        <v>278</v>
      </c>
      <c r="L35" s="261">
        <v>41093</v>
      </c>
      <c r="M35" s="261">
        <v>41274</v>
      </c>
      <c r="N35" s="262" t="s">
        <v>262</v>
      </c>
    </row>
    <row r="36" spans="1:14" ht="60">
      <c r="A36" s="266"/>
      <c r="B36" s="98" t="s">
        <v>177</v>
      </c>
      <c r="C36" s="104" t="s">
        <v>177</v>
      </c>
      <c r="D36" s="262"/>
      <c r="E36" s="99">
        <v>0.1</v>
      </c>
      <c r="F36" s="259"/>
      <c r="G36" s="262"/>
      <c r="H36" s="262"/>
      <c r="I36" s="262"/>
      <c r="J36" s="259"/>
      <c r="K36" s="260"/>
      <c r="L36" s="261"/>
      <c r="M36" s="261"/>
      <c r="N36" s="262"/>
    </row>
    <row r="37" spans="1:14" ht="45">
      <c r="A37" s="266"/>
      <c r="B37" s="98" t="s">
        <v>179</v>
      </c>
      <c r="C37" s="104" t="s">
        <v>179</v>
      </c>
      <c r="D37" s="262"/>
      <c r="E37" s="99">
        <v>1</v>
      </c>
      <c r="F37" s="259"/>
      <c r="G37" s="262"/>
      <c r="H37" s="262"/>
      <c r="I37" s="262"/>
      <c r="J37" s="259"/>
      <c r="K37" s="260"/>
      <c r="L37" s="261"/>
      <c r="M37" s="261"/>
      <c r="N37" s="262"/>
    </row>
    <row r="38" spans="1:14" ht="75">
      <c r="A38" s="266"/>
      <c r="B38" s="98" t="s">
        <v>114</v>
      </c>
      <c r="C38" s="104" t="s">
        <v>114</v>
      </c>
      <c r="D38" s="262"/>
      <c r="E38" s="99">
        <v>0.15</v>
      </c>
      <c r="F38" s="259"/>
      <c r="G38" s="262"/>
      <c r="H38" s="262"/>
      <c r="I38" s="262"/>
      <c r="J38" s="259"/>
      <c r="K38" s="260"/>
      <c r="L38" s="261"/>
      <c r="M38" s="261"/>
      <c r="N38" s="262"/>
    </row>
    <row r="39" spans="1:14" ht="120">
      <c r="A39" s="266"/>
      <c r="B39" s="98" t="s">
        <v>116</v>
      </c>
      <c r="C39" s="104" t="s">
        <v>116</v>
      </c>
      <c r="D39" s="262"/>
      <c r="E39" s="101">
        <v>0.08333</v>
      </c>
      <c r="F39" s="259"/>
      <c r="G39" s="262"/>
      <c r="H39" s="262"/>
      <c r="I39" s="262"/>
      <c r="J39" s="259"/>
      <c r="K39" s="260"/>
      <c r="L39" s="261"/>
      <c r="M39" s="261"/>
      <c r="N39" s="262"/>
    </row>
    <row r="40" spans="1:14" ht="15.75" thickBot="1">
      <c r="A40" s="105" t="s">
        <v>345</v>
      </c>
      <c r="B40" s="263"/>
      <c r="C40" s="263"/>
      <c r="D40" s="263"/>
      <c r="E40" s="263"/>
      <c r="F40" s="263"/>
      <c r="G40" s="263"/>
      <c r="H40" s="263"/>
      <c r="I40" s="263"/>
      <c r="J40" s="263"/>
      <c r="K40" s="263"/>
      <c r="L40" s="263"/>
      <c r="M40" s="263"/>
      <c r="N40" s="264"/>
    </row>
    <row r="41" spans="1:14" ht="62.25" customHeight="1" thickBot="1">
      <c r="A41" s="254" t="s">
        <v>346</v>
      </c>
      <c r="B41" s="255"/>
      <c r="C41" s="256"/>
      <c r="D41" s="106" t="s">
        <v>347</v>
      </c>
      <c r="E41" s="257" t="s">
        <v>348</v>
      </c>
      <c r="F41" s="257"/>
      <c r="G41" s="257"/>
      <c r="H41" s="257"/>
      <c r="I41" s="257"/>
      <c r="J41" s="257"/>
      <c r="K41" s="257"/>
      <c r="L41" s="257"/>
      <c r="M41" s="257"/>
      <c r="N41" s="258"/>
    </row>
  </sheetData>
  <sheetProtection/>
  <mergeCells count="122">
    <mergeCell ref="A4:C4"/>
    <mergeCell ref="D4:G4"/>
    <mergeCell ref="H4:N4"/>
    <mergeCell ref="A1:N1"/>
    <mergeCell ref="A2:N2"/>
    <mergeCell ref="A3:G3"/>
    <mergeCell ref="H3:J3"/>
    <mergeCell ref="K3:N3"/>
    <mergeCell ref="L5:M5"/>
    <mergeCell ref="A5:A6"/>
    <mergeCell ref="B5:B6"/>
    <mergeCell ref="C5:C6"/>
    <mergeCell ref="D5:D6"/>
    <mergeCell ref="E5:E6"/>
    <mergeCell ref="F5:F6"/>
    <mergeCell ref="J5:J6"/>
    <mergeCell ref="K5:K6"/>
    <mergeCell ref="I7:I11"/>
    <mergeCell ref="G5:G6"/>
    <mergeCell ref="H5:H6"/>
    <mergeCell ref="I5:I6"/>
    <mergeCell ref="G7:G11"/>
    <mergeCell ref="H7:H11"/>
    <mergeCell ref="H12:H14"/>
    <mergeCell ref="A7:A11"/>
    <mergeCell ref="D7:D11"/>
    <mergeCell ref="F7:F11"/>
    <mergeCell ref="A12:A14"/>
    <mergeCell ref="D12:D14"/>
    <mergeCell ref="F12:F14"/>
    <mergeCell ref="G12:G14"/>
    <mergeCell ref="N12:N14"/>
    <mergeCell ref="J7:J11"/>
    <mergeCell ref="K7:K11"/>
    <mergeCell ref="L7:L11"/>
    <mergeCell ref="M7:M11"/>
    <mergeCell ref="N7:N11"/>
    <mergeCell ref="L12:L14"/>
    <mergeCell ref="M12:M14"/>
    <mergeCell ref="H18:H19"/>
    <mergeCell ref="A15:A17"/>
    <mergeCell ref="D15:D17"/>
    <mergeCell ref="F15:F17"/>
    <mergeCell ref="G15:G17"/>
    <mergeCell ref="H15:H17"/>
    <mergeCell ref="A18:A19"/>
    <mergeCell ref="D18:D19"/>
    <mergeCell ref="F18:F19"/>
    <mergeCell ref="G18:G19"/>
    <mergeCell ref="I15:I17"/>
    <mergeCell ref="I12:I14"/>
    <mergeCell ref="J12:J14"/>
    <mergeCell ref="K12:K14"/>
    <mergeCell ref="I20:I23"/>
    <mergeCell ref="I18:I19"/>
    <mergeCell ref="J18:J19"/>
    <mergeCell ref="K18:K19"/>
    <mergeCell ref="J20:J23"/>
    <mergeCell ref="K20:K23"/>
    <mergeCell ref="N18:N19"/>
    <mergeCell ref="J15:J17"/>
    <mergeCell ref="K15:K17"/>
    <mergeCell ref="L15:L17"/>
    <mergeCell ref="M15:M17"/>
    <mergeCell ref="N15:N17"/>
    <mergeCell ref="L18:L19"/>
    <mergeCell ref="M18:M19"/>
    <mergeCell ref="H24:H25"/>
    <mergeCell ref="A20:A23"/>
    <mergeCell ref="D20:D23"/>
    <mergeCell ref="F20:F23"/>
    <mergeCell ref="G20:G23"/>
    <mergeCell ref="H20:H23"/>
    <mergeCell ref="A24:A25"/>
    <mergeCell ref="D24:D25"/>
    <mergeCell ref="F24:F25"/>
    <mergeCell ref="G24:G25"/>
    <mergeCell ref="L20:L23"/>
    <mergeCell ref="M20:M23"/>
    <mergeCell ref="N20:N23"/>
    <mergeCell ref="L24:L25"/>
    <mergeCell ref="M24:M25"/>
    <mergeCell ref="N24:N25"/>
    <mergeCell ref="I24:I25"/>
    <mergeCell ref="J24:J25"/>
    <mergeCell ref="K24:K25"/>
    <mergeCell ref="J26:J28"/>
    <mergeCell ref="K26:K28"/>
    <mergeCell ref="A29:A34"/>
    <mergeCell ref="D29:D34"/>
    <mergeCell ref="F29:F34"/>
    <mergeCell ref="G29:G34"/>
    <mergeCell ref="A26:A28"/>
    <mergeCell ref="D26:D28"/>
    <mergeCell ref="F26:F28"/>
    <mergeCell ref="G26:G28"/>
    <mergeCell ref="N29:N34"/>
    <mergeCell ref="H29:H34"/>
    <mergeCell ref="L26:L28"/>
    <mergeCell ref="M26:M28"/>
    <mergeCell ref="N26:N28"/>
    <mergeCell ref="K29:K34"/>
    <mergeCell ref="H26:H28"/>
    <mergeCell ref="I26:I28"/>
    <mergeCell ref="I29:I34"/>
    <mergeCell ref="J29:J34"/>
    <mergeCell ref="L29:L34"/>
    <mergeCell ref="M29:M34"/>
    <mergeCell ref="F35:F39"/>
    <mergeCell ref="G35:G39"/>
    <mergeCell ref="H35:H39"/>
    <mergeCell ref="I35:I39"/>
    <mergeCell ref="A41:C41"/>
    <mergeCell ref="E41:N41"/>
    <mergeCell ref="J35:J39"/>
    <mergeCell ref="K35:K39"/>
    <mergeCell ref="L35:L39"/>
    <mergeCell ref="M35:M39"/>
    <mergeCell ref="N35:N39"/>
    <mergeCell ref="B40:N40"/>
    <mergeCell ref="A35:A39"/>
    <mergeCell ref="D35:D3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SYepez</dc:creator>
  <cp:keywords/>
  <dc:description/>
  <cp:lastModifiedBy> </cp:lastModifiedBy>
  <cp:lastPrinted>2012-08-18T20:53:06Z</cp:lastPrinted>
  <dcterms:created xsi:type="dcterms:W3CDTF">2012-08-03T14:10:28Z</dcterms:created>
  <dcterms:modified xsi:type="dcterms:W3CDTF">2012-10-24T15:47:51Z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