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GOBERNACION QUINDIO 2019\PAGINA WEB\AGOSTO 2019\SGTO PDD II TRIMESTRE 2019\SEGUIMIENTO II TRIMESTRE 2019\"/>
    </mc:Choice>
  </mc:AlternateContent>
  <bookViews>
    <workbookView xWindow="0" yWindow="0" windowWidth="24000" windowHeight="9735"/>
  </bookViews>
  <sheets>
    <sheet name="SGTO PA ADMINISTRATIVA" sheetId="4" r:id="rId1"/>
    <sheet name="SGTO PA PLANEACION" sheetId="5" r:id="rId2"/>
    <sheet name="SGTO PA HACIENDA" sheetId="10" r:id="rId3"/>
    <sheet name="SGTO PA INFRA" sheetId="18" r:id="rId4"/>
    <sheet name="SGTO PA INTERIOR" sheetId="12" r:id="rId5"/>
    <sheet name="SGTO PA CULTURA" sheetId="9" r:id="rId6"/>
    <sheet name="SGTO PA TURISMO" sheetId="13" r:id="rId7"/>
    <sheet name="STO PA AGRICULTURA" sheetId="19" r:id="rId8"/>
    <sheet name="SGTO PA PRIVADA " sheetId="1" r:id="rId9"/>
    <sheet name="SGTO PA EDUCACION" sheetId="3" r:id="rId10"/>
    <sheet name="SGTO PA FAMILIA" sheetId="15" r:id="rId11"/>
    <sheet name="SGTO PA REP JUDICIAL" sheetId="16" r:id="rId12"/>
    <sheet name="SGTO PA SALUD" sheetId="6" r:id="rId13"/>
    <sheet name="SGTO PA INDEPORTES" sheetId="7" r:id="rId14"/>
    <sheet name="SGTO PA PROMOTORA" sheetId="11" r:id="rId15"/>
    <sheet name="SGTO PA IDTQ" sheetId="14" r:id="rId16"/>
  </sheets>
  <externalReferences>
    <externalReference r:id="rId17"/>
    <externalReference r:id="rId18"/>
    <externalReference r:id="rId19"/>
    <externalReference r:id="rId20"/>
  </externalReferences>
  <definedNames>
    <definedName name="_1._Apoyo_con_equipos_para_la_seguridad_vial_Licenciamiento_de_software_para_comunicaciones" localSheetId="0">#REF!</definedName>
    <definedName name="_1._Apoyo_con_equipos_para_la_seguridad_vial_Licenciamiento_de_software_para_comunicaciones" localSheetId="5">#REF!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2">#REF!</definedName>
    <definedName name="_1._Apoyo_con_equipos_para_la_seguridad_vial_Licenciamiento_de_software_para_comunicaciones" localSheetId="15">#REF!</definedName>
    <definedName name="_1._Apoyo_con_equipos_para_la_seguridad_vial_Licenciamiento_de_software_para_comunicaciones" localSheetId="13">#REF!</definedName>
    <definedName name="_1._Apoyo_con_equipos_para_la_seguridad_vial_Licenciamiento_de_software_para_comunicaciones" localSheetId="3">#REF!</definedName>
    <definedName name="_1._Apoyo_con_equipos_para_la_seguridad_vial_Licenciamiento_de_software_para_comunicaciones" localSheetId="4">#REF!</definedName>
    <definedName name="_1._Apoyo_con_equipos_para_la_seguridad_vial_Licenciamiento_de_software_para_comunicaciones" localSheetId="14">#REF!</definedName>
    <definedName name="_1._Apoyo_con_equipos_para_la_seguridad_vial_Licenciamiento_de_software_para_comunicaciones" localSheetId="12">#REF!</definedName>
    <definedName name="_1._Apoyo_con_equipos_para_la_seguridad_vial_Licenciamiento_de_software_para_comunicaciones" localSheetId="6">#REF!</definedName>
    <definedName name="_1._Apoyo_con_equipos_para_la_seguridad_vial_Licenciamiento_de_software_para_comunicaciones" localSheetId="7">#REF!</definedName>
    <definedName name="_1._Apoyo_con_equipos_para_la_seguridad_vial_Licenciamiento_de_software_para_comunicaciones">#REF!</definedName>
    <definedName name="_xlnm._FilterDatabase" localSheetId="9" hidden="1">'SGTO PA EDUCACION'!$A$11:$CL$11</definedName>
    <definedName name="_xlnm.Print_Area" localSheetId="14">'SGTO PA PROMOTORA'!$A$1:$BO$45</definedName>
    <definedName name="CODIGO_DIVIPOLA" localSheetId="0">#REF!</definedName>
    <definedName name="CODIGO_DIVIPOLA" localSheetId="5">#REF!</definedName>
    <definedName name="CODIGO_DIVIPOLA" localSheetId="9">#REF!</definedName>
    <definedName name="CODIGO_DIVIPOLA" localSheetId="10">#REF!</definedName>
    <definedName name="CODIGO_DIVIPOLA" localSheetId="2">#REF!</definedName>
    <definedName name="CODIGO_DIVIPOLA" localSheetId="15">#REF!</definedName>
    <definedName name="CODIGO_DIVIPOLA" localSheetId="13">#REF!</definedName>
    <definedName name="CODIGO_DIVIPOLA" localSheetId="3">#REF!</definedName>
    <definedName name="CODIGO_DIVIPOLA" localSheetId="4">#REF!</definedName>
    <definedName name="CODIGO_DIVIPOLA" localSheetId="14">#REF!</definedName>
    <definedName name="CODIGO_DIVIPOLA" localSheetId="12">#REF!</definedName>
    <definedName name="CODIGO_DIVIPOLA" localSheetId="6">#REF!</definedName>
    <definedName name="CODIGO_DIVIPOLA" localSheetId="7">#REF!</definedName>
    <definedName name="CODIGO_DIVIPOLA">#REF!</definedName>
    <definedName name="DboREGISTRO_LEY_617" localSheetId="0">#REF!</definedName>
    <definedName name="DboREGISTRO_LEY_617" localSheetId="5">#REF!</definedName>
    <definedName name="DboREGISTRO_LEY_617" localSheetId="9">#REF!</definedName>
    <definedName name="DboREGISTRO_LEY_617" localSheetId="10">#REF!</definedName>
    <definedName name="DboREGISTRO_LEY_617" localSheetId="2">#REF!</definedName>
    <definedName name="DboREGISTRO_LEY_617" localSheetId="15">#REF!</definedName>
    <definedName name="DboREGISTRO_LEY_617" localSheetId="13">#REF!</definedName>
    <definedName name="DboREGISTRO_LEY_617" localSheetId="3">#REF!</definedName>
    <definedName name="DboREGISTRO_LEY_617" localSheetId="4">#REF!</definedName>
    <definedName name="DboREGISTRO_LEY_617" localSheetId="14">#REF!</definedName>
    <definedName name="DboREGISTRO_LEY_617" localSheetId="12">#REF!</definedName>
    <definedName name="DboREGISTRO_LEY_617" localSheetId="6">#REF!</definedName>
    <definedName name="DboREGISTRO_LEY_617" localSheetId="7">#REF!</definedName>
    <definedName name="DboREGISTRO_LEY_617">#REF!</definedName>
    <definedName name="ññ" localSheetId="0">#REF!</definedName>
    <definedName name="ññ" localSheetId="5">#REF!</definedName>
    <definedName name="ññ" localSheetId="9">#REF!</definedName>
    <definedName name="ññ" localSheetId="10">#REF!</definedName>
    <definedName name="ññ" localSheetId="2">#REF!</definedName>
    <definedName name="ññ" localSheetId="15">#REF!</definedName>
    <definedName name="ññ" localSheetId="13">#REF!</definedName>
    <definedName name="ññ" localSheetId="3">#REF!</definedName>
    <definedName name="ññ" localSheetId="4">#REF!</definedName>
    <definedName name="ññ" localSheetId="14">#REF!</definedName>
    <definedName name="ññ" localSheetId="12">#REF!</definedName>
    <definedName name="ññ" localSheetId="6">#REF!</definedName>
    <definedName name="ññ" localSheetId="7">#REF!</definedName>
    <definedName name="ññ">#REF!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70" i="19" l="1"/>
  <c r="BF70" i="19"/>
  <c r="V70" i="19"/>
  <c r="U70" i="19"/>
  <c r="T70" i="19"/>
  <c r="O69" i="19"/>
  <c r="O68" i="19"/>
  <c r="O67" i="19"/>
  <c r="O66" i="19"/>
  <c r="BH65" i="19"/>
  <c r="BD65" i="19"/>
  <c r="BC65" i="19"/>
  <c r="O65" i="19"/>
  <c r="O61" i="19"/>
  <c r="BH60" i="19"/>
  <c r="BC60" i="19"/>
  <c r="O60" i="19"/>
  <c r="O58" i="19"/>
  <c r="O57" i="19"/>
  <c r="O56" i="19"/>
  <c r="BH55" i="19"/>
  <c r="BD55" i="19"/>
  <c r="BC55" i="19"/>
  <c r="O55" i="19"/>
  <c r="BH52" i="19"/>
  <c r="BC52" i="19"/>
  <c r="O52" i="19"/>
  <c r="BH49" i="19"/>
  <c r="BC49" i="19"/>
  <c r="P49" i="19"/>
  <c r="O49" i="19"/>
  <c r="O48" i="19"/>
  <c r="O47" i="19"/>
  <c r="BH43" i="19"/>
  <c r="BD43" i="19"/>
  <c r="BC43" i="19"/>
  <c r="P43" i="19"/>
  <c r="O46" i="19" s="1"/>
  <c r="O41" i="19"/>
  <c r="O38" i="19"/>
  <c r="O36" i="19"/>
  <c r="BH34" i="19"/>
  <c r="BD34" i="19"/>
  <c r="BC34" i="19"/>
  <c r="O34" i="19"/>
  <c r="BH26" i="19"/>
  <c r="BC26" i="19"/>
  <c r="P26" i="19"/>
  <c r="O27" i="19" s="1"/>
  <c r="BH22" i="19"/>
  <c r="BC22" i="19"/>
  <c r="P22" i="19"/>
  <c r="O24" i="19" s="1"/>
  <c r="O22" i="19"/>
  <c r="O20" i="19"/>
  <c r="BH19" i="19"/>
  <c r="BC19" i="19"/>
  <c r="O19" i="19"/>
  <c r="O17" i="19"/>
  <c r="O16" i="19"/>
  <c r="O15" i="19"/>
  <c r="O14" i="19"/>
  <c r="BH12" i="19"/>
  <c r="BC12" i="19"/>
  <c r="O12" i="19"/>
  <c r="P70" i="19" l="1"/>
  <c r="O29" i="19"/>
  <c r="O30" i="19"/>
  <c r="O43" i="19"/>
  <c r="O28" i="19"/>
  <c r="O26" i="19"/>
  <c r="Y59" i="18" l="1"/>
  <c r="BJ58" i="18"/>
  <c r="BI58" i="18"/>
  <c r="S58" i="18"/>
  <c r="R58" i="18"/>
  <c r="R54" i="18"/>
  <c r="R52" i="18"/>
  <c r="R46" i="18"/>
  <c r="BK38" i="18"/>
  <c r="BJ38" i="18"/>
  <c r="BI38" i="18"/>
  <c r="S38" i="18"/>
  <c r="R56" i="18" s="1"/>
  <c r="R38" i="18"/>
  <c r="R32" i="18"/>
  <c r="BK27" i="18"/>
  <c r="S27" i="18"/>
  <c r="R27" i="18"/>
  <c r="BI22" i="18"/>
  <c r="S22" i="18"/>
  <c r="R22" i="18" s="1"/>
  <c r="X21" i="18"/>
  <c r="BI21" i="18" s="1"/>
  <c r="S21" i="18"/>
  <c r="R21" i="18" s="1"/>
  <c r="X19" i="18"/>
  <c r="BI19" i="18" s="1"/>
  <c r="S19" i="18"/>
  <c r="R19" i="18" s="1"/>
  <c r="X17" i="18"/>
  <c r="BI17" i="18" s="1"/>
  <c r="S17" i="18"/>
  <c r="R17" i="18" s="1"/>
  <c r="BJ13" i="18"/>
  <c r="BJ59" i="18" s="1"/>
  <c r="X13" i="18"/>
  <c r="X59" i="18" s="1"/>
  <c r="W13" i="18"/>
  <c r="S13" i="18" s="1"/>
  <c r="R13" i="18" l="1"/>
  <c r="S59" i="18"/>
  <c r="BI13" i="18"/>
  <c r="R57" i="18"/>
  <c r="W59" i="18"/>
  <c r="R44" i="18"/>
  <c r="Y22" i="16"/>
  <c r="BJ18" i="16" s="1"/>
  <c r="BJ22" i="16" s="1"/>
  <c r="X22" i="16"/>
  <c r="W22" i="16"/>
  <c r="BG18" i="16"/>
  <c r="BF18" i="16"/>
  <c r="BI59" i="18" l="1"/>
  <c r="BK59" i="18" s="1"/>
  <c r="BK13" i="18"/>
  <c r="BG136" i="15"/>
  <c r="BF136" i="15"/>
  <c r="V135" i="15"/>
  <c r="U135" i="15"/>
  <c r="T135" i="15"/>
  <c r="V133" i="15"/>
  <c r="U133" i="15"/>
  <c r="U136" i="15" s="1"/>
  <c r="T133" i="15"/>
  <c r="T128" i="15"/>
  <c r="P124" i="15" s="1"/>
  <c r="T127" i="15"/>
  <c r="BH124" i="15"/>
  <c r="BD124" i="15"/>
  <c r="BC124" i="15"/>
  <c r="V118" i="15"/>
  <c r="T118" i="15"/>
  <c r="T116" i="15"/>
  <c r="BH115" i="15"/>
  <c r="BC115" i="15"/>
  <c r="T115" i="15"/>
  <c r="P115" i="15" s="1"/>
  <c r="O115" i="15" s="1"/>
  <c r="BH110" i="15"/>
  <c r="BC110" i="15"/>
  <c r="P110" i="15"/>
  <c r="O110" i="15"/>
  <c r="BF106" i="15"/>
  <c r="BH106" i="15" s="1"/>
  <c r="BD106" i="15"/>
  <c r="BC106" i="15"/>
  <c r="AN106" i="15"/>
  <c r="AM106" i="15"/>
  <c r="P106" i="15"/>
  <c r="O106" i="15"/>
  <c r="BH103" i="15"/>
  <c r="BC103" i="15"/>
  <c r="AL103" i="15"/>
  <c r="AK103" i="15"/>
  <c r="AJ103" i="15"/>
  <c r="AH103" i="15"/>
  <c r="Z103" i="15"/>
  <c r="BD103" i="15" s="1"/>
  <c r="P103" i="15"/>
  <c r="O103" i="15"/>
  <c r="BH100" i="15"/>
  <c r="BD100" i="15"/>
  <c r="BC100" i="15"/>
  <c r="AL100" i="15"/>
  <c r="AK100" i="15"/>
  <c r="P100" i="15"/>
  <c r="O100" i="15" s="1"/>
  <c r="BH97" i="15"/>
  <c r="BD97" i="15"/>
  <c r="BC97" i="15"/>
  <c r="BH95" i="15"/>
  <c r="BD95" i="15"/>
  <c r="BC95" i="15"/>
  <c r="P95" i="15"/>
  <c r="O95" i="15" s="1"/>
  <c r="BH78" i="15"/>
  <c r="BD78" i="15"/>
  <c r="BC78" i="15"/>
  <c r="P78" i="15"/>
  <c r="T75" i="15"/>
  <c r="V69" i="15"/>
  <c r="T67" i="15"/>
  <c r="T66" i="15"/>
  <c r="V65" i="15"/>
  <c r="T64" i="15"/>
  <c r="T63" i="15"/>
  <c r="P59" i="15" s="1"/>
  <c r="O59" i="15" s="1"/>
  <c r="T60" i="15"/>
  <c r="BH59" i="15"/>
  <c r="BD59" i="15"/>
  <c r="BC59" i="15"/>
  <c r="V52" i="15"/>
  <c r="V136" i="15" s="1"/>
  <c r="BH46" i="15"/>
  <c r="BD46" i="15"/>
  <c r="BC46" i="15"/>
  <c r="P46" i="15"/>
  <c r="O55" i="15" s="1"/>
  <c r="O46" i="15"/>
  <c r="T43" i="15"/>
  <c r="T42" i="15"/>
  <c r="T136" i="15" s="1"/>
  <c r="BH32" i="15"/>
  <c r="P32" i="15"/>
  <c r="BH24" i="15"/>
  <c r="P24" i="15"/>
  <c r="O24" i="15"/>
  <c r="BH14" i="15"/>
  <c r="P14" i="15"/>
  <c r="O18" i="15" s="1"/>
  <c r="O14" i="15"/>
  <c r="BG13" i="18" l="1"/>
  <c r="AU13" i="18"/>
  <c r="AM13" i="18"/>
  <c r="AE13" i="18"/>
  <c r="AS13" i="18"/>
  <c r="AC13" i="18"/>
  <c r="BC13" i="18"/>
  <c r="AI13" i="18"/>
  <c r="BA13" i="18"/>
  <c r="AO13" i="18"/>
  <c r="AG13" i="18"/>
  <c r="BE13" i="18"/>
  <c r="AK13" i="18"/>
  <c r="AQ13" i="18"/>
  <c r="P136" i="15"/>
  <c r="O134" i="15"/>
  <c r="O132" i="15"/>
  <c r="O124" i="15"/>
  <c r="O131" i="15"/>
  <c r="O39" i="15"/>
  <c r="O32" i="15"/>
  <c r="O42" i="15"/>
  <c r="O52" i="15"/>
  <c r="S13" i="14" l="1"/>
  <c r="R13" i="14" s="1"/>
  <c r="AC13" i="14"/>
  <c r="AE13" i="14"/>
  <c r="AG13" i="14"/>
  <c r="AI13" i="14"/>
  <c r="AK13" i="14"/>
  <c r="AM13" i="14"/>
  <c r="BC13" i="14"/>
  <c r="BF13" i="14"/>
  <c r="BG13" i="14" s="1"/>
  <c r="BI13" i="14"/>
  <c r="BJ13" i="14"/>
  <c r="BK13" i="14"/>
  <c r="W19" i="14"/>
  <c r="X19" i="14"/>
  <c r="Y19" i="14"/>
  <c r="R17" i="14" l="1"/>
  <c r="R15" i="14"/>
  <c r="S19" i="14"/>
  <c r="Y92" i="13"/>
  <c r="W89" i="13"/>
  <c r="W88" i="13"/>
  <c r="BJ86" i="13"/>
  <c r="BK86" i="13" s="1"/>
  <c r="BI86" i="13"/>
  <c r="BF86" i="13"/>
  <c r="W86" i="13"/>
  <c r="S86" i="13" s="1"/>
  <c r="R86" i="13" s="1"/>
  <c r="X75" i="13"/>
  <c r="BJ73" i="13"/>
  <c r="BK73" i="13" s="1"/>
  <c r="BI73" i="13"/>
  <c r="BF73" i="13"/>
  <c r="S73" i="13"/>
  <c r="R73" i="13"/>
  <c r="X70" i="13"/>
  <c r="X92" i="13" s="1"/>
  <c r="W70" i="13"/>
  <c r="BJ67" i="13"/>
  <c r="BF67" i="13"/>
  <c r="BG67" i="13" s="1"/>
  <c r="AM67" i="13"/>
  <c r="AK67" i="13"/>
  <c r="AI67" i="13"/>
  <c r="AG67" i="13"/>
  <c r="AE67" i="13"/>
  <c r="AC67" i="13"/>
  <c r="X67" i="13"/>
  <c r="W67" i="13"/>
  <c r="S67" i="13"/>
  <c r="W62" i="13"/>
  <c r="W59" i="13"/>
  <c r="R59" i="13" s="1"/>
  <c r="W57" i="13"/>
  <c r="BJ56" i="13"/>
  <c r="BK56" i="13" s="1"/>
  <c r="BI56" i="13"/>
  <c r="BG56" i="13"/>
  <c r="BF56" i="13"/>
  <c r="S56" i="13"/>
  <c r="R62" i="13" s="1"/>
  <c r="R53" i="13"/>
  <c r="W52" i="13"/>
  <c r="R49" i="13"/>
  <c r="R45" i="13"/>
  <c r="R43" i="13"/>
  <c r="R41" i="13"/>
  <c r="W34" i="13"/>
  <c r="S33" i="13" s="1"/>
  <c r="BK33" i="13"/>
  <c r="BJ33" i="13"/>
  <c r="BI33" i="13"/>
  <c r="BG33" i="13"/>
  <c r="BF33" i="13"/>
  <c r="R26" i="13"/>
  <c r="W24" i="13"/>
  <c r="BJ23" i="13"/>
  <c r="BK23" i="13" s="1"/>
  <c r="BI23" i="13"/>
  <c r="BG23" i="13"/>
  <c r="BF23" i="13"/>
  <c r="S23" i="13"/>
  <c r="R29" i="13" s="1"/>
  <c r="R23" i="13"/>
  <c r="W14" i="13"/>
  <c r="W92" i="13" s="1"/>
  <c r="BJ13" i="13"/>
  <c r="BJ92" i="13" s="1"/>
  <c r="BI13" i="13"/>
  <c r="BG13" i="13"/>
  <c r="BF13" i="13"/>
  <c r="S13" i="13"/>
  <c r="R70" i="13" l="1"/>
  <c r="R67" i="13"/>
  <c r="R47" i="13"/>
  <c r="R39" i="13"/>
  <c r="R33" i="13"/>
  <c r="R51" i="13"/>
  <c r="S92" i="13"/>
  <c r="R13" i="13"/>
  <c r="R17" i="13"/>
  <c r="R56" i="13"/>
  <c r="BI67" i="13"/>
  <c r="BI92" i="13" s="1"/>
  <c r="BK13" i="13"/>
  <c r="BK67" i="13" l="1"/>
  <c r="BI185" i="12" l="1"/>
  <c r="Y185" i="12"/>
  <c r="BJ185" i="12" s="1"/>
  <c r="BK185" i="12" s="1"/>
  <c r="S185" i="12"/>
  <c r="R185" i="12"/>
  <c r="X181" i="12"/>
  <c r="BJ178" i="12"/>
  <c r="X178" i="12"/>
  <c r="BI178" i="12" s="1"/>
  <c r="BK178" i="12" s="1"/>
  <c r="S178" i="12"/>
  <c r="R178" i="12" s="1"/>
  <c r="Y170" i="12"/>
  <c r="Y169" i="12"/>
  <c r="BJ149" i="12" s="1"/>
  <c r="BK149" i="12" s="1"/>
  <c r="R168" i="12"/>
  <c r="Y163" i="12"/>
  <c r="X163" i="12"/>
  <c r="BI149" i="12"/>
  <c r="S149" i="12"/>
  <c r="R169" i="12" s="1"/>
  <c r="R149" i="12"/>
  <c r="BK143" i="12"/>
  <c r="BJ143" i="12"/>
  <c r="BI143" i="12"/>
  <c r="S143" i="12"/>
  <c r="R145" i="12" s="1"/>
  <c r="R143" i="12"/>
  <c r="Y139" i="12"/>
  <c r="Y137" i="12"/>
  <c r="Y132" i="12"/>
  <c r="W127" i="12"/>
  <c r="W190" i="12" s="1"/>
  <c r="BI117" i="12"/>
  <c r="Y117" i="12"/>
  <c r="BJ117" i="12" s="1"/>
  <c r="BK117" i="12" s="1"/>
  <c r="S117" i="12"/>
  <c r="R128" i="12" s="1"/>
  <c r="Y107" i="12"/>
  <c r="Y103" i="12"/>
  <c r="BJ102" i="12" s="1"/>
  <c r="BK102" i="12" s="1"/>
  <c r="BI102" i="12"/>
  <c r="S102" i="12"/>
  <c r="R104" i="12" s="1"/>
  <c r="X99" i="12"/>
  <c r="R99" i="12"/>
  <c r="Y97" i="12"/>
  <c r="X97" i="12"/>
  <c r="X95" i="12"/>
  <c r="R95" i="12"/>
  <c r="Y94" i="12"/>
  <c r="BJ93" i="12" s="1"/>
  <c r="BK93" i="12" s="1"/>
  <c r="X94" i="12"/>
  <c r="BI93" i="12"/>
  <c r="X93" i="12"/>
  <c r="S93" i="12"/>
  <c r="R93" i="12"/>
  <c r="X90" i="12"/>
  <c r="X89" i="12"/>
  <c r="X88" i="12"/>
  <c r="R88" i="12"/>
  <c r="X87" i="12"/>
  <c r="X86" i="12"/>
  <c r="X84" i="12"/>
  <c r="Y83" i="12"/>
  <c r="X83" i="12"/>
  <c r="X82" i="12"/>
  <c r="R80" i="12"/>
  <c r="Y79" i="12"/>
  <c r="X79" i="12"/>
  <c r="X77" i="12"/>
  <c r="Y75" i="12"/>
  <c r="X75" i="12"/>
  <c r="Y74" i="12"/>
  <c r="X74" i="12"/>
  <c r="X73" i="12"/>
  <c r="X72" i="12"/>
  <c r="X71" i="12"/>
  <c r="X70" i="12"/>
  <c r="Y69" i="12"/>
  <c r="BJ68" i="12" s="1"/>
  <c r="BK68" i="12" s="1"/>
  <c r="X69" i="12"/>
  <c r="BI68" i="12"/>
  <c r="X68" i="12"/>
  <c r="S68" i="12"/>
  <c r="R86" i="12" s="1"/>
  <c r="R68" i="12"/>
  <c r="Y65" i="12"/>
  <c r="X65" i="12"/>
  <c r="Y64" i="12"/>
  <c r="Y63" i="12"/>
  <c r="X63" i="12"/>
  <c r="Y61" i="12"/>
  <c r="X60" i="12"/>
  <c r="Y59" i="12"/>
  <c r="BJ51" i="12" s="1"/>
  <c r="BK51" i="12" s="1"/>
  <c r="X59" i="12"/>
  <c r="Y56" i="12"/>
  <c r="X54" i="12"/>
  <c r="Y53" i="12"/>
  <c r="BI51" i="12"/>
  <c r="Y51" i="12"/>
  <c r="S51" i="12"/>
  <c r="R58" i="12" s="1"/>
  <c r="R51" i="12"/>
  <c r="X48" i="12"/>
  <c r="Y47" i="12"/>
  <c r="X47" i="12"/>
  <c r="R47" i="12"/>
  <c r="X44" i="12"/>
  <c r="Y43" i="12"/>
  <c r="Y190" i="12" s="1"/>
  <c r="X43" i="12"/>
  <c r="X20" i="12"/>
  <c r="BI13" i="12" s="1"/>
  <c r="R20" i="12"/>
  <c r="BJ13" i="12"/>
  <c r="S13" i="12"/>
  <c r="R16" i="12" s="1"/>
  <c r="R13" i="12"/>
  <c r="BI190" i="12" l="1"/>
  <c r="BJ190" i="12"/>
  <c r="R65" i="12"/>
  <c r="R78" i="12"/>
  <c r="R119" i="12"/>
  <c r="R129" i="12"/>
  <c r="R172" i="12"/>
  <c r="X190" i="12"/>
  <c r="R15" i="12"/>
  <c r="R102" i="12"/>
  <c r="R117" i="12"/>
  <c r="R121" i="12"/>
  <c r="R130" i="12"/>
  <c r="R163" i="12"/>
  <c r="R131" i="12"/>
  <c r="S190" i="12"/>
  <c r="BK13" i="12"/>
  <c r="R118" i="12"/>
  <c r="V22" i="11" l="1"/>
  <c r="U22" i="11"/>
  <c r="T22" i="11"/>
  <c r="V21" i="11"/>
  <c r="U21" i="11"/>
  <c r="T21" i="11"/>
  <c r="T20" i="11"/>
  <c r="V19" i="11"/>
  <c r="U19" i="11"/>
  <c r="T19" i="11"/>
  <c r="K19" i="11"/>
  <c r="V18" i="11"/>
  <c r="U18" i="11"/>
  <c r="T18" i="11"/>
  <c r="P18" i="11" s="1"/>
  <c r="K18" i="11"/>
  <c r="BE16" i="11"/>
  <c r="BE23" i="11" s="1"/>
  <c r="AI16" i="11"/>
  <c r="AJ16" i="11" s="1"/>
  <c r="AG16" i="11"/>
  <c r="AH16" i="11" s="1"/>
  <c r="AE16" i="11"/>
  <c r="AF16" i="11" s="1"/>
  <c r="AC16" i="11"/>
  <c r="AD16" i="11" s="1"/>
  <c r="AA16" i="11"/>
  <c r="AB16" i="11" s="1"/>
  <c r="Y16" i="11"/>
  <c r="Z16" i="11" s="1"/>
  <c r="V16" i="11"/>
  <c r="U16" i="11"/>
  <c r="T16" i="11"/>
  <c r="P16" i="11"/>
  <c r="K16" i="11"/>
  <c r="T14" i="11"/>
  <c r="BC13" i="11"/>
  <c r="V13" i="11"/>
  <c r="BG13" i="11" s="1"/>
  <c r="U13" i="11"/>
  <c r="BF13" i="11" s="1"/>
  <c r="T13" i="11"/>
  <c r="K13" i="11"/>
  <c r="P19" i="11" l="1"/>
  <c r="O19" i="11" s="1"/>
  <c r="BG16" i="11"/>
  <c r="U23" i="11"/>
  <c r="T23" i="11"/>
  <c r="O16" i="11"/>
  <c r="BF16" i="11"/>
  <c r="BF23" i="11" s="1"/>
  <c r="P21" i="11"/>
  <c r="O21" i="11" s="1"/>
  <c r="BH13" i="11"/>
  <c r="BG23" i="11"/>
  <c r="BC16" i="11"/>
  <c r="P13" i="11"/>
  <c r="V23" i="11"/>
  <c r="O18" i="11"/>
  <c r="BH16" i="11" l="1"/>
  <c r="P23" i="11"/>
  <c r="O13" i="11"/>
  <c r="BJ22" i="10" l="1"/>
  <c r="BI22" i="10"/>
  <c r="Y22" i="10"/>
  <c r="X22" i="10"/>
  <c r="W21" i="10"/>
  <c r="BK19" i="10"/>
  <c r="BG19" i="10"/>
  <c r="BE19" i="10"/>
  <c r="BC19" i="10"/>
  <c r="BA19" i="10"/>
  <c r="AU19" i="10"/>
  <c r="AS19" i="10"/>
  <c r="AQ19" i="10"/>
  <c r="AO19" i="10"/>
  <c r="AM19" i="10"/>
  <c r="AK19" i="10"/>
  <c r="AI19" i="10"/>
  <c r="AG19" i="10"/>
  <c r="AE19" i="10"/>
  <c r="AC19" i="10"/>
  <c r="S19" i="10"/>
  <c r="R19" i="10" s="1"/>
  <c r="W15" i="10"/>
  <c r="S12" i="10" s="1"/>
  <c r="W13" i="10"/>
  <c r="W22" i="10" s="1"/>
  <c r="BK12" i="10"/>
  <c r="BG12" i="10"/>
  <c r="BE12" i="10"/>
  <c r="BC12" i="10"/>
  <c r="BA12" i="10"/>
  <c r="AU12" i="10"/>
  <c r="AS12" i="10"/>
  <c r="AQ12" i="10"/>
  <c r="AO12" i="10"/>
  <c r="AM12" i="10"/>
  <c r="AK12" i="10"/>
  <c r="AI12" i="10"/>
  <c r="AG12" i="10"/>
  <c r="AE12" i="10"/>
  <c r="AC12" i="10"/>
  <c r="S22" i="10" l="1"/>
  <c r="R16" i="10"/>
  <c r="R12" i="10"/>
  <c r="R14" i="10"/>
  <c r="R20" i="10"/>
  <c r="W59" i="9" l="1"/>
  <c r="S55" i="9" s="1"/>
  <c r="R55" i="9" s="1"/>
  <c r="Y58" i="9"/>
  <c r="W57" i="9"/>
  <c r="BK55" i="9"/>
  <c r="BJ55" i="9"/>
  <c r="BI55" i="9"/>
  <c r="BH55" i="9"/>
  <c r="BF55" i="9"/>
  <c r="W55" i="9"/>
  <c r="W52" i="9"/>
  <c r="Y51" i="9"/>
  <c r="W51" i="9"/>
  <c r="Y49" i="9"/>
  <c r="BJ47" i="9" s="1"/>
  <c r="BK47" i="9" s="1"/>
  <c r="W49" i="9"/>
  <c r="S47" i="9" s="1"/>
  <c r="R47" i="9" s="1"/>
  <c r="BI47" i="9"/>
  <c r="BI60" i="9" s="1"/>
  <c r="BH47" i="9"/>
  <c r="Y44" i="9"/>
  <c r="W44" i="9"/>
  <c r="W43" i="9"/>
  <c r="W42" i="9"/>
  <c r="W41" i="9"/>
  <c r="W40" i="9"/>
  <c r="W39" i="9"/>
  <c r="W38" i="9"/>
  <c r="BJ37" i="9"/>
  <c r="BK37" i="9" s="1"/>
  <c r="BI37" i="9"/>
  <c r="BH37" i="9"/>
  <c r="BG37" i="9"/>
  <c r="BF37" i="9"/>
  <c r="BC37" i="9"/>
  <c r="AK37" i="9"/>
  <c r="AG37" i="9"/>
  <c r="W37" i="9"/>
  <c r="S37" i="9" s="1"/>
  <c r="R37" i="9" s="1"/>
  <c r="Y35" i="9"/>
  <c r="BJ34" i="9" s="1"/>
  <c r="BK34" i="9" s="1"/>
  <c r="BI34" i="9"/>
  <c r="S34" i="9"/>
  <c r="R34" i="9"/>
  <c r="W32" i="9"/>
  <c r="W31" i="9"/>
  <c r="W30" i="9"/>
  <c r="R29" i="9" s="1"/>
  <c r="Y29" i="9"/>
  <c r="W29" i="9"/>
  <c r="W28" i="9"/>
  <c r="Y27" i="9"/>
  <c r="W27" i="9"/>
  <c r="Y26" i="9"/>
  <c r="W26" i="9"/>
  <c r="R25" i="9" s="1"/>
  <c r="Y25" i="9"/>
  <c r="W25" i="9"/>
  <c r="Y24" i="9"/>
  <c r="W24" i="9"/>
  <c r="R21" i="9" s="1"/>
  <c r="Y22" i="9"/>
  <c r="X22" i="9"/>
  <c r="X60" i="9" s="1"/>
  <c r="W22" i="9"/>
  <c r="S21" i="9" s="1"/>
  <c r="BI21" i="9"/>
  <c r="BH21" i="9"/>
  <c r="BG21" i="9"/>
  <c r="BF21" i="9"/>
  <c r="BC21" i="9"/>
  <c r="BA21" i="9"/>
  <c r="AO21" i="9"/>
  <c r="AG21" i="9"/>
  <c r="AE21" i="9"/>
  <c r="AC21" i="9"/>
  <c r="Y21" i="9"/>
  <c r="BJ21" i="9" s="1"/>
  <c r="W21" i="9"/>
  <c r="W20" i="9"/>
  <c r="W60" i="9" s="1"/>
  <c r="BF18" i="9"/>
  <c r="BJ60" i="9" l="1"/>
  <c r="BK21" i="9"/>
  <c r="Y60" i="9"/>
  <c r="R57" i="9"/>
  <c r="S18" i="9"/>
  <c r="S60" i="9" s="1"/>
  <c r="R18" i="9" l="1"/>
  <c r="BJ55" i="7" l="1"/>
  <c r="BK55" i="7" s="1"/>
  <c r="BI55" i="7"/>
  <c r="BG55" i="7"/>
  <c r="S55" i="7"/>
  <c r="R55" i="7"/>
  <c r="Y53" i="7"/>
  <c r="Y58" i="7" s="1"/>
  <c r="X53" i="7"/>
  <c r="X58" i="7" s="1"/>
  <c r="W53" i="7"/>
  <c r="BJ50" i="7"/>
  <c r="BK50" i="7" s="1"/>
  <c r="BI50" i="7"/>
  <c r="BG50" i="7"/>
  <c r="BF50" i="7"/>
  <c r="S50" i="7"/>
  <c r="S58" i="7" s="1"/>
  <c r="Y49" i="7"/>
  <c r="X49" i="7"/>
  <c r="W49" i="7"/>
  <c r="W58" i="7" s="1"/>
  <c r="BJ38" i="7"/>
  <c r="BK38" i="7" s="1"/>
  <c r="BI38" i="7"/>
  <c r="BG38" i="7"/>
  <c r="BF38" i="7"/>
  <c r="S38" i="7"/>
  <c r="R41" i="7" s="1"/>
  <c r="Y36" i="7"/>
  <c r="X36" i="7"/>
  <c r="W36" i="7"/>
  <c r="BJ30" i="7"/>
  <c r="BK30" i="7" s="1"/>
  <c r="BI30" i="7"/>
  <c r="BG30" i="7"/>
  <c r="BF30" i="7"/>
  <c r="S30" i="7"/>
  <c r="R32" i="7" s="1"/>
  <c r="Y29" i="7"/>
  <c r="X29" i="7"/>
  <c r="W29" i="7"/>
  <c r="BJ24" i="7"/>
  <c r="BI24" i="7"/>
  <c r="BK24" i="7" s="1"/>
  <c r="BG24" i="7"/>
  <c r="BF24" i="7"/>
  <c r="S24" i="7"/>
  <c r="R24" i="7"/>
  <c r="Y23" i="7"/>
  <c r="X23" i="7"/>
  <c r="W23" i="7"/>
  <c r="BP21" i="7"/>
  <c r="BK21" i="7"/>
  <c r="BJ21" i="7"/>
  <c r="BI21" i="7"/>
  <c r="S21" i="7"/>
  <c r="R21" i="7"/>
  <c r="Y20" i="7"/>
  <c r="X20" i="7"/>
  <c r="W20" i="7"/>
  <c r="R19" i="7"/>
  <c r="BJ13" i="7"/>
  <c r="BI13" i="7"/>
  <c r="BK13" i="7" s="1"/>
  <c r="BG13" i="7"/>
  <c r="BF13" i="7"/>
  <c r="S13" i="7"/>
  <c r="R13" i="7"/>
  <c r="R30" i="7" l="1"/>
  <c r="R34" i="7"/>
  <c r="R38" i="7"/>
  <c r="R45" i="7"/>
  <c r="R50" i="7"/>
  <c r="BH358" i="6" l="1"/>
  <c r="BG357" i="6"/>
  <c r="BE357" i="6"/>
  <c r="BC357" i="6"/>
  <c r="BA357" i="6"/>
  <c r="AU357" i="6"/>
  <c r="AS357" i="6"/>
  <c r="AQ357" i="6"/>
  <c r="AO357" i="6"/>
  <c r="AM357" i="6"/>
  <c r="AI357" i="6"/>
  <c r="AG357" i="6"/>
  <c r="AE357" i="6"/>
  <c r="BG356" i="6"/>
  <c r="BE356" i="6"/>
  <c r="BC356" i="6"/>
  <c r="BA356" i="6"/>
  <c r="AU356" i="6"/>
  <c r="AS356" i="6"/>
  <c r="AQ356" i="6"/>
  <c r="AO356" i="6"/>
  <c r="AM356" i="6"/>
  <c r="AI356" i="6"/>
  <c r="AG356" i="6"/>
  <c r="AE356" i="6"/>
  <c r="BG355" i="6"/>
  <c r="BE355" i="6"/>
  <c r="BC355" i="6"/>
  <c r="BA355" i="6"/>
  <c r="AU355" i="6"/>
  <c r="AS355" i="6"/>
  <c r="AQ355" i="6"/>
  <c r="AO355" i="6"/>
  <c r="AM355" i="6"/>
  <c r="AI355" i="6"/>
  <c r="AG355" i="6"/>
  <c r="AE355" i="6"/>
  <c r="BG354" i="6"/>
  <c r="BE354" i="6"/>
  <c r="BC354" i="6"/>
  <c r="BA354" i="6"/>
  <c r="AU354" i="6"/>
  <c r="AS354" i="6"/>
  <c r="AQ354" i="6"/>
  <c r="AO354" i="6"/>
  <c r="AM354" i="6"/>
  <c r="AI354" i="6"/>
  <c r="AG354" i="6"/>
  <c r="AE354" i="6"/>
  <c r="BG353" i="6"/>
  <c r="BE353" i="6"/>
  <c r="BC353" i="6"/>
  <c r="BA353" i="6"/>
  <c r="AU353" i="6"/>
  <c r="AS353" i="6"/>
  <c r="AQ353" i="6"/>
  <c r="AO353" i="6"/>
  <c r="AM353" i="6"/>
  <c r="AI353" i="6"/>
  <c r="AG353" i="6"/>
  <c r="AE353" i="6"/>
  <c r="BG352" i="6"/>
  <c r="BE352" i="6"/>
  <c r="BC352" i="6"/>
  <c r="BA352" i="6"/>
  <c r="AU352" i="6"/>
  <c r="AS352" i="6"/>
  <c r="AQ352" i="6"/>
  <c r="AO352" i="6"/>
  <c r="AM352" i="6"/>
  <c r="AI352" i="6"/>
  <c r="AG352" i="6"/>
  <c r="AE352" i="6"/>
  <c r="R352" i="6"/>
  <c r="BJ351" i="6"/>
  <c r="BK351" i="6" s="1"/>
  <c r="BI351" i="6"/>
  <c r="BG351" i="6"/>
  <c r="BE351" i="6"/>
  <c r="BC351" i="6"/>
  <c r="BA351" i="6"/>
  <c r="AU351" i="6"/>
  <c r="AS351" i="6"/>
  <c r="AQ351" i="6"/>
  <c r="AO351" i="6"/>
  <c r="AM351" i="6"/>
  <c r="AI351" i="6"/>
  <c r="AG351" i="6"/>
  <c r="AE351" i="6"/>
  <c r="AC351" i="6"/>
  <c r="S351" i="6"/>
  <c r="R355" i="6" s="1"/>
  <c r="BG348" i="6"/>
  <c r="BE348" i="6"/>
  <c r="BC348" i="6"/>
  <c r="BA348" i="6"/>
  <c r="AU348" i="6"/>
  <c r="AS348" i="6"/>
  <c r="AQ348" i="6"/>
  <c r="AO348" i="6"/>
  <c r="AM348" i="6"/>
  <c r="AI348" i="6"/>
  <c r="AG348" i="6"/>
  <c r="AE348" i="6"/>
  <c r="BG347" i="6"/>
  <c r="BE347" i="6"/>
  <c r="BC347" i="6"/>
  <c r="BA347" i="6"/>
  <c r="AU347" i="6"/>
  <c r="AS347" i="6"/>
  <c r="AQ347" i="6"/>
  <c r="AO347" i="6"/>
  <c r="AM347" i="6"/>
  <c r="AI347" i="6"/>
  <c r="AG347" i="6"/>
  <c r="AE347" i="6"/>
  <c r="BG346" i="6"/>
  <c r="BE346" i="6"/>
  <c r="BC346" i="6"/>
  <c r="BA346" i="6"/>
  <c r="AU346" i="6"/>
  <c r="AS346" i="6"/>
  <c r="AQ346" i="6"/>
  <c r="AO346" i="6"/>
  <c r="AM346" i="6"/>
  <c r="AI346" i="6"/>
  <c r="AG346" i="6"/>
  <c r="AE346" i="6"/>
  <c r="BG345" i="6"/>
  <c r="BE345" i="6"/>
  <c r="BC345" i="6"/>
  <c r="BA345" i="6"/>
  <c r="AU345" i="6"/>
  <c r="AS345" i="6"/>
  <c r="AQ345" i="6"/>
  <c r="AO345" i="6"/>
  <c r="AM345" i="6"/>
  <c r="AI345" i="6"/>
  <c r="AG345" i="6"/>
  <c r="AE345" i="6"/>
  <c r="BK344" i="6"/>
  <c r="BJ344" i="6"/>
  <c r="BI344" i="6"/>
  <c r="BG344" i="6"/>
  <c r="BE344" i="6"/>
  <c r="BC344" i="6"/>
  <c r="BA344" i="6"/>
  <c r="AU344" i="6"/>
  <c r="AS344" i="6"/>
  <c r="AQ344" i="6"/>
  <c r="AO344" i="6"/>
  <c r="AM344" i="6"/>
  <c r="AI344" i="6"/>
  <c r="AG344" i="6"/>
  <c r="AE344" i="6"/>
  <c r="AC344" i="6"/>
  <c r="S344" i="6"/>
  <c r="R344" i="6" s="1"/>
  <c r="BE342" i="6"/>
  <c r="BC342" i="6"/>
  <c r="BA342" i="6"/>
  <c r="AU342" i="6"/>
  <c r="AS342" i="6"/>
  <c r="AQ342" i="6"/>
  <c r="AO342" i="6"/>
  <c r="AM342" i="6"/>
  <c r="AI342" i="6"/>
  <c r="AG342" i="6"/>
  <c r="AE342" i="6"/>
  <c r="BE341" i="6"/>
  <c r="BC341" i="6"/>
  <c r="BA341" i="6"/>
  <c r="AU341" i="6"/>
  <c r="AS341" i="6"/>
  <c r="AQ341" i="6"/>
  <c r="AO341" i="6"/>
  <c r="AM341" i="6"/>
  <c r="AI341" i="6"/>
  <c r="AG341" i="6"/>
  <c r="AE341" i="6"/>
  <c r="BE340" i="6"/>
  <c r="BC340" i="6"/>
  <c r="BA340" i="6"/>
  <c r="AU340" i="6"/>
  <c r="AS340" i="6"/>
  <c r="AQ340" i="6"/>
  <c r="AO340" i="6"/>
  <c r="AM340" i="6"/>
  <c r="AI340" i="6"/>
  <c r="AG340" i="6"/>
  <c r="AE340" i="6"/>
  <c r="BE339" i="6"/>
  <c r="BC339" i="6"/>
  <c r="BA339" i="6"/>
  <c r="AU339" i="6"/>
  <c r="AS339" i="6"/>
  <c r="AQ339" i="6"/>
  <c r="AO339" i="6"/>
  <c r="AM339" i="6"/>
  <c r="AI339" i="6"/>
  <c r="AG339" i="6"/>
  <c r="AE339" i="6"/>
  <c r="BE338" i="6"/>
  <c r="BC338" i="6"/>
  <c r="BA338" i="6"/>
  <c r="AU338" i="6"/>
  <c r="AS338" i="6"/>
  <c r="AQ338" i="6"/>
  <c r="AO338" i="6"/>
  <c r="AM338" i="6"/>
  <c r="AI338" i="6"/>
  <c r="AG338" i="6"/>
  <c r="AE338" i="6"/>
  <c r="BE337" i="6"/>
  <c r="BC337" i="6"/>
  <c r="BA337" i="6"/>
  <c r="AU337" i="6"/>
  <c r="AS337" i="6"/>
  <c r="AQ337" i="6"/>
  <c r="AO337" i="6"/>
  <c r="AM337" i="6"/>
  <c r="AI337" i="6"/>
  <c r="AG337" i="6"/>
  <c r="AE337" i="6"/>
  <c r="X337" i="6"/>
  <c r="BE336" i="6"/>
  <c r="BC336" i="6"/>
  <c r="BA336" i="6"/>
  <c r="AU336" i="6"/>
  <c r="AS336" i="6"/>
  <c r="AQ336" i="6"/>
  <c r="AO336" i="6"/>
  <c r="AM336" i="6"/>
  <c r="AI336" i="6"/>
  <c r="AG336" i="6"/>
  <c r="AE336" i="6"/>
  <c r="BE335" i="6"/>
  <c r="BC335" i="6"/>
  <c r="BA335" i="6"/>
  <c r="AU335" i="6"/>
  <c r="AS335" i="6"/>
  <c r="AQ335" i="6"/>
  <c r="AO335" i="6"/>
  <c r="AM335" i="6"/>
  <c r="AI335" i="6"/>
  <c r="AG335" i="6"/>
  <c r="AE335" i="6"/>
  <c r="BE334" i="6"/>
  <c r="BC334" i="6"/>
  <c r="BA334" i="6"/>
  <c r="AU334" i="6"/>
  <c r="AS334" i="6"/>
  <c r="AQ334" i="6"/>
  <c r="AO334" i="6"/>
  <c r="AM334" i="6"/>
  <c r="AI334" i="6"/>
  <c r="AG334" i="6"/>
  <c r="AE334" i="6"/>
  <c r="BK333" i="6"/>
  <c r="BJ333" i="6"/>
  <c r="BI333" i="6"/>
  <c r="BG333" i="6"/>
  <c r="BE333" i="6"/>
  <c r="BC333" i="6"/>
  <c r="BA333" i="6"/>
  <c r="AU333" i="6"/>
  <c r="AS333" i="6"/>
  <c r="AQ333" i="6"/>
  <c r="AO333" i="6"/>
  <c r="AM333" i="6"/>
  <c r="AI333" i="6"/>
  <c r="AG333" i="6"/>
  <c r="AE333" i="6"/>
  <c r="AC333" i="6"/>
  <c r="S333" i="6"/>
  <c r="R339" i="6" s="1"/>
  <c r="BE331" i="6"/>
  <c r="BC331" i="6"/>
  <c r="BA331" i="6"/>
  <c r="AU331" i="6"/>
  <c r="AS331" i="6"/>
  <c r="AQ331" i="6"/>
  <c r="AO331" i="6"/>
  <c r="AM331" i="6"/>
  <c r="AI331" i="6"/>
  <c r="AG331" i="6"/>
  <c r="AE331" i="6"/>
  <c r="AC331" i="6"/>
  <c r="BE330" i="6"/>
  <c r="BC330" i="6"/>
  <c r="BA330" i="6"/>
  <c r="AU330" i="6"/>
  <c r="AS330" i="6"/>
  <c r="AQ330" i="6"/>
  <c r="AO330" i="6"/>
  <c r="AM330" i="6"/>
  <c r="AI330" i="6"/>
  <c r="AG330" i="6"/>
  <c r="AE330" i="6"/>
  <c r="AC330" i="6"/>
  <c r="BE329" i="6"/>
  <c r="BC329" i="6"/>
  <c r="BA329" i="6"/>
  <c r="AU329" i="6"/>
  <c r="AS329" i="6"/>
  <c r="AQ329" i="6"/>
  <c r="AO329" i="6"/>
  <c r="AM329" i="6"/>
  <c r="AI329" i="6"/>
  <c r="AG329" i="6"/>
  <c r="AE329" i="6"/>
  <c r="AC329" i="6"/>
  <c r="BE328" i="6"/>
  <c r="BC328" i="6"/>
  <c r="BA328" i="6"/>
  <c r="AU328" i="6"/>
  <c r="AS328" i="6"/>
  <c r="AQ328" i="6"/>
  <c r="AO328" i="6"/>
  <c r="AM328" i="6"/>
  <c r="AI328" i="6"/>
  <c r="AG328" i="6"/>
  <c r="AE328" i="6"/>
  <c r="AC328" i="6"/>
  <c r="BE327" i="6"/>
  <c r="BC327" i="6"/>
  <c r="BA327" i="6"/>
  <c r="AU327" i="6"/>
  <c r="AS327" i="6"/>
  <c r="AQ327" i="6"/>
  <c r="AO327" i="6"/>
  <c r="AM327" i="6"/>
  <c r="AI327" i="6"/>
  <c r="AG327" i="6"/>
  <c r="AE327" i="6"/>
  <c r="AC327" i="6"/>
  <c r="BE326" i="6"/>
  <c r="BC326" i="6"/>
  <c r="BA326" i="6"/>
  <c r="AU326" i="6"/>
  <c r="AS326" i="6"/>
  <c r="AQ326" i="6"/>
  <c r="AO326" i="6"/>
  <c r="AM326" i="6"/>
  <c r="AI326" i="6"/>
  <c r="AG326" i="6"/>
  <c r="AE326" i="6"/>
  <c r="AC326" i="6"/>
  <c r="BE325" i="6"/>
  <c r="BC325" i="6"/>
  <c r="BA325" i="6"/>
  <c r="AU325" i="6"/>
  <c r="AS325" i="6"/>
  <c r="AQ325" i="6"/>
  <c r="AO325" i="6"/>
  <c r="AM325" i="6"/>
  <c r="AI325" i="6"/>
  <c r="AG325" i="6"/>
  <c r="AE325" i="6"/>
  <c r="AC325" i="6"/>
  <c r="BI324" i="6"/>
  <c r="BG324" i="6"/>
  <c r="BE324" i="6"/>
  <c r="BC324" i="6"/>
  <c r="BA324" i="6"/>
  <c r="AU324" i="6"/>
  <c r="AS324" i="6"/>
  <c r="AQ324" i="6"/>
  <c r="AO324" i="6"/>
  <c r="AM324" i="6"/>
  <c r="AI324" i="6"/>
  <c r="AG324" i="6"/>
  <c r="AE324" i="6"/>
  <c r="AC324" i="6"/>
  <c r="Y324" i="6"/>
  <c r="BJ324" i="6" s="1"/>
  <c r="BK324" i="6" s="1"/>
  <c r="X324" i="6"/>
  <c r="S324" i="6"/>
  <c r="R324" i="6" s="1"/>
  <c r="BG323" i="6"/>
  <c r="BE323" i="6"/>
  <c r="BC323" i="6"/>
  <c r="BA323" i="6"/>
  <c r="AU323" i="6"/>
  <c r="AS323" i="6"/>
  <c r="AQ323" i="6"/>
  <c r="AO323" i="6"/>
  <c r="AM323" i="6"/>
  <c r="AI323" i="6"/>
  <c r="AG323" i="6"/>
  <c r="AE323" i="6"/>
  <c r="BG322" i="6"/>
  <c r="BE322" i="6"/>
  <c r="BC322" i="6"/>
  <c r="BA322" i="6"/>
  <c r="AU322" i="6"/>
  <c r="AS322" i="6"/>
  <c r="AQ322" i="6"/>
  <c r="AO322" i="6"/>
  <c r="AM322" i="6"/>
  <c r="AI322" i="6"/>
  <c r="AG322" i="6"/>
  <c r="AE322" i="6"/>
  <c r="BG321" i="6"/>
  <c r="BE321" i="6"/>
  <c r="BC321" i="6"/>
  <c r="BA321" i="6"/>
  <c r="AU321" i="6"/>
  <c r="AS321" i="6"/>
  <c r="AQ321" i="6"/>
  <c r="AO321" i="6"/>
  <c r="AM321" i="6"/>
  <c r="AI321" i="6"/>
  <c r="AG321" i="6"/>
  <c r="AE321" i="6"/>
  <c r="BG320" i="6"/>
  <c r="BE320" i="6"/>
  <c r="BC320" i="6"/>
  <c r="BA320" i="6"/>
  <c r="AU320" i="6"/>
  <c r="AS320" i="6"/>
  <c r="AQ320" i="6"/>
  <c r="AO320" i="6"/>
  <c r="AM320" i="6"/>
  <c r="AI320" i="6"/>
  <c r="AG320" i="6"/>
  <c r="AE320" i="6"/>
  <c r="BG319" i="6"/>
  <c r="BE319" i="6"/>
  <c r="BC319" i="6"/>
  <c r="BA319" i="6"/>
  <c r="AU319" i="6"/>
  <c r="AS319" i="6"/>
  <c r="AQ319" i="6"/>
  <c r="AO319" i="6"/>
  <c r="AM319" i="6"/>
  <c r="AI319" i="6"/>
  <c r="AG319" i="6"/>
  <c r="AE319" i="6"/>
  <c r="AC319" i="6"/>
  <c r="S319" i="6"/>
  <c r="R322" i="6" s="1"/>
  <c r="BG317" i="6"/>
  <c r="BE317" i="6"/>
  <c r="BC317" i="6"/>
  <c r="BA317" i="6"/>
  <c r="AU317" i="6"/>
  <c r="AS317" i="6"/>
  <c r="AQ317" i="6"/>
  <c r="AO317" i="6"/>
  <c r="AM317" i="6"/>
  <c r="AI317" i="6"/>
  <c r="AG317" i="6"/>
  <c r="AE317" i="6"/>
  <c r="BG316" i="6"/>
  <c r="BE316" i="6"/>
  <c r="BC316" i="6"/>
  <c r="BA316" i="6"/>
  <c r="AU316" i="6"/>
  <c r="AS316" i="6"/>
  <c r="AQ316" i="6"/>
  <c r="AO316" i="6"/>
  <c r="AM316" i="6"/>
  <c r="AI316" i="6"/>
  <c r="AG316" i="6"/>
  <c r="AE316" i="6"/>
  <c r="BJ315" i="6"/>
  <c r="BI315" i="6"/>
  <c r="BK315" i="6" s="1"/>
  <c r="BG315" i="6"/>
  <c r="BE315" i="6"/>
  <c r="BC315" i="6"/>
  <c r="BA315" i="6"/>
  <c r="AU315" i="6"/>
  <c r="AS315" i="6"/>
  <c r="AQ315" i="6"/>
  <c r="AO315" i="6"/>
  <c r="AM315" i="6"/>
  <c r="AI315" i="6"/>
  <c r="AG315" i="6"/>
  <c r="AE315" i="6"/>
  <c r="AC315" i="6"/>
  <c r="S315" i="6"/>
  <c r="BG313" i="6"/>
  <c r="BE313" i="6"/>
  <c r="BC313" i="6"/>
  <c r="BA313" i="6"/>
  <c r="AU313" i="6"/>
  <c r="AS313" i="6"/>
  <c r="AQ313" i="6"/>
  <c r="AO313" i="6"/>
  <c r="AI313" i="6"/>
  <c r="AG313" i="6"/>
  <c r="AE313" i="6"/>
  <c r="BG312" i="6"/>
  <c r="BE312" i="6"/>
  <c r="BC312" i="6"/>
  <c r="BA312" i="6"/>
  <c r="AU312" i="6"/>
  <c r="AS312" i="6"/>
  <c r="AQ312" i="6"/>
  <c r="AO312" i="6"/>
  <c r="AI312" i="6"/>
  <c r="AG312" i="6"/>
  <c r="AE312" i="6"/>
  <c r="BG311" i="6"/>
  <c r="BE311" i="6"/>
  <c r="BC311" i="6"/>
  <c r="BA311" i="6"/>
  <c r="AU311" i="6"/>
  <c r="AS311" i="6"/>
  <c r="AQ311" i="6"/>
  <c r="AO311" i="6"/>
  <c r="AI311" i="6"/>
  <c r="AG311" i="6"/>
  <c r="AE311" i="6"/>
  <c r="BG310" i="6"/>
  <c r="BE310" i="6"/>
  <c r="BC310" i="6"/>
  <c r="BA310" i="6"/>
  <c r="AU310" i="6"/>
  <c r="AS310" i="6"/>
  <c r="AQ310" i="6"/>
  <c r="AO310" i="6"/>
  <c r="AI310" i="6"/>
  <c r="AG310" i="6"/>
  <c r="AE310" i="6"/>
  <c r="BG309" i="6"/>
  <c r="BE309" i="6"/>
  <c r="BC309" i="6"/>
  <c r="BA309" i="6"/>
  <c r="AU309" i="6"/>
  <c r="AS309" i="6"/>
  <c r="AQ309" i="6"/>
  <c r="AO309" i="6"/>
  <c r="AI309" i="6"/>
  <c r="AG309" i="6"/>
  <c r="AE309" i="6"/>
  <c r="BG308" i="6"/>
  <c r="BE308" i="6"/>
  <c r="BC308" i="6"/>
  <c r="BA308" i="6"/>
  <c r="AU308" i="6"/>
  <c r="AS308" i="6"/>
  <c r="AQ308" i="6"/>
  <c r="AO308" i="6"/>
  <c r="AI308" i="6"/>
  <c r="AG308" i="6"/>
  <c r="AE308" i="6"/>
  <c r="BG307" i="6"/>
  <c r="BE307" i="6"/>
  <c r="BC307" i="6"/>
  <c r="BA307" i="6"/>
  <c r="AU307" i="6"/>
  <c r="AS307" i="6"/>
  <c r="AQ307" i="6"/>
  <c r="AO307" i="6"/>
  <c r="AI307" i="6"/>
  <c r="AG307" i="6"/>
  <c r="AE307" i="6"/>
  <c r="BG306" i="6"/>
  <c r="BE306" i="6"/>
  <c r="BC306" i="6"/>
  <c r="BA306" i="6"/>
  <c r="AU306" i="6"/>
  <c r="AS306" i="6"/>
  <c r="AQ306" i="6"/>
  <c r="AO306" i="6"/>
  <c r="AI306" i="6"/>
  <c r="AG306" i="6"/>
  <c r="AE306" i="6"/>
  <c r="BG305" i="6"/>
  <c r="BE305" i="6"/>
  <c r="BC305" i="6"/>
  <c r="BA305" i="6"/>
  <c r="AU305" i="6"/>
  <c r="AS305" i="6"/>
  <c r="AQ305" i="6"/>
  <c r="AO305" i="6"/>
  <c r="AI305" i="6"/>
  <c r="AG305" i="6"/>
  <c r="AE305" i="6"/>
  <c r="BG304" i="6"/>
  <c r="BE304" i="6"/>
  <c r="BC304" i="6"/>
  <c r="BA304" i="6"/>
  <c r="AU304" i="6"/>
  <c r="AS304" i="6"/>
  <c r="AQ304" i="6"/>
  <c r="AO304" i="6"/>
  <c r="AI304" i="6"/>
  <c r="AG304" i="6"/>
  <c r="AE304" i="6"/>
  <c r="BG303" i="6"/>
  <c r="BE303" i="6"/>
  <c r="BC303" i="6"/>
  <c r="BA303" i="6"/>
  <c r="AU303" i="6"/>
  <c r="AS303" i="6"/>
  <c r="AQ303" i="6"/>
  <c r="AO303" i="6"/>
  <c r="AI303" i="6"/>
  <c r="AG303" i="6"/>
  <c r="AE303" i="6"/>
  <c r="BG302" i="6"/>
  <c r="BE302" i="6"/>
  <c r="BC302" i="6"/>
  <c r="BA302" i="6"/>
  <c r="AU302" i="6"/>
  <c r="AS302" i="6"/>
  <c r="AQ302" i="6"/>
  <c r="AO302" i="6"/>
  <c r="AI302" i="6"/>
  <c r="AG302" i="6"/>
  <c r="AE302" i="6"/>
  <c r="W302" i="6"/>
  <c r="BG301" i="6"/>
  <c r="BE301" i="6"/>
  <c r="BC301" i="6"/>
  <c r="BA301" i="6"/>
  <c r="AU301" i="6"/>
  <c r="AS301" i="6"/>
  <c r="AQ301" i="6"/>
  <c r="AO301" i="6"/>
  <c r="AI301" i="6"/>
  <c r="AG301" i="6"/>
  <c r="AE301" i="6"/>
  <c r="BG300" i="6"/>
  <c r="BE300" i="6"/>
  <c r="BC300" i="6"/>
  <c r="BA300" i="6"/>
  <c r="AU300" i="6"/>
  <c r="AS300" i="6"/>
  <c r="AQ300" i="6"/>
  <c r="AO300" i="6"/>
  <c r="AI300" i="6"/>
  <c r="AG300" i="6"/>
  <c r="AE300" i="6"/>
  <c r="W300" i="6"/>
  <c r="BG299" i="6"/>
  <c r="BE299" i="6"/>
  <c r="BC299" i="6"/>
  <c r="BA299" i="6"/>
  <c r="AU299" i="6"/>
  <c r="AS299" i="6"/>
  <c r="AQ299" i="6"/>
  <c r="AO299" i="6"/>
  <c r="AI299" i="6"/>
  <c r="AG299" i="6"/>
  <c r="AE299" i="6"/>
  <c r="W299" i="6"/>
  <c r="BJ298" i="6"/>
  <c r="BK298" i="6" s="1"/>
  <c r="BI298" i="6"/>
  <c r="BG298" i="6"/>
  <c r="BE298" i="6"/>
  <c r="BC298" i="6"/>
  <c r="BA298" i="6"/>
  <c r="AU298" i="6"/>
  <c r="AS298" i="6"/>
  <c r="AQ298" i="6"/>
  <c r="AO298" i="6"/>
  <c r="AI298" i="6"/>
  <c r="AG298" i="6"/>
  <c r="AE298" i="6"/>
  <c r="AC298" i="6"/>
  <c r="S298" i="6"/>
  <c r="BG295" i="6"/>
  <c r="BE295" i="6"/>
  <c r="BC295" i="6"/>
  <c r="BA295" i="6"/>
  <c r="AU295" i="6"/>
  <c r="AS295" i="6"/>
  <c r="AQ295" i="6"/>
  <c r="AO295" i="6"/>
  <c r="AI295" i="6"/>
  <c r="AG295" i="6"/>
  <c r="AE295" i="6"/>
  <c r="BG294" i="6"/>
  <c r="BE294" i="6"/>
  <c r="BC294" i="6"/>
  <c r="BA294" i="6"/>
  <c r="AU294" i="6"/>
  <c r="AS294" i="6"/>
  <c r="AQ294" i="6"/>
  <c r="AO294" i="6"/>
  <c r="AI294" i="6"/>
  <c r="AG294" i="6"/>
  <c r="AE294" i="6"/>
  <c r="BG293" i="6"/>
  <c r="BE293" i="6"/>
  <c r="BC293" i="6"/>
  <c r="BA293" i="6"/>
  <c r="AU293" i="6"/>
  <c r="AS293" i="6"/>
  <c r="AQ293" i="6"/>
  <c r="AO293" i="6"/>
  <c r="AI293" i="6"/>
  <c r="AG293" i="6"/>
  <c r="AE293" i="6"/>
  <c r="BG292" i="6"/>
  <c r="BE292" i="6"/>
  <c r="BC292" i="6"/>
  <c r="BA292" i="6"/>
  <c r="AU292" i="6"/>
  <c r="AS292" i="6"/>
  <c r="AQ292" i="6"/>
  <c r="AO292" i="6"/>
  <c r="AI292" i="6"/>
  <c r="AG292" i="6"/>
  <c r="AE292" i="6"/>
  <c r="BG291" i="6"/>
  <c r="BE291" i="6"/>
  <c r="BC291" i="6"/>
  <c r="BA291" i="6"/>
  <c r="AU291" i="6"/>
  <c r="AS291" i="6"/>
  <c r="AQ291" i="6"/>
  <c r="AO291" i="6"/>
  <c r="AI291" i="6"/>
  <c r="AG291" i="6"/>
  <c r="AE291" i="6"/>
  <c r="BG290" i="6"/>
  <c r="BE290" i="6"/>
  <c r="BC290" i="6"/>
  <c r="BA290" i="6"/>
  <c r="AU290" i="6"/>
  <c r="AS290" i="6"/>
  <c r="AQ290" i="6"/>
  <c r="AO290" i="6"/>
  <c r="AI290" i="6"/>
  <c r="AG290" i="6"/>
  <c r="AE290" i="6"/>
  <c r="BG289" i="6"/>
  <c r="BE289" i="6"/>
  <c r="BC289" i="6"/>
  <c r="BA289" i="6"/>
  <c r="AU289" i="6"/>
  <c r="AS289" i="6"/>
  <c r="AQ289" i="6"/>
  <c r="AO289" i="6"/>
  <c r="AI289" i="6"/>
  <c r="AG289" i="6"/>
  <c r="AE289" i="6"/>
  <c r="BG288" i="6"/>
  <c r="BE288" i="6"/>
  <c r="BC288" i="6"/>
  <c r="BA288" i="6"/>
  <c r="AU288" i="6"/>
  <c r="AS288" i="6"/>
  <c r="AQ288" i="6"/>
  <c r="AO288" i="6"/>
  <c r="AI288" i="6"/>
  <c r="AG288" i="6"/>
  <c r="AE288" i="6"/>
  <c r="W288" i="6"/>
  <c r="S285" i="6" s="1"/>
  <c r="BG287" i="6"/>
  <c r="BE287" i="6"/>
  <c r="BC287" i="6"/>
  <c r="BA287" i="6"/>
  <c r="AU287" i="6"/>
  <c r="AS287" i="6"/>
  <c r="AQ287" i="6"/>
  <c r="AO287" i="6"/>
  <c r="AI287" i="6"/>
  <c r="AG287" i="6"/>
  <c r="AE287" i="6"/>
  <c r="BG286" i="6"/>
  <c r="BE286" i="6"/>
  <c r="BC286" i="6"/>
  <c r="BA286" i="6"/>
  <c r="AU286" i="6"/>
  <c r="AS286" i="6"/>
  <c r="AQ286" i="6"/>
  <c r="AO286" i="6"/>
  <c r="AI286" i="6"/>
  <c r="AG286" i="6"/>
  <c r="AE286" i="6"/>
  <c r="BK285" i="6"/>
  <c r="BJ285" i="6"/>
  <c r="BI285" i="6"/>
  <c r="BG285" i="6"/>
  <c r="BE285" i="6"/>
  <c r="BC285" i="6"/>
  <c r="BA285" i="6"/>
  <c r="AU285" i="6"/>
  <c r="AS285" i="6"/>
  <c r="AQ285" i="6"/>
  <c r="AO285" i="6"/>
  <c r="AI285" i="6"/>
  <c r="AG285" i="6"/>
  <c r="AE285" i="6"/>
  <c r="AC285" i="6"/>
  <c r="BG282" i="6"/>
  <c r="BE282" i="6"/>
  <c r="BC282" i="6"/>
  <c r="BA282" i="6"/>
  <c r="AU282" i="6"/>
  <c r="AS282" i="6"/>
  <c r="AQ282" i="6"/>
  <c r="AO282" i="6"/>
  <c r="AI282" i="6"/>
  <c r="AG282" i="6"/>
  <c r="AE282" i="6"/>
  <c r="BG281" i="6"/>
  <c r="BE281" i="6"/>
  <c r="BC281" i="6"/>
  <c r="BA281" i="6"/>
  <c r="AU281" i="6"/>
  <c r="AS281" i="6"/>
  <c r="AQ281" i="6"/>
  <c r="AO281" i="6"/>
  <c r="AI281" i="6"/>
  <c r="AG281" i="6"/>
  <c r="AE281" i="6"/>
  <c r="W281" i="6"/>
  <c r="BG280" i="6"/>
  <c r="BE280" i="6"/>
  <c r="BC280" i="6"/>
  <c r="BA280" i="6"/>
  <c r="AU280" i="6"/>
  <c r="AS280" i="6"/>
  <c r="AQ280" i="6"/>
  <c r="AO280" i="6"/>
  <c r="AI280" i="6"/>
  <c r="AG280" i="6"/>
  <c r="AE280" i="6"/>
  <c r="W280" i="6"/>
  <c r="BG279" i="6"/>
  <c r="BE279" i="6"/>
  <c r="BC279" i="6"/>
  <c r="BA279" i="6"/>
  <c r="AU279" i="6"/>
  <c r="AS279" i="6"/>
  <c r="AQ279" i="6"/>
  <c r="AO279" i="6"/>
  <c r="AI279" i="6"/>
  <c r="AG279" i="6"/>
  <c r="AE279" i="6"/>
  <c r="W279" i="6"/>
  <c r="BG278" i="6"/>
  <c r="BE278" i="6"/>
  <c r="BC278" i="6"/>
  <c r="BA278" i="6"/>
  <c r="AU278" i="6"/>
  <c r="AS278" i="6"/>
  <c r="AQ278" i="6"/>
  <c r="AO278" i="6"/>
  <c r="AI278" i="6"/>
  <c r="AG278" i="6"/>
  <c r="AE278" i="6"/>
  <c r="BG277" i="6"/>
  <c r="BE277" i="6"/>
  <c r="BC277" i="6"/>
  <c r="BA277" i="6"/>
  <c r="AU277" i="6"/>
  <c r="AS277" i="6"/>
  <c r="AQ277" i="6"/>
  <c r="AO277" i="6"/>
  <c r="AI277" i="6"/>
  <c r="AG277" i="6"/>
  <c r="AE277" i="6"/>
  <c r="X277" i="6"/>
  <c r="BG276" i="6"/>
  <c r="BE276" i="6"/>
  <c r="BC276" i="6"/>
  <c r="BA276" i="6"/>
  <c r="AU276" i="6"/>
  <c r="AS276" i="6"/>
  <c r="AQ276" i="6"/>
  <c r="AO276" i="6"/>
  <c r="AI276" i="6"/>
  <c r="AG276" i="6"/>
  <c r="AE276" i="6"/>
  <c r="BG275" i="6"/>
  <c r="BE275" i="6"/>
  <c r="BC275" i="6"/>
  <c r="BA275" i="6"/>
  <c r="AU275" i="6"/>
  <c r="AS275" i="6"/>
  <c r="AQ275" i="6"/>
  <c r="AO275" i="6"/>
  <c r="AI275" i="6"/>
  <c r="AG275" i="6"/>
  <c r="AE275" i="6"/>
  <c r="BG274" i="6"/>
  <c r="BE274" i="6"/>
  <c r="BC274" i="6"/>
  <c r="BA274" i="6"/>
  <c r="AU274" i="6"/>
  <c r="AS274" i="6"/>
  <c r="AQ274" i="6"/>
  <c r="AO274" i="6"/>
  <c r="AI274" i="6"/>
  <c r="AG274" i="6"/>
  <c r="AE274" i="6"/>
  <c r="BG273" i="6"/>
  <c r="BE273" i="6"/>
  <c r="BC273" i="6"/>
  <c r="BA273" i="6"/>
  <c r="AU273" i="6"/>
  <c r="AS273" i="6"/>
  <c r="AQ273" i="6"/>
  <c r="AO273" i="6"/>
  <c r="AI273" i="6"/>
  <c r="AG273" i="6"/>
  <c r="AE273" i="6"/>
  <c r="BG272" i="6"/>
  <c r="BE272" i="6"/>
  <c r="BC272" i="6"/>
  <c r="BA272" i="6"/>
  <c r="AU272" i="6"/>
  <c r="AS272" i="6"/>
  <c r="AQ272" i="6"/>
  <c r="AO272" i="6"/>
  <c r="AI272" i="6"/>
  <c r="AG272" i="6"/>
  <c r="AE272" i="6"/>
  <c r="BJ271" i="6"/>
  <c r="BK271" i="6" s="1"/>
  <c r="BI271" i="6"/>
  <c r="BG271" i="6"/>
  <c r="BE271" i="6"/>
  <c r="BC271" i="6"/>
  <c r="BA271" i="6"/>
  <c r="AU271" i="6"/>
  <c r="AS271" i="6"/>
  <c r="AQ271" i="6"/>
  <c r="AO271" i="6"/>
  <c r="AI271" i="6"/>
  <c r="AG271" i="6"/>
  <c r="AE271" i="6"/>
  <c r="AC271" i="6"/>
  <c r="S271" i="6"/>
  <c r="R277" i="6" s="1"/>
  <c r="BG270" i="6"/>
  <c r="BE270" i="6"/>
  <c r="BC270" i="6"/>
  <c r="BA270" i="6"/>
  <c r="AU270" i="6"/>
  <c r="AS270" i="6"/>
  <c r="AQ270" i="6"/>
  <c r="AO270" i="6"/>
  <c r="AI270" i="6"/>
  <c r="AG270" i="6"/>
  <c r="AE270" i="6"/>
  <c r="BG269" i="6"/>
  <c r="BE269" i="6"/>
  <c r="BC269" i="6"/>
  <c r="BA269" i="6"/>
  <c r="AU269" i="6"/>
  <c r="AS269" i="6"/>
  <c r="AQ269" i="6"/>
  <c r="AO269" i="6"/>
  <c r="AL269" i="6"/>
  <c r="AM269" i="6" s="1"/>
  <c r="AI269" i="6"/>
  <c r="AG269" i="6"/>
  <c r="AE269" i="6"/>
  <c r="BG268" i="6"/>
  <c r="BE268" i="6"/>
  <c r="BC268" i="6"/>
  <c r="BA268" i="6"/>
  <c r="AU268" i="6"/>
  <c r="AS268" i="6"/>
  <c r="AQ268" i="6"/>
  <c r="AO268" i="6"/>
  <c r="AI268" i="6"/>
  <c r="AG268" i="6"/>
  <c r="AE268" i="6"/>
  <c r="BG267" i="6"/>
  <c r="BE267" i="6"/>
  <c r="BC267" i="6"/>
  <c r="BA267" i="6"/>
  <c r="AU267" i="6"/>
  <c r="AS267" i="6"/>
  <c r="AQ267" i="6"/>
  <c r="AO267" i="6"/>
  <c r="AJ267" i="6"/>
  <c r="AK267" i="6" s="1"/>
  <c r="AI267" i="6"/>
  <c r="AG267" i="6"/>
  <c r="AE267" i="6"/>
  <c r="BG266" i="6"/>
  <c r="BE266" i="6"/>
  <c r="BC266" i="6"/>
  <c r="BA266" i="6"/>
  <c r="AU266" i="6"/>
  <c r="AS266" i="6"/>
  <c r="AQ266" i="6"/>
  <c r="AO266" i="6"/>
  <c r="AI266" i="6"/>
  <c r="AG266" i="6"/>
  <c r="AE266" i="6"/>
  <c r="W266" i="6"/>
  <c r="BG265" i="6"/>
  <c r="BE265" i="6"/>
  <c r="BC265" i="6"/>
  <c r="BA265" i="6"/>
  <c r="AU265" i="6"/>
  <c r="AS265" i="6"/>
  <c r="AQ265" i="6"/>
  <c r="AO265" i="6"/>
  <c r="AM265" i="6"/>
  <c r="AL265" i="6"/>
  <c r="AK265" i="6"/>
  <c r="AJ265" i="6"/>
  <c r="AI265" i="6"/>
  <c r="AG265" i="6"/>
  <c r="AE265" i="6"/>
  <c r="BG264" i="6"/>
  <c r="BE264" i="6"/>
  <c r="BC264" i="6"/>
  <c r="BA264" i="6"/>
  <c r="AU264" i="6"/>
  <c r="AS264" i="6"/>
  <c r="AQ264" i="6"/>
  <c r="AO264" i="6"/>
  <c r="AL264" i="6"/>
  <c r="AM264" i="6" s="1"/>
  <c r="AJ264" i="6"/>
  <c r="AJ270" i="6" s="1"/>
  <c r="AK270" i="6" s="1"/>
  <c r="AI264" i="6"/>
  <c r="AG264" i="6"/>
  <c r="AE264" i="6"/>
  <c r="BG263" i="6"/>
  <c r="BE263" i="6"/>
  <c r="BC263" i="6"/>
  <c r="BA263" i="6"/>
  <c r="AU263" i="6"/>
  <c r="AS263" i="6"/>
  <c r="AQ263" i="6"/>
  <c r="AO263" i="6"/>
  <c r="AM263" i="6"/>
  <c r="AL263" i="6"/>
  <c r="AK263" i="6"/>
  <c r="AJ263" i="6"/>
  <c r="AJ269" i="6" s="1"/>
  <c r="AK269" i="6" s="1"/>
  <c r="AI263" i="6"/>
  <c r="AG263" i="6"/>
  <c r="AE263" i="6"/>
  <c r="BG262" i="6"/>
  <c r="BE262" i="6"/>
  <c r="BC262" i="6"/>
  <c r="BA262" i="6"/>
  <c r="AU262" i="6"/>
  <c r="AS262" i="6"/>
  <c r="AQ262" i="6"/>
  <c r="AO262" i="6"/>
  <c r="AL262" i="6"/>
  <c r="AL268" i="6" s="1"/>
  <c r="AM268" i="6" s="1"/>
  <c r="AJ262" i="6"/>
  <c r="AK262" i="6" s="1"/>
  <c r="AI262" i="6"/>
  <c r="AG262" i="6"/>
  <c r="AE262" i="6"/>
  <c r="BG261" i="6"/>
  <c r="BE261" i="6"/>
  <c r="BC261" i="6"/>
  <c r="BA261" i="6"/>
  <c r="AU261" i="6"/>
  <c r="AS261" i="6"/>
  <c r="AQ261" i="6"/>
  <c r="AO261" i="6"/>
  <c r="AM261" i="6"/>
  <c r="AL261" i="6"/>
  <c r="AL267" i="6" s="1"/>
  <c r="AM267" i="6" s="1"/>
  <c r="AK261" i="6"/>
  <c r="AJ261" i="6"/>
  <c r="AI261" i="6"/>
  <c r="AG261" i="6"/>
  <c r="AE261" i="6"/>
  <c r="BJ260" i="6"/>
  <c r="BK260" i="6" s="1"/>
  <c r="BI260" i="6"/>
  <c r="BG260" i="6"/>
  <c r="BE260" i="6"/>
  <c r="BC260" i="6"/>
  <c r="BA260" i="6"/>
  <c r="AU260" i="6"/>
  <c r="AS260" i="6"/>
  <c r="AQ260" i="6"/>
  <c r="AO260" i="6"/>
  <c r="AM260" i="6"/>
  <c r="AL260" i="6"/>
  <c r="AL266" i="6" s="1"/>
  <c r="AM266" i="6" s="1"/>
  <c r="AK260" i="6"/>
  <c r="AJ260" i="6"/>
  <c r="AJ266" i="6" s="1"/>
  <c r="AK266" i="6" s="1"/>
  <c r="AI260" i="6"/>
  <c r="AG260" i="6"/>
  <c r="AE260" i="6"/>
  <c r="AC260" i="6"/>
  <c r="W260" i="6"/>
  <c r="S260" i="6" s="1"/>
  <c r="BG258" i="6"/>
  <c r="BE258" i="6"/>
  <c r="BC258" i="6"/>
  <c r="BA258" i="6"/>
  <c r="AU258" i="6"/>
  <c r="AS258" i="6"/>
  <c r="AQ258" i="6"/>
  <c r="AO258" i="6"/>
  <c r="AM258" i="6"/>
  <c r="AK258" i="6"/>
  <c r="AI258" i="6"/>
  <c r="AG258" i="6"/>
  <c r="AE258" i="6"/>
  <c r="BG257" i="6"/>
  <c r="BE257" i="6"/>
  <c r="BC257" i="6"/>
  <c r="BA257" i="6"/>
  <c r="AU257" i="6"/>
  <c r="AS257" i="6"/>
  <c r="AQ257" i="6"/>
  <c r="AO257" i="6"/>
  <c r="AM257" i="6"/>
  <c r="AK257" i="6"/>
  <c r="AI257" i="6"/>
  <c r="AG257" i="6"/>
  <c r="AE257" i="6"/>
  <c r="BG256" i="6"/>
  <c r="BE256" i="6"/>
  <c r="BC256" i="6"/>
  <c r="BA256" i="6"/>
  <c r="AU256" i="6"/>
  <c r="AS256" i="6"/>
  <c r="AQ256" i="6"/>
  <c r="AO256" i="6"/>
  <c r="AM256" i="6"/>
  <c r="AK256" i="6"/>
  <c r="AI256" i="6"/>
  <c r="AG256" i="6"/>
  <c r="AE256" i="6"/>
  <c r="BG255" i="6"/>
  <c r="BE255" i="6"/>
  <c r="BC255" i="6"/>
  <c r="BA255" i="6"/>
  <c r="AU255" i="6"/>
  <c r="AS255" i="6"/>
  <c r="AQ255" i="6"/>
  <c r="AO255" i="6"/>
  <c r="AM255" i="6"/>
  <c r="AK255" i="6"/>
  <c r="AI255" i="6"/>
  <c r="AG255" i="6"/>
  <c r="AE255" i="6"/>
  <c r="BG254" i="6"/>
  <c r="BE254" i="6"/>
  <c r="BC254" i="6"/>
  <c r="BA254" i="6"/>
  <c r="AU254" i="6"/>
  <c r="AS254" i="6"/>
  <c r="AQ254" i="6"/>
  <c r="AO254" i="6"/>
  <c r="AM254" i="6"/>
  <c r="AK254" i="6"/>
  <c r="AI254" i="6"/>
  <c r="AG254" i="6"/>
  <c r="AE254" i="6"/>
  <c r="BG253" i="6"/>
  <c r="BE253" i="6"/>
  <c r="BC253" i="6"/>
  <c r="BA253" i="6"/>
  <c r="AU253" i="6"/>
  <c r="AS253" i="6"/>
  <c r="AQ253" i="6"/>
  <c r="AO253" i="6"/>
  <c r="AM253" i="6"/>
  <c r="AK253" i="6"/>
  <c r="AI253" i="6"/>
  <c r="AG253" i="6"/>
  <c r="AE253" i="6"/>
  <c r="W253" i="6"/>
  <c r="S251" i="6" s="1"/>
  <c r="BK251" i="6"/>
  <c r="BJ251" i="6"/>
  <c r="BI251" i="6"/>
  <c r="BG251" i="6"/>
  <c r="BE251" i="6"/>
  <c r="BC251" i="6"/>
  <c r="BA251" i="6"/>
  <c r="AU251" i="6"/>
  <c r="AS251" i="6"/>
  <c r="AQ251" i="6"/>
  <c r="AO251" i="6"/>
  <c r="AM251" i="6"/>
  <c r="AK251" i="6"/>
  <c r="AI251" i="6"/>
  <c r="AG251" i="6"/>
  <c r="AE251" i="6"/>
  <c r="AC251" i="6"/>
  <c r="BG249" i="6"/>
  <c r="BE249" i="6"/>
  <c r="BC249" i="6"/>
  <c r="BA249" i="6"/>
  <c r="AU249" i="6"/>
  <c r="AS249" i="6"/>
  <c r="AQ249" i="6"/>
  <c r="AO249" i="6"/>
  <c r="AE249" i="6"/>
  <c r="BG248" i="6"/>
  <c r="BE248" i="6"/>
  <c r="BC248" i="6"/>
  <c r="BA248" i="6"/>
  <c r="AU248" i="6"/>
  <c r="AS248" i="6"/>
  <c r="AQ248" i="6"/>
  <c r="AO248" i="6"/>
  <c r="AE248" i="6"/>
  <c r="BG247" i="6"/>
  <c r="BE247" i="6"/>
  <c r="BC247" i="6"/>
  <c r="BA247" i="6"/>
  <c r="AU247" i="6"/>
  <c r="AS247" i="6"/>
  <c r="AQ247" i="6"/>
  <c r="AO247" i="6"/>
  <c r="AE247" i="6"/>
  <c r="BG246" i="6"/>
  <c r="BE246" i="6"/>
  <c r="BC246" i="6"/>
  <c r="BA246" i="6"/>
  <c r="AU246" i="6"/>
  <c r="AS246" i="6"/>
  <c r="AQ246" i="6"/>
  <c r="AO246" i="6"/>
  <c r="AE246" i="6"/>
  <c r="BG245" i="6"/>
  <c r="BE245" i="6"/>
  <c r="BC245" i="6"/>
  <c r="BA245" i="6"/>
  <c r="AU245" i="6"/>
  <c r="AS245" i="6"/>
  <c r="AQ245" i="6"/>
  <c r="AO245" i="6"/>
  <c r="AE245" i="6"/>
  <c r="BG244" i="6"/>
  <c r="BE244" i="6"/>
  <c r="BC244" i="6"/>
  <c r="BA244" i="6"/>
  <c r="AU244" i="6"/>
  <c r="AS244" i="6"/>
  <c r="AQ244" i="6"/>
  <c r="AO244" i="6"/>
  <c r="AE244" i="6"/>
  <c r="BG243" i="6"/>
  <c r="BE243" i="6"/>
  <c r="BC243" i="6"/>
  <c r="BA243" i="6"/>
  <c r="AU243" i="6"/>
  <c r="AS243" i="6"/>
  <c r="AQ243" i="6"/>
  <c r="AO243" i="6"/>
  <c r="AE243" i="6"/>
  <c r="BG242" i="6"/>
  <c r="BE242" i="6"/>
  <c r="BC242" i="6"/>
  <c r="BA242" i="6"/>
  <c r="AU242" i="6"/>
  <c r="AS242" i="6"/>
  <c r="AQ242" i="6"/>
  <c r="AO242" i="6"/>
  <c r="AE242" i="6"/>
  <c r="BG241" i="6"/>
  <c r="BE241" i="6"/>
  <c r="BC241" i="6"/>
  <c r="BA241" i="6"/>
  <c r="AU241" i="6"/>
  <c r="AS241" i="6"/>
  <c r="AQ241" i="6"/>
  <c r="AO241" i="6"/>
  <c r="AE241" i="6"/>
  <c r="BG240" i="6"/>
  <c r="BE240" i="6"/>
  <c r="BC240" i="6"/>
  <c r="BA240" i="6"/>
  <c r="AU240" i="6"/>
  <c r="AS240" i="6"/>
  <c r="AQ240" i="6"/>
  <c r="AO240" i="6"/>
  <c r="AE240" i="6"/>
  <c r="BG239" i="6"/>
  <c r="BE239" i="6"/>
  <c r="BC239" i="6"/>
  <c r="BA239" i="6"/>
  <c r="AU239" i="6"/>
  <c r="AS239" i="6"/>
  <c r="AQ239" i="6"/>
  <c r="AO239" i="6"/>
  <c r="AE239" i="6"/>
  <c r="BG238" i="6"/>
  <c r="BE238" i="6"/>
  <c r="BC238" i="6"/>
  <c r="BA238" i="6"/>
  <c r="AU238" i="6"/>
  <c r="AS238" i="6"/>
  <c r="AQ238" i="6"/>
  <c r="AO238" i="6"/>
  <c r="AE238" i="6"/>
  <c r="BG237" i="6"/>
  <c r="BE237" i="6"/>
  <c r="BC237" i="6"/>
  <c r="BA237" i="6"/>
  <c r="AU237" i="6"/>
  <c r="AS237" i="6"/>
  <c r="AQ237" i="6"/>
  <c r="AO237" i="6"/>
  <c r="AE237" i="6"/>
  <c r="BG236" i="6"/>
  <c r="BE236" i="6"/>
  <c r="BC236" i="6"/>
  <c r="BA236" i="6"/>
  <c r="AU236" i="6"/>
  <c r="AS236" i="6"/>
  <c r="AQ236" i="6"/>
  <c r="AO236" i="6"/>
  <c r="AE236" i="6"/>
  <c r="BG235" i="6"/>
  <c r="BE235" i="6"/>
  <c r="BC235" i="6"/>
  <c r="BA235" i="6"/>
  <c r="AU235" i="6"/>
  <c r="AS235" i="6"/>
  <c r="AQ235" i="6"/>
  <c r="AO235" i="6"/>
  <c r="AE235" i="6"/>
  <c r="BG234" i="6"/>
  <c r="BE234" i="6"/>
  <c r="BC234" i="6"/>
  <c r="BA234" i="6"/>
  <c r="AU234" i="6"/>
  <c r="AS234" i="6"/>
  <c r="AQ234" i="6"/>
  <c r="AO234" i="6"/>
  <c r="AE234" i="6"/>
  <c r="BG233" i="6"/>
  <c r="BE233" i="6"/>
  <c r="BC233" i="6"/>
  <c r="BA233" i="6"/>
  <c r="AU233" i="6"/>
  <c r="AS233" i="6"/>
  <c r="AQ233" i="6"/>
  <c r="AO233" i="6"/>
  <c r="AE233" i="6"/>
  <c r="BG232" i="6"/>
  <c r="BE232" i="6"/>
  <c r="BC232" i="6"/>
  <c r="BA232" i="6"/>
  <c r="AU232" i="6"/>
  <c r="AS232" i="6"/>
  <c r="AQ232" i="6"/>
  <c r="AO232" i="6"/>
  <c r="AE232" i="6"/>
  <c r="BG231" i="6"/>
  <c r="BE231" i="6"/>
  <c r="BC231" i="6"/>
  <c r="BA231" i="6"/>
  <c r="AU231" i="6"/>
  <c r="AS231" i="6"/>
  <c r="AQ231" i="6"/>
  <c r="AO231" i="6"/>
  <c r="AE231" i="6"/>
  <c r="BG230" i="6"/>
  <c r="BE230" i="6"/>
  <c r="BC230" i="6"/>
  <c r="BA230" i="6"/>
  <c r="AU230" i="6"/>
  <c r="AS230" i="6"/>
  <c r="AQ230" i="6"/>
  <c r="AO230" i="6"/>
  <c r="AE230" i="6"/>
  <c r="BG229" i="6"/>
  <c r="BE229" i="6"/>
  <c r="BC229" i="6"/>
  <c r="BA229" i="6"/>
  <c r="AU229" i="6"/>
  <c r="AS229" i="6"/>
  <c r="AQ229" i="6"/>
  <c r="AO229" i="6"/>
  <c r="AE229" i="6"/>
  <c r="BG228" i="6"/>
  <c r="BE228" i="6"/>
  <c r="BC228" i="6"/>
  <c r="BA228" i="6"/>
  <c r="AU228" i="6"/>
  <c r="AS228" i="6"/>
  <c r="AQ228" i="6"/>
  <c r="AO228" i="6"/>
  <c r="AE228" i="6"/>
  <c r="BG227" i="6"/>
  <c r="BE227" i="6"/>
  <c r="BC227" i="6"/>
  <c r="BA227" i="6"/>
  <c r="AU227" i="6"/>
  <c r="AS227" i="6"/>
  <c r="AQ227" i="6"/>
  <c r="AO227" i="6"/>
  <c r="AE227" i="6"/>
  <c r="BG226" i="6"/>
  <c r="BE226" i="6"/>
  <c r="BC226" i="6"/>
  <c r="BA226" i="6"/>
  <c r="AU226" i="6"/>
  <c r="AS226" i="6"/>
  <c r="AQ226" i="6"/>
  <c r="AO226" i="6"/>
  <c r="AE226" i="6"/>
  <c r="BG225" i="6"/>
  <c r="BE225" i="6"/>
  <c r="BC225" i="6"/>
  <c r="BA225" i="6"/>
  <c r="AU225" i="6"/>
  <c r="AS225" i="6"/>
  <c r="AQ225" i="6"/>
  <c r="AO225" i="6"/>
  <c r="AE225" i="6"/>
  <c r="BG224" i="6"/>
  <c r="BE224" i="6"/>
  <c r="BC224" i="6"/>
  <c r="BA224" i="6"/>
  <c r="AU224" i="6"/>
  <c r="AS224" i="6"/>
  <c r="AQ224" i="6"/>
  <c r="AO224" i="6"/>
  <c r="AE224" i="6"/>
  <c r="BG223" i="6"/>
  <c r="BE223" i="6"/>
  <c r="BC223" i="6"/>
  <c r="BA223" i="6"/>
  <c r="AU223" i="6"/>
  <c r="AS223" i="6"/>
  <c r="AQ223" i="6"/>
  <c r="AO223" i="6"/>
  <c r="AE223" i="6"/>
  <c r="BG222" i="6"/>
  <c r="BE222" i="6"/>
  <c r="BC222" i="6"/>
  <c r="BA222" i="6"/>
  <c r="AU222" i="6"/>
  <c r="AS222" i="6"/>
  <c r="AQ222" i="6"/>
  <c r="AO222" i="6"/>
  <c r="AE222" i="6"/>
  <c r="BG221" i="6"/>
  <c r="BE221" i="6"/>
  <c r="BC221" i="6"/>
  <c r="BA221" i="6"/>
  <c r="AU221" i="6"/>
  <c r="AS221" i="6"/>
  <c r="AQ221" i="6"/>
  <c r="AO221" i="6"/>
  <c r="AE221" i="6"/>
  <c r="BG220" i="6"/>
  <c r="BE220" i="6"/>
  <c r="BC220" i="6"/>
  <c r="BA220" i="6"/>
  <c r="AU220" i="6"/>
  <c r="AS220" i="6"/>
  <c r="AQ220" i="6"/>
  <c r="AO220" i="6"/>
  <c r="AE220" i="6"/>
  <c r="BK219" i="6"/>
  <c r="BJ219" i="6"/>
  <c r="BI219" i="6"/>
  <c r="BG219" i="6"/>
  <c r="BE219" i="6"/>
  <c r="BC219" i="6"/>
  <c r="BA219" i="6"/>
  <c r="AU219" i="6"/>
  <c r="AS219" i="6"/>
  <c r="AQ219" i="6"/>
  <c r="AO219" i="6"/>
  <c r="AE219" i="6"/>
  <c r="AC219" i="6"/>
  <c r="S219" i="6"/>
  <c r="R242" i="6" s="1"/>
  <c r="R219" i="6"/>
  <c r="BG217" i="6"/>
  <c r="BE217" i="6"/>
  <c r="BC217" i="6"/>
  <c r="BA217" i="6"/>
  <c r="AU217" i="6"/>
  <c r="AS217" i="6"/>
  <c r="AQ217" i="6"/>
  <c r="AO217" i="6"/>
  <c r="AI217" i="6"/>
  <c r="AG217" i="6"/>
  <c r="AE217" i="6"/>
  <c r="BG216" i="6"/>
  <c r="BE216" i="6"/>
  <c r="BC216" i="6"/>
  <c r="BA216" i="6"/>
  <c r="AU216" i="6"/>
  <c r="AS216" i="6"/>
  <c r="AQ216" i="6"/>
  <c r="AO216" i="6"/>
  <c r="AI216" i="6"/>
  <c r="AG216" i="6"/>
  <c r="AE216" i="6"/>
  <c r="BG215" i="6"/>
  <c r="BE215" i="6"/>
  <c r="BC215" i="6"/>
  <c r="BA215" i="6"/>
  <c r="AU215" i="6"/>
  <c r="AS215" i="6"/>
  <c r="AQ215" i="6"/>
  <c r="AO215" i="6"/>
  <c r="AI215" i="6"/>
  <c r="AG215" i="6"/>
  <c r="AE215" i="6"/>
  <c r="BG214" i="6"/>
  <c r="BE214" i="6"/>
  <c r="BC214" i="6"/>
  <c r="BA214" i="6"/>
  <c r="AU214" i="6"/>
  <c r="AS214" i="6"/>
  <c r="AQ214" i="6"/>
  <c r="AO214" i="6"/>
  <c r="AI214" i="6"/>
  <c r="AG214" i="6"/>
  <c r="AE214" i="6"/>
  <c r="BG213" i="6"/>
  <c r="BE213" i="6"/>
  <c r="BC213" i="6"/>
  <c r="BA213" i="6"/>
  <c r="AU213" i="6"/>
  <c r="AS213" i="6"/>
  <c r="AQ213" i="6"/>
  <c r="AO213" i="6"/>
  <c r="AI213" i="6"/>
  <c r="AG213" i="6"/>
  <c r="AE213" i="6"/>
  <c r="BG212" i="6"/>
  <c r="BE212" i="6"/>
  <c r="BC212" i="6"/>
  <c r="BA212" i="6"/>
  <c r="AU212" i="6"/>
  <c r="AS212" i="6"/>
  <c r="AQ212" i="6"/>
  <c r="AO212" i="6"/>
  <c r="AI212" i="6"/>
  <c r="AG212" i="6"/>
  <c r="AE212" i="6"/>
  <c r="BG211" i="6"/>
  <c r="BE211" i="6"/>
  <c r="BC211" i="6"/>
  <c r="BA211" i="6"/>
  <c r="AU211" i="6"/>
  <c r="AS211" i="6"/>
  <c r="AQ211" i="6"/>
  <c r="AO211" i="6"/>
  <c r="AI211" i="6"/>
  <c r="AG211" i="6"/>
  <c r="AE211" i="6"/>
  <c r="BG210" i="6"/>
  <c r="BE210" i="6"/>
  <c r="BC210" i="6"/>
  <c r="BA210" i="6"/>
  <c r="AU210" i="6"/>
  <c r="AS210" i="6"/>
  <c r="AQ210" i="6"/>
  <c r="AO210" i="6"/>
  <c r="AI210" i="6"/>
  <c r="AG210" i="6"/>
  <c r="AE210" i="6"/>
  <c r="X210" i="6"/>
  <c r="BG209" i="6"/>
  <c r="BE209" i="6"/>
  <c r="BC209" i="6"/>
  <c r="BA209" i="6"/>
  <c r="AU209" i="6"/>
  <c r="AS209" i="6"/>
  <c r="AQ209" i="6"/>
  <c r="AO209" i="6"/>
  <c r="AI209" i="6"/>
  <c r="AG209" i="6"/>
  <c r="AE209" i="6"/>
  <c r="BG208" i="6"/>
  <c r="BE208" i="6"/>
  <c r="BC208" i="6"/>
  <c r="BA208" i="6"/>
  <c r="AU208" i="6"/>
  <c r="AS208" i="6"/>
  <c r="AQ208" i="6"/>
  <c r="AO208" i="6"/>
  <c r="AI208" i="6"/>
  <c r="AG208" i="6"/>
  <c r="AE208" i="6"/>
  <c r="BG207" i="6"/>
  <c r="BE207" i="6"/>
  <c r="BC207" i="6"/>
  <c r="BA207" i="6"/>
  <c r="AU207" i="6"/>
  <c r="AS207" i="6"/>
  <c r="AQ207" i="6"/>
  <c r="AO207" i="6"/>
  <c r="AI207" i="6"/>
  <c r="AG207" i="6"/>
  <c r="AE207" i="6"/>
  <c r="BG206" i="6"/>
  <c r="BE206" i="6"/>
  <c r="BC206" i="6"/>
  <c r="BA206" i="6"/>
  <c r="AU206" i="6"/>
  <c r="AS206" i="6"/>
  <c r="AQ206" i="6"/>
  <c r="AO206" i="6"/>
  <c r="AI206" i="6"/>
  <c r="AG206" i="6"/>
  <c r="AE206" i="6"/>
  <c r="X206" i="6"/>
  <c r="BG205" i="6"/>
  <c r="BE205" i="6"/>
  <c r="BC205" i="6"/>
  <c r="BA205" i="6"/>
  <c r="AU205" i="6"/>
  <c r="AS205" i="6"/>
  <c r="AQ205" i="6"/>
  <c r="AO205" i="6"/>
  <c r="AI205" i="6"/>
  <c r="AG205" i="6"/>
  <c r="AE205" i="6"/>
  <c r="BG204" i="6"/>
  <c r="BE204" i="6"/>
  <c r="BC204" i="6"/>
  <c r="BA204" i="6"/>
  <c r="AU204" i="6"/>
  <c r="AS204" i="6"/>
  <c r="AQ204" i="6"/>
  <c r="AO204" i="6"/>
  <c r="AI204" i="6"/>
  <c r="AG204" i="6"/>
  <c r="AE204" i="6"/>
  <c r="BG203" i="6"/>
  <c r="BE203" i="6"/>
  <c r="BC203" i="6"/>
  <c r="BA203" i="6"/>
  <c r="AU203" i="6"/>
  <c r="AS203" i="6"/>
  <c r="AQ203" i="6"/>
  <c r="AO203" i="6"/>
  <c r="AI203" i="6"/>
  <c r="AG203" i="6"/>
  <c r="AE203" i="6"/>
  <c r="BN202" i="6"/>
  <c r="BJ202" i="6"/>
  <c r="BK202" i="6" s="1"/>
  <c r="BI202" i="6"/>
  <c r="BG202" i="6"/>
  <c r="BE202" i="6"/>
  <c r="BC202" i="6"/>
  <c r="BA202" i="6"/>
  <c r="AU202" i="6"/>
  <c r="AS202" i="6"/>
  <c r="AQ202" i="6"/>
  <c r="AO202" i="6"/>
  <c r="AI202" i="6"/>
  <c r="AG202" i="6"/>
  <c r="AE202" i="6"/>
  <c r="AC202" i="6"/>
  <c r="S202" i="6"/>
  <c r="R207" i="6" s="1"/>
  <c r="BG200" i="6"/>
  <c r="BE200" i="6"/>
  <c r="BC200" i="6"/>
  <c r="BA200" i="6"/>
  <c r="AU200" i="6"/>
  <c r="AS200" i="6"/>
  <c r="AQ200" i="6"/>
  <c r="AO200" i="6"/>
  <c r="AI200" i="6"/>
  <c r="AG200" i="6"/>
  <c r="AE200" i="6"/>
  <c r="BG199" i="6"/>
  <c r="BE199" i="6"/>
  <c r="BC199" i="6"/>
  <c r="BA199" i="6"/>
  <c r="AU199" i="6"/>
  <c r="AS199" i="6"/>
  <c r="AQ199" i="6"/>
  <c r="AO199" i="6"/>
  <c r="AI199" i="6"/>
  <c r="AG199" i="6"/>
  <c r="AE199" i="6"/>
  <c r="BG198" i="6"/>
  <c r="BE198" i="6"/>
  <c r="BC198" i="6"/>
  <c r="BA198" i="6"/>
  <c r="AU198" i="6"/>
  <c r="AS198" i="6"/>
  <c r="AQ198" i="6"/>
  <c r="AO198" i="6"/>
  <c r="AI198" i="6"/>
  <c r="AG198" i="6"/>
  <c r="AE198" i="6"/>
  <c r="BG197" i="6"/>
  <c r="BE197" i="6"/>
  <c r="BC197" i="6"/>
  <c r="BA197" i="6"/>
  <c r="AU197" i="6"/>
  <c r="AS197" i="6"/>
  <c r="AQ197" i="6"/>
  <c r="AO197" i="6"/>
  <c r="AI197" i="6"/>
  <c r="AG197" i="6"/>
  <c r="AE197" i="6"/>
  <c r="BG196" i="6"/>
  <c r="BE196" i="6"/>
  <c r="BC196" i="6"/>
  <c r="BA196" i="6"/>
  <c r="AU196" i="6"/>
  <c r="AS196" i="6"/>
  <c r="AQ196" i="6"/>
  <c r="AO196" i="6"/>
  <c r="AI196" i="6"/>
  <c r="AG196" i="6"/>
  <c r="AE196" i="6"/>
  <c r="BG195" i="6"/>
  <c r="BE195" i="6"/>
  <c r="BC195" i="6"/>
  <c r="BA195" i="6"/>
  <c r="AU195" i="6"/>
  <c r="AS195" i="6"/>
  <c r="AQ195" i="6"/>
  <c r="AO195" i="6"/>
  <c r="AI195" i="6"/>
  <c r="AG195" i="6"/>
  <c r="AE195" i="6"/>
  <c r="BG194" i="6"/>
  <c r="BE194" i="6"/>
  <c r="BC194" i="6"/>
  <c r="BA194" i="6"/>
  <c r="AU194" i="6"/>
  <c r="AS194" i="6"/>
  <c r="AQ194" i="6"/>
  <c r="AO194" i="6"/>
  <c r="AI194" i="6"/>
  <c r="AG194" i="6"/>
  <c r="AE194" i="6"/>
  <c r="BG193" i="6"/>
  <c r="BE193" i="6"/>
  <c r="BC193" i="6"/>
  <c r="BA193" i="6"/>
  <c r="AU193" i="6"/>
  <c r="AS193" i="6"/>
  <c r="AQ193" i="6"/>
  <c r="AO193" i="6"/>
  <c r="AI193" i="6"/>
  <c r="AG193" i="6"/>
  <c r="AE193" i="6"/>
  <c r="BG192" i="6"/>
  <c r="BE192" i="6"/>
  <c r="BC192" i="6"/>
  <c r="BA192" i="6"/>
  <c r="AU192" i="6"/>
  <c r="AS192" i="6"/>
  <c r="AQ192" i="6"/>
  <c r="AO192" i="6"/>
  <c r="AI192" i="6"/>
  <c r="AG192" i="6"/>
  <c r="AE192" i="6"/>
  <c r="BG191" i="6"/>
  <c r="BE191" i="6"/>
  <c r="BC191" i="6"/>
  <c r="BA191" i="6"/>
  <c r="AU191" i="6"/>
  <c r="AS191" i="6"/>
  <c r="AQ191" i="6"/>
  <c r="AO191" i="6"/>
  <c r="AI191" i="6"/>
  <c r="AG191" i="6"/>
  <c r="AE191" i="6"/>
  <c r="BJ190" i="6"/>
  <c r="BK190" i="6" s="1"/>
  <c r="BI190" i="6"/>
  <c r="BG190" i="6"/>
  <c r="BE190" i="6"/>
  <c r="BC190" i="6"/>
  <c r="BA190" i="6"/>
  <c r="AU190" i="6"/>
  <c r="AS190" i="6"/>
  <c r="AQ190" i="6"/>
  <c r="AO190" i="6"/>
  <c r="AI190" i="6"/>
  <c r="AG190" i="6"/>
  <c r="AE190" i="6"/>
  <c r="AC190" i="6"/>
  <c r="S190" i="6"/>
  <c r="R196" i="6" s="1"/>
  <c r="BJ180" i="6"/>
  <c r="BK180" i="6" s="1"/>
  <c r="BI180" i="6"/>
  <c r="AL180" i="6"/>
  <c r="AJ180" i="6"/>
  <c r="S180" i="6"/>
  <c r="R184" i="6" s="1"/>
  <c r="BG178" i="6"/>
  <c r="BE178" i="6"/>
  <c r="BC178" i="6"/>
  <c r="BA178" i="6"/>
  <c r="AU178" i="6"/>
  <c r="AS178" i="6"/>
  <c r="AQ178" i="6"/>
  <c r="AO178" i="6"/>
  <c r="AI178" i="6"/>
  <c r="AG178" i="6"/>
  <c r="AE178" i="6"/>
  <c r="BG177" i="6"/>
  <c r="BE177" i="6"/>
  <c r="BC177" i="6"/>
  <c r="BA177" i="6"/>
  <c r="AU177" i="6"/>
  <c r="AS177" i="6"/>
  <c r="AQ177" i="6"/>
  <c r="AO177" i="6"/>
  <c r="AI177" i="6"/>
  <c r="AG177" i="6"/>
  <c r="AE177" i="6"/>
  <c r="X177" i="6"/>
  <c r="BG176" i="6"/>
  <c r="BE176" i="6"/>
  <c r="BC176" i="6"/>
  <c r="BA176" i="6"/>
  <c r="AU176" i="6"/>
  <c r="AS176" i="6"/>
  <c r="AQ176" i="6"/>
  <c r="AO176" i="6"/>
  <c r="AI176" i="6"/>
  <c r="AG176" i="6"/>
  <c r="AE176" i="6"/>
  <c r="X176" i="6"/>
  <c r="BG175" i="6"/>
  <c r="BE175" i="6"/>
  <c r="BC175" i="6"/>
  <c r="BA175" i="6"/>
  <c r="AU175" i="6"/>
  <c r="AS175" i="6"/>
  <c r="AQ175" i="6"/>
  <c r="AO175" i="6"/>
  <c r="AI175" i="6"/>
  <c r="AG175" i="6"/>
  <c r="AE175" i="6"/>
  <c r="X175" i="6"/>
  <c r="BG174" i="6"/>
  <c r="BE174" i="6"/>
  <c r="BC174" i="6"/>
  <c r="BA174" i="6"/>
  <c r="AU174" i="6"/>
  <c r="AS174" i="6"/>
  <c r="AQ174" i="6"/>
  <c r="AO174" i="6"/>
  <c r="AI174" i="6"/>
  <c r="AG174" i="6"/>
  <c r="AE174" i="6"/>
  <c r="Y174" i="6"/>
  <c r="X174" i="6"/>
  <c r="BG173" i="6"/>
  <c r="BE173" i="6"/>
  <c r="BC173" i="6"/>
  <c r="BA173" i="6"/>
  <c r="AU173" i="6"/>
  <c r="AS173" i="6"/>
  <c r="AQ173" i="6"/>
  <c r="AO173" i="6"/>
  <c r="AI173" i="6"/>
  <c r="AG173" i="6"/>
  <c r="AE173" i="6"/>
  <c r="X173" i="6"/>
  <c r="BG172" i="6"/>
  <c r="BE172" i="6"/>
  <c r="BC172" i="6"/>
  <c r="BA172" i="6"/>
  <c r="AU172" i="6"/>
  <c r="AS172" i="6"/>
  <c r="AQ172" i="6"/>
  <c r="AO172" i="6"/>
  <c r="AI172" i="6"/>
  <c r="AG172" i="6"/>
  <c r="AE172" i="6"/>
  <c r="Y172" i="6"/>
  <c r="X172" i="6"/>
  <c r="BG171" i="6"/>
  <c r="BE171" i="6"/>
  <c r="BC171" i="6"/>
  <c r="BA171" i="6"/>
  <c r="AU171" i="6"/>
  <c r="AS171" i="6"/>
  <c r="AQ171" i="6"/>
  <c r="AO171" i="6"/>
  <c r="AI171" i="6"/>
  <c r="AG171" i="6"/>
  <c r="AE171" i="6"/>
  <c r="X171" i="6"/>
  <c r="BG170" i="6"/>
  <c r="BE170" i="6"/>
  <c r="BC170" i="6"/>
  <c r="BA170" i="6"/>
  <c r="AU170" i="6"/>
  <c r="AS170" i="6"/>
  <c r="AQ170" i="6"/>
  <c r="AO170" i="6"/>
  <c r="AI170" i="6"/>
  <c r="AG170" i="6"/>
  <c r="AE170" i="6"/>
  <c r="X170" i="6"/>
  <c r="BG169" i="6"/>
  <c r="BE169" i="6"/>
  <c r="BC169" i="6"/>
  <c r="BA169" i="6"/>
  <c r="AU169" i="6"/>
  <c r="AS169" i="6"/>
  <c r="AQ169" i="6"/>
  <c r="AO169" i="6"/>
  <c r="AI169" i="6"/>
  <c r="AG169" i="6"/>
  <c r="AE169" i="6"/>
  <c r="X169" i="6"/>
  <c r="BG168" i="6"/>
  <c r="BE168" i="6"/>
  <c r="BC168" i="6"/>
  <c r="BA168" i="6"/>
  <c r="AU168" i="6"/>
  <c r="AS168" i="6"/>
  <c r="AQ168" i="6"/>
  <c r="AO168" i="6"/>
  <c r="AI168" i="6"/>
  <c r="AG168" i="6"/>
  <c r="AE168" i="6"/>
  <c r="BG167" i="6"/>
  <c r="BE167" i="6"/>
  <c r="BC167" i="6"/>
  <c r="BA167" i="6"/>
  <c r="AU167" i="6"/>
  <c r="AS167" i="6"/>
  <c r="AQ167" i="6"/>
  <c r="AO167" i="6"/>
  <c r="AI167" i="6"/>
  <c r="AG167" i="6"/>
  <c r="AE167" i="6"/>
  <c r="X167" i="6"/>
  <c r="BG166" i="6"/>
  <c r="BE166" i="6"/>
  <c r="BC166" i="6"/>
  <c r="BA166" i="6"/>
  <c r="AU166" i="6"/>
  <c r="AS166" i="6"/>
  <c r="AQ166" i="6"/>
  <c r="AO166" i="6"/>
  <c r="AI166" i="6"/>
  <c r="AG166" i="6"/>
  <c r="AE166" i="6"/>
  <c r="X166" i="6"/>
  <c r="BG165" i="6"/>
  <c r="BE165" i="6"/>
  <c r="BC165" i="6"/>
  <c r="BA165" i="6"/>
  <c r="AU165" i="6"/>
  <c r="AS165" i="6"/>
  <c r="AQ165" i="6"/>
  <c r="AO165" i="6"/>
  <c r="AI165" i="6"/>
  <c r="AG165" i="6"/>
  <c r="AE165" i="6"/>
  <c r="BG164" i="6"/>
  <c r="BE164" i="6"/>
  <c r="BC164" i="6"/>
  <c r="BA164" i="6"/>
  <c r="AU164" i="6"/>
  <c r="AS164" i="6"/>
  <c r="AQ164" i="6"/>
  <c r="AO164" i="6"/>
  <c r="AI164" i="6"/>
  <c r="AG164" i="6"/>
  <c r="AE164" i="6"/>
  <c r="BG163" i="6"/>
  <c r="BE163" i="6"/>
  <c r="BC163" i="6"/>
  <c r="BA163" i="6"/>
  <c r="AU163" i="6"/>
  <c r="AS163" i="6"/>
  <c r="AQ163" i="6"/>
  <c r="AO163" i="6"/>
  <c r="AI163" i="6"/>
  <c r="AG163" i="6"/>
  <c r="AE163" i="6"/>
  <c r="X163" i="6"/>
  <c r="BG162" i="6"/>
  <c r="BE162" i="6"/>
  <c r="BC162" i="6"/>
  <c r="BA162" i="6"/>
  <c r="AU162" i="6"/>
  <c r="AS162" i="6"/>
  <c r="AQ162" i="6"/>
  <c r="AO162" i="6"/>
  <c r="AI162" i="6"/>
  <c r="AG162" i="6"/>
  <c r="AE162" i="6"/>
  <c r="BG161" i="6"/>
  <c r="BE161" i="6"/>
  <c r="BC161" i="6"/>
  <c r="BA161" i="6"/>
  <c r="AU161" i="6"/>
  <c r="AS161" i="6"/>
  <c r="AQ161" i="6"/>
  <c r="AO161" i="6"/>
  <c r="AI161" i="6"/>
  <c r="AG161" i="6"/>
  <c r="AE161" i="6"/>
  <c r="BG160" i="6"/>
  <c r="BE160" i="6"/>
  <c r="BC160" i="6"/>
  <c r="BA160" i="6"/>
  <c r="AU160" i="6"/>
  <c r="AS160" i="6"/>
  <c r="AQ160" i="6"/>
  <c r="AO160" i="6"/>
  <c r="AI160" i="6"/>
  <c r="AG160" i="6"/>
  <c r="AE160" i="6"/>
  <c r="BG159" i="6"/>
  <c r="BE159" i="6"/>
  <c r="BC159" i="6"/>
  <c r="BA159" i="6"/>
  <c r="AU159" i="6"/>
  <c r="AS159" i="6"/>
  <c r="AQ159" i="6"/>
  <c r="AO159" i="6"/>
  <c r="AI159" i="6"/>
  <c r="AG159" i="6"/>
  <c r="AE159" i="6"/>
  <c r="X159" i="6"/>
  <c r="BG158" i="6"/>
  <c r="BE158" i="6"/>
  <c r="BC158" i="6"/>
  <c r="BA158" i="6"/>
  <c r="AU158" i="6"/>
  <c r="AS158" i="6"/>
  <c r="AQ158" i="6"/>
  <c r="AO158" i="6"/>
  <c r="AI158" i="6"/>
  <c r="AG158" i="6"/>
  <c r="AE158" i="6"/>
  <c r="X158" i="6"/>
  <c r="BG157" i="6"/>
  <c r="BE157" i="6"/>
  <c r="BC157" i="6"/>
  <c r="BA157" i="6"/>
  <c r="AU157" i="6"/>
  <c r="AS157" i="6"/>
  <c r="AQ157" i="6"/>
  <c r="AO157" i="6"/>
  <c r="AI157" i="6"/>
  <c r="AG157" i="6"/>
  <c r="AE157" i="6"/>
  <c r="X157" i="6"/>
  <c r="BG156" i="6"/>
  <c r="BE156" i="6"/>
  <c r="BC156" i="6"/>
  <c r="BA156" i="6"/>
  <c r="AU156" i="6"/>
  <c r="AS156" i="6"/>
  <c r="AQ156" i="6"/>
  <c r="AO156" i="6"/>
  <c r="AI156" i="6"/>
  <c r="AG156" i="6"/>
  <c r="AE156" i="6"/>
  <c r="Y156" i="6"/>
  <c r="BJ155" i="6" s="1"/>
  <c r="BK155" i="6" s="1"/>
  <c r="BG155" i="6"/>
  <c r="BE155" i="6"/>
  <c r="BC155" i="6"/>
  <c r="BA155" i="6"/>
  <c r="AU155" i="6"/>
  <c r="AS155" i="6"/>
  <c r="AQ155" i="6"/>
  <c r="AO155" i="6"/>
  <c r="AI155" i="6"/>
  <c r="AG155" i="6"/>
  <c r="AE155" i="6"/>
  <c r="AC155" i="6"/>
  <c r="X155" i="6"/>
  <c r="BI155" i="6" s="1"/>
  <c r="S155" i="6"/>
  <c r="BG154" i="6"/>
  <c r="BE154" i="6"/>
  <c r="BC154" i="6"/>
  <c r="BA154" i="6"/>
  <c r="AU154" i="6"/>
  <c r="AS154" i="6"/>
  <c r="AQ154" i="6"/>
  <c r="AO154" i="6"/>
  <c r="AM154" i="6"/>
  <c r="AK154" i="6"/>
  <c r="AI154" i="6"/>
  <c r="AG154" i="6"/>
  <c r="AE154" i="6"/>
  <c r="W154" i="6"/>
  <c r="BG153" i="6"/>
  <c r="BE153" i="6"/>
  <c r="BC153" i="6"/>
  <c r="BA153" i="6"/>
  <c r="AU153" i="6"/>
  <c r="AS153" i="6"/>
  <c r="AQ153" i="6"/>
  <c r="AO153" i="6"/>
  <c r="AM153" i="6"/>
  <c r="AK153" i="6"/>
  <c r="AI153" i="6"/>
  <c r="AG153" i="6"/>
  <c r="AE153" i="6"/>
  <c r="BG152" i="6"/>
  <c r="BE152" i="6"/>
  <c r="BC152" i="6"/>
  <c r="BA152" i="6"/>
  <c r="AU152" i="6"/>
  <c r="AS152" i="6"/>
  <c r="AQ152" i="6"/>
  <c r="AO152" i="6"/>
  <c r="AM152" i="6"/>
  <c r="AK152" i="6"/>
  <c r="AI152" i="6"/>
  <c r="AG152" i="6"/>
  <c r="AE152" i="6"/>
  <c r="W152" i="6"/>
  <c r="BG151" i="6"/>
  <c r="BE151" i="6"/>
  <c r="BC151" i="6"/>
  <c r="BA151" i="6"/>
  <c r="AU151" i="6"/>
  <c r="AS151" i="6"/>
  <c r="AQ151" i="6"/>
  <c r="AO151" i="6"/>
  <c r="AM151" i="6"/>
  <c r="AK151" i="6"/>
  <c r="AI151" i="6"/>
  <c r="AG151" i="6"/>
  <c r="AE151" i="6"/>
  <c r="BG150" i="6"/>
  <c r="BE150" i="6"/>
  <c r="BC150" i="6"/>
  <c r="BA150" i="6"/>
  <c r="AU150" i="6"/>
  <c r="AS150" i="6"/>
  <c r="AQ150" i="6"/>
  <c r="AO150" i="6"/>
  <c r="AM150" i="6"/>
  <c r="AK150" i="6"/>
  <c r="AI150" i="6"/>
  <c r="AG150" i="6"/>
  <c r="AE150" i="6"/>
  <c r="W150" i="6"/>
  <c r="BG149" i="6"/>
  <c r="BE149" i="6"/>
  <c r="BC149" i="6"/>
  <c r="BA149" i="6"/>
  <c r="AU149" i="6"/>
  <c r="AS149" i="6"/>
  <c r="AQ149" i="6"/>
  <c r="AO149" i="6"/>
  <c r="AM149" i="6"/>
  <c r="AK149" i="6"/>
  <c r="AI149" i="6"/>
  <c r="AG149" i="6"/>
  <c r="AE149" i="6"/>
  <c r="BG148" i="6"/>
  <c r="BE148" i="6"/>
  <c r="BC148" i="6"/>
  <c r="BA148" i="6"/>
  <c r="AU148" i="6"/>
  <c r="AS148" i="6"/>
  <c r="AQ148" i="6"/>
  <c r="AO148" i="6"/>
  <c r="AM148" i="6"/>
  <c r="AK148" i="6"/>
  <c r="AI148" i="6"/>
  <c r="AG148" i="6"/>
  <c r="AE148" i="6"/>
  <c r="W148" i="6"/>
  <c r="BG147" i="6"/>
  <c r="BE147" i="6"/>
  <c r="BC147" i="6"/>
  <c r="BA147" i="6"/>
  <c r="AU147" i="6"/>
  <c r="AS147" i="6"/>
  <c r="AQ147" i="6"/>
  <c r="AO147" i="6"/>
  <c r="AM147" i="6"/>
  <c r="AK147" i="6"/>
  <c r="AI147" i="6"/>
  <c r="AG147" i="6"/>
  <c r="AE147" i="6"/>
  <c r="BG146" i="6"/>
  <c r="BE146" i="6"/>
  <c r="BC146" i="6"/>
  <c r="BA146" i="6"/>
  <c r="AU146" i="6"/>
  <c r="AS146" i="6"/>
  <c r="AQ146" i="6"/>
  <c r="AO146" i="6"/>
  <c r="AM146" i="6"/>
  <c r="AK146" i="6"/>
  <c r="AI146" i="6"/>
  <c r="AG146" i="6"/>
  <c r="AE146" i="6"/>
  <c r="W146" i="6"/>
  <c r="BG145" i="6"/>
  <c r="BE145" i="6"/>
  <c r="BC145" i="6"/>
  <c r="BA145" i="6"/>
  <c r="AU145" i="6"/>
  <c r="AS145" i="6"/>
  <c r="AQ145" i="6"/>
  <c r="AO145" i="6"/>
  <c r="AM145" i="6"/>
  <c r="AK145" i="6"/>
  <c r="AI145" i="6"/>
  <c r="AG145" i="6"/>
  <c r="AE145" i="6"/>
  <c r="Y145" i="6"/>
  <c r="Y358" i="6" s="1"/>
  <c r="BG144" i="6"/>
  <c r="BE144" i="6"/>
  <c r="BC144" i="6"/>
  <c r="BA144" i="6"/>
  <c r="AU144" i="6"/>
  <c r="AS144" i="6"/>
  <c r="AQ144" i="6"/>
  <c r="AO144" i="6"/>
  <c r="AM144" i="6"/>
  <c r="AK144" i="6"/>
  <c r="AI144" i="6"/>
  <c r="AG144" i="6"/>
  <c r="AE144" i="6"/>
  <c r="W144" i="6"/>
  <c r="BG143" i="6"/>
  <c r="BE143" i="6"/>
  <c r="BC143" i="6"/>
  <c r="BA143" i="6"/>
  <c r="AU143" i="6"/>
  <c r="AS143" i="6"/>
  <c r="AQ143" i="6"/>
  <c r="AO143" i="6"/>
  <c r="AM143" i="6"/>
  <c r="AK143" i="6"/>
  <c r="AI143" i="6"/>
  <c r="AG143" i="6"/>
  <c r="AE143" i="6"/>
  <c r="BG142" i="6"/>
  <c r="BE142" i="6"/>
  <c r="BC142" i="6"/>
  <c r="BA142" i="6"/>
  <c r="AU142" i="6"/>
  <c r="AS142" i="6"/>
  <c r="AQ142" i="6"/>
  <c r="AO142" i="6"/>
  <c r="AM142" i="6"/>
  <c r="AK142" i="6"/>
  <c r="AI142" i="6"/>
  <c r="AG142" i="6"/>
  <c r="AE142" i="6"/>
  <c r="W142" i="6"/>
  <c r="BG141" i="6"/>
  <c r="BE141" i="6"/>
  <c r="BC141" i="6"/>
  <c r="BA141" i="6"/>
  <c r="AU141" i="6"/>
  <c r="AS141" i="6"/>
  <c r="AQ141" i="6"/>
  <c r="AO141" i="6"/>
  <c r="AM141" i="6"/>
  <c r="AK141" i="6"/>
  <c r="AI141" i="6"/>
  <c r="AG141" i="6"/>
  <c r="AE141" i="6"/>
  <c r="X141" i="6"/>
  <c r="BG140" i="6"/>
  <c r="BE140" i="6"/>
  <c r="BC140" i="6"/>
  <c r="BA140" i="6"/>
  <c r="AU140" i="6"/>
  <c r="AS140" i="6"/>
  <c r="AQ140" i="6"/>
  <c r="AO140" i="6"/>
  <c r="AM140" i="6"/>
  <c r="AK140" i="6"/>
  <c r="AI140" i="6"/>
  <c r="AG140" i="6"/>
  <c r="AE140" i="6"/>
  <c r="W140" i="6"/>
  <c r="BG139" i="6"/>
  <c r="BE139" i="6"/>
  <c r="BC139" i="6"/>
  <c r="BA139" i="6"/>
  <c r="AU139" i="6"/>
  <c r="AS139" i="6"/>
  <c r="AQ139" i="6"/>
  <c r="AO139" i="6"/>
  <c r="AM139" i="6"/>
  <c r="AK139" i="6"/>
  <c r="AI139" i="6"/>
  <c r="AG139" i="6"/>
  <c r="AE139" i="6"/>
  <c r="BG138" i="6"/>
  <c r="BE138" i="6"/>
  <c r="BC138" i="6"/>
  <c r="BA138" i="6"/>
  <c r="AU138" i="6"/>
  <c r="AS138" i="6"/>
  <c r="AQ138" i="6"/>
  <c r="AO138" i="6"/>
  <c r="AM138" i="6"/>
  <c r="AK138" i="6"/>
  <c r="AI138" i="6"/>
  <c r="AG138" i="6"/>
  <c r="AE138" i="6"/>
  <c r="BG137" i="6"/>
  <c r="BE137" i="6"/>
  <c r="BC137" i="6"/>
  <c r="BA137" i="6"/>
  <c r="AU137" i="6"/>
  <c r="AS137" i="6"/>
  <c r="AQ137" i="6"/>
  <c r="AO137" i="6"/>
  <c r="AM137" i="6"/>
  <c r="AK137" i="6"/>
  <c r="AI137" i="6"/>
  <c r="AG137" i="6"/>
  <c r="AE137" i="6"/>
  <c r="BG136" i="6"/>
  <c r="BE136" i="6"/>
  <c r="BC136" i="6"/>
  <c r="BA136" i="6"/>
  <c r="AU136" i="6"/>
  <c r="AS136" i="6"/>
  <c r="AQ136" i="6"/>
  <c r="AO136" i="6"/>
  <c r="AM136" i="6"/>
  <c r="AK136" i="6"/>
  <c r="AI136" i="6"/>
  <c r="AG136" i="6"/>
  <c r="AE136" i="6"/>
  <c r="X136" i="6"/>
  <c r="BI131" i="6" s="1"/>
  <c r="W136" i="6"/>
  <c r="BG135" i="6"/>
  <c r="BE135" i="6"/>
  <c r="BC135" i="6"/>
  <c r="BA135" i="6"/>
  <c r="AU135" i="6"/>
  <c r="AS135" i="6"/>
  <c r="AQ135" i="6"/>
  <c r="AO135" i="6"/>
  <c r="AM135" i="6"/>
  <c r="AK135" i="6"/>
  <c r="AI135" i="6"/>
  <c r="AG135" i="6"/>
  <c r="AE135" i="6"/>
  <c r="BG134" i="6"/>
  <c r="BE134" i="6"/>
  <c r="BC134" i="6"/>
  <c r="BA134" i="6"/>
  <c r="AU134" i="6"/>
  <c r="AS134" i="6"/>
  <c r="AQ134" i="6"/>
  <c r="AO134" i="6"/>
  <c r="AM134" i="6"/>
  <c r="AK134" i="6"/>
  <c r="AI134" i="6"/>
  <c r="AG134" i="6"/>
  <c r="AE134" i="6"/>
  <c r="BG133" i="6"/>
  <c r="BE133" i="6"/>
  <c r="BC133" i="6"/>
  <c r="BA133" i="6"/>
  <c r="AU133" i="6"/>
  <c r="AS133" i="6"/>
  <c r="AQ133" i="6"/>
  <c r="AO133" i="6"/>
  <c r="AM133" i="6"/>
  <c r="AK133" i="6"/>
  <c r="AI133" i="6"/>
  <c r="AG133" i="6"/>
  <c r="AE133" i="6"/>
  <c r="W133" i="6"/>
  <c r="BG132" i="6"/>
  <c r="BE132" i="6"/>
  <c r="BC132" i="6"/>
  <c r="BA132" i="6"/>
  <c r="AU132" i="6"/>
  <c r="AS132" i="6"/>
  <c r="AQ132" i="6"/>
  <c r="AO132" i="6"/>
  <c r="AM132" i="6"/>
  <c r="AK132" i="6"/>
  <c r="AI132" i="6"/>
  <c r="AG132" i="6"/>
  <c r="AE132" i="6"/>
  <c r="BJ131" i="6"/>
  <c r="BG131" i="6"/>
  <c r="BE131" i="6"/>
  <c r="BC131" i="6"/>
  <c r="BA131" i="6"/>
  <c r="AU131" i="6"/>
  <c r="AS131" i="6"/>
  <c r="AQ131" i="6"/>
  <c r="AO131" i="6"/>
  <c r="AM131" i="6"/>
  <c r="AK131" i="6"/>
  <c r="AI131" i="6"/>
  <c r="AG131" i="6"/>
  <c r="AE131" i="6"/>
  <c r="AC131" i="6"/>
  <c r="S131" i="6"/>
  <c r="R147" i="6" s="1"/>
  <c r="AG130" i="6"/>
  <c r="AG129" i="6"/>
  <c r="AG128" i="6"/>
  <c r="AG127" i="6"/>
  <c r="AG126" i="6"/>
  <c r="AG125" i="6"/>
  <c r="AG124" i="6"/>
  <c r="AG123" i="6"/>
  <c r="AG122" i="6"/>
  <c r="BK121" i="6"/>
  <c r="BJ121" i="6"/>
  <c r="BI121" i="6"/>
  <c r="AG121" i="6"/>
  <c r="S121" i="6"/>
  <c r="R126" i="6" s="1"/>
  <c r="R112" i="6"/>
  <c r="BK107" i="6"/>
  <c r="BJ107" i="6"/>
  <c r="BI107" i="6"/>
  <c r="AN107" i="6"/>
  <c r="AL107" i="6"/>
  <c r="S107" i="6"/>
  <c r="R116" i="6" s="1"/>
  <c r="R107" i="6"/>
  <c r="BJ85" i="6"/>
  <c r="BK85" i="6" s="1"/>
  <c r="BI85" i="6"/>
  <c r="AN85" i="6"/>
  <c r="AL85" i="6"/>
  <c r="AJ85" i="6"/>
  <c r="AJ107" i="6" s="1"/>
  <c r="S85" i="6"/>
  <c r="R101" i="6" s="1"/>
  <c r="W78" i="6"/>
  <c r="R67" i="6"/>
  <c r="BJ56" i="6"/>
  <c r="BK56" i="6" s="1"/>
  <c r="BI56" i="6"/>
  <c r="AL56" i="6"/>
  <c r="AJ56" i="6"/>
  <c r="S56" i="6"/>
  <c r="R62" i="6" s="1"/>
  <c r="R56" i="6"/>
  <c r="X54" i="6"/>
  <c r="X52" i="6"/>
  <c r="X51" i="6"/>
  <c r="BJ49" i="6"/>
  <c r="BK49" i="6" s="1"/>
  <c r="BI49" i="6"/>
  <c r="W49" i="6"/>
  <c r="X39" i="6"/>
  <c r="X358" i="6" s="1"/>
  <c r="R33" i="6"/>
  <c r="BJ13" i="6"/>
  <c r="BI13" i="6"/>
  <c r="BI358" i="6" s="1"/>
  <c r="S13" i="6"/>
  <c r="R23" i="6" s="1"/>
  <c r="R13" i="6"/>
  <c r="R251" i="6" l="1"/>
  <c r="R258" i="6"/>
  <c r="R49" i="6"/>
  <c r="BJ358" i="6"/>
  <c r="BK131" i="6"/>
  <c r="R292" i="6"/>
  <c r="R285" i="6"/>
  <c r="BK13" i="6"/>
  <c r="R79" i="6"/>
  <c r="S49" i="6"/>
  <c r="R85" i="6"/>
  <c r="R96" i="6"/>
  <c r="R121" i="6"/>
  <c r="R131" i="6"/>
  <c r="R180" i="6"/>
  <c r="R190" i="6"/>
  <c r="R202" i="6"/>
  <c r="R226" i="6"/>
  <c r="AM262" i="6"/>
  <c r="AK264" i="6"/>
  <c r="AJ268" i="6"/>
  <c r="AK268" i="6" s="1"/>
  <c r="AL270" i="6"/>
  <c r="AM270" i="6" s="1"/>
  <c r="R288" i="6"/>
  <c r="R319" i="6"/>
  <c r="R333" i="6"/>
  <c r="R209" i="6"/>
  <c r="R235" i="6"/>
  <c r="R271" i="6"/>
  <c r="W358" i="6"/>
  <c r="R337" i="6"/>
  <c r="R51" i="6" l="1"/>
  <c r="S358" i="6"/>
  <c r="BH150" i="5" l="1"/>
  <c r="W146" i="5"/>
  <c r="X144" i="5"/>
  <c r="X143" i="5"/>
  <c r="W142" i="5"/>
  <c r="X140" i="5"/>
  <c r="W139" i="5"/>
  <c r="X135" i="5"/>
  <c r="X134" i="5"/>
  <c r="BI129" i="5" s="1"/>
  <c r="BK129" i="5" s="1"/>
  <c r="W132" i="5"/>
  <c r="W130" i="5"/>
  <c r="R129" i="5" s="1"/>
  <c r="BJ129" i="5"/>
  <c r="BF129" i="5"/>
  <c r="S129" i="5"/>
  <c r="R138" i="5" s="1"/>
  <c r="W128" i="5"/>
  <c r="W127" i="5"/>
  <c r="X127" i="5" s="1"/>
  <c r="W126" i="5"/>
  <c r="X126" i="5" s="1"/>
  <c r="W125" i="5"/>
  <c r="S117" i="5" s="1"/>
  <c r="Y123" i="5"/>
  <c r="X122" i="5"/>
  <c r="X121" i="5"/>
  <c r="X119" i="5"/>
  <c r="BI117" i="5" s="1"/>
  <c r="Y118" i="5"/>
  <c r="BJ117" i="5" s="1"/>
  <c r="BK117" i="5" s="1"/>
  <c r="BF117" i="5"/>
  <c r="BB117" i="5"/>
  <c r="W116" i="5"/>
  <c r="Y114" i="5"/>
  <c r="BJ97" i="5" s="1"/>
  <c r="BK97" i="5" s="1"/>
  <c r="W114" i="5"/>
  <c r="X114" i="5" s="1"/>
  <c r="BI97" i="5" s="1"/>
  <c r="W107" i="5"/>
  <c r="W103" i="5"/>
  <c r="W102" i="5"/>
  <c r="W101" i="5"/>
  <c r="W100" i="5"/>
  <c r="W99" i="5"/>
  <c r="S97" i="5" s="1"/>
  <c r="BG97" i="5"/>
  <c r="AN97" i="5"/>
  <c r="W97" i="5"/>
  <c r="W96" i="5"/>
  <c r="W95" i="5"/>
  <c r="W93" i="5"/>
  <c r="BF92" i="5"/>
  <c r="S92" i="5"/>
  <c r="W91" i="5"/>
  <c r="W90" i="5"/>
  <c r="W88" i="5"/>
  <c r="W87" i="5"/>
  <c r="W86" i="5"/>
  <c r="W85" i="5"/>
  <c r="W83" i="5"/>
  <c r="BK82" i="5"/>
  <c r="BJ82" i="5"/>
  <c r="BI82" i="5"/>
  <c r="BF82" i="5"/>
  <c r="S82" i="5"/>
  <c r="W81" i="5"/>
  <c r="Y80" i="5"/>
  <c r="Y150" i="5" s="1"/>
  <c r="X80" i="5"/>
  <c r="X79" i="5"/>
  <c r="W79" i="5"/>
  <c r="X78" i="5"/>
  <c r="BI66" i="5" s="1"/>
  <c r="W74" i="5"/>
  <c r="W73" i="5"/>
  <c r="W72" i="5"/>
  <c r="W71" i="5"/>
  <c r="W70" i="5"/>
  <c r="W69" i="5"/>
  <c r="W68" i="5"/>
  <c r="W67" i="5"/>
  <c r="BJ66" i="5"/>
  <c r="BK66" i="5" s="1"/>
  <c r="BF66" i="5"/>
  <c r="BG66" i="5" s="1"/>
  <c r="BE66" i="5"/>
  <c r="BC66" i="5"/>
  <c r="BA66" i="5"/>
  <c r="W66" i="5"/>
  <c r="S66" i="5"/>
  <c r="R77" i="5" s="1"/>
  <c r="W63" i="5"/>
  <c r="W62" i="5"/>
  <c r="W61" i="5"/>
  <c r="W60" i="5"/>
  <c r="W59" i="5"/>
  <c r="W58" i="5"/>
  <c r="W57" i="5"/>
  <c r="S53" i="5" s="1"/>
  <c r="BJ53" i="5"/>
  <c r="BK53" i="5" s="1"/>
  <c r="BI53" i="5"/>
  <c r="BG53" i="5"/>
  <c r="BF53" i="5"/>
  <c r="X49" i="5"/>
  <c r="X47" i="5"/>
  <c r="BI35" i="5" s="1"/>
  <c r="BJ35" i="5"/>
  <c r="BK35" i="5" s="1"/>
  <c r="BF35" i="5"/>
  <c r="AU35" i="5"/>
  <c r="S35" i="5"/>
  <c r="X31" i="5"/>
  <c r="X30" i="5"/>
  <c r="X14" i="5"/>
  <c r="X13" i="5"/>
  <c r="BJ12" i="5"/>
  <c r="BF12" i="5"/>
  <c r="BG12" i="5" s="1"/>
  <c r="BE12" i="5"/>
  <c r="BC12" i="5"/>
  <c r="BA12" i="5"/>
  <c r="AU12" i="5"/>
  <c r="AS12" i="5"/>
  <c r="AQ12" i="5"/>
  <c r="AO12" i="5"/>
  <c r="AM12" i="5"/>
  <c r="AK12" i="5"/>
  <c r="AI12" i="5"/>
  <c r="AG12" i="5"/>
  <c r="AE12" i="5"/>
  <c r="AC12" i="5"/>
  <c r="S12" i="5"/>
  <c r="BJ150" i="5" l="1"/>
  <c r="S150" i="5"/>
  <c r="X150" i="5"/>
  <c r="W150" i="5"/>
  <c r="R75" i="5"/>
  <c r="R131" i="5"/>
  <c r="R144" i="5"/>
  <c r="R148" i="5"/>
  <c r="BI12" i="5"/>
  <c r="BI150" i="5" s="1"/>
  <c r="R66" i="5"/>
  <c r="R76" i="5"/>
  <c r="R136" i="5"/>
  <c r="R141" i="5"/>
  <c r="R134" i="5"/>
  <c r="R145" i="5"/>
  <c r="R78" i="5"/>
  <c r="BK12" i="5" l="1"/>
  <c r="BK150" i="5"/>
  <c r="BJ26" i="4" l="1"/>
  <c r="BI26" i="4"/>
  <c r="Y26" i="4"/>
  <c r="X26" i="4"/>
  <c r="W26" i="4"/>
  <c r="W23" i="4"/>
  <c r="W22" i="4"/>
  <c r="R22" i="4" s="1"/>
  <c r="BK21" i="4"/>
  <c r="S21" i="4"/>
  <c r="R21" i="4" s="1"/>
  <c r="BK20" i="4"/>
  <c r="W20" i="4"/>
  <c r="S20" i="4"/>
  <c r="R20" i="4" s="1"/>
  <c r="W19" i="4"/>
  <c r="W18" i="4"/>
  <c r="BK17" i="4"/>
  <c r="W17" i="4"/>
  <c r="S17" i="4" s="1"/>
  <c r="BK16" i="4"/>
  <c r="W16" i="4"/>
  <c r="S16" i="4" s="1"/>
  <c r="S26" i="4" l="1"/>
  <c r="R16" i="4"/>
  <c r="R17" i="4"/>
  <c r="R24" i="4"/>
  <c r="R25" i="4"/>
  <c r="W126" i="3" l="1"/>
  <c r="BJ125" i="3"/>
  <c r="BI125" i="3"/>
  <c r="W125" i="3"/>
  <c r="S125" i="3" s="1"/>
  <c r="BK120" i="3"/>
  <c r="BJ120" i="3"/>
  <c r="BI120" i="3"/>
  <c r="BF120" i="3"/>
  <c r="S120" i="3"/>
  <c r="R120" i="3" s="1"/>
  <c r="BJ118" i="3"/>
  <c r="BK118" i="3" s="1"/>
  <c r="BI118" i="3"/>
  <c r="BF118" i="3"/>
  <c r="S118" i="3"/>
  <c r="R118" i="3"/>
  <c r="BK114" i="3"/>
  <c r="BJ114" i="3"/>
  <c r="BI114" i="3"/>
  <c r="S114" i="3"/>
  <c r="R114" i="3"/>
  <c r="BI110" i="3"/>
  <c r="S110" i="3"/>
  <c r="R112" i="3" s="1"/>
  <c r="R110" i="3"/>
  <c r="BJ104" i="3"/>
  <c r="BI104" i="3"/>
  <c r="BK104" i="3" s="1"/>
  <c r="S104" i="3"/>
  <c r="R104" i="3" s="1"/>
  <c r="W103" i="3"/>
  <c r="W98" i="3"/>
  <c r="BJ96" i="3"/>
  <c r="BK96" i="3" s="1"/>
  <c r="BI96" i="3"/>
  <c r="N96" i="3"/>
  <c r="BJ90" i="3"/>
  <c r="BI90" i="3"/>
  <c r="S90" i="3"/>
  <c r="W84" i="3"/>
  <c r="BJ83" i="3"/>
  <c r="BI83" i="3"/>
  <c r="BK83" i="3" s="1"/>
  <c r="W83" i="3"/>
  <c r="S83" i="3" s="1"/>
  <c r="W79" i="3"/>
  <c r="R79" i="3" s="1"/>
  <c r="W76" i="3"/>
  <c r="R75" i="3" s="1"/>
  <c r="BI75" i="3"/>
  <c r="Y75" i="3"/>
  <c r="Y127" i="3" s="1"/>
  <c r="S75" i="3"/>
  <c r="R77" i="3" s="1"/>
  <c r="W70" i="3"/>
  <c r="W62" i="3"/>
  <c r="S55" i="3" s="1"/>
  <c r="W61" i="3"/>
  <c r="R61" i="3" s="1"/>
  <c r="X60" i="3"/>
  <c r="N59" i="3"/>
  <c r="W58" i="3"/>
  <c r="W56" i="3"/>
  <c r="BJ55" i="3"/>
  <c r="BK55" i="3" s="1"/>
  <c r="BI55" i="3"/>
  <c r="W47" i="3"/>
  <c r="N46" i="3"/>
  <c r="BJ45" i="3"/>
  <c r="BK45" i="3" s="1"/>
  <c r="BI45" i="3"/>
  <c r="BJ35" i="3"/>
  <c r="BK35" i="3" s="1"/>
  <c r="BI35" i="3"/>
  <c r="S35" i="3"/>
  <c r="BJ34" i="3"/>
  <c r="BK34" i="3" s="1"/>
  <c r="BI34" i="3"/>
  <c r="N32" i="3"/>
  <c r="W27" i="3"/>
  <c r="BJ26" i="3"/>
  <c r="BK26" i="3" s="1"/>
  <c r="BI26" i="3"/>
  <c r="N26" i="3"/>
  <c r="W24" i="3"/>
  <c r="W21" i="3"/>
  <c r="X20" i="3"/>
  <c r="X127" i="3" s="1"/>
  <c r="W16" i="3"/>
  <c r="W127" i="3" s="1"/>
  <c r="W14" i="3"/>
  <c r="BJ12" i="3"/>
  <c r="BI12" i="3"/>
  <c r="BI127" i="3" s="1"/>
  <c r="BF12" i="3"/>
  <c r="R70" i="3" l="1"/>
  <c r="R67" i="3"/>
  <c r="R63" i="3"/>
  <c r="R57" i="3"/>
  <c r="R73" i="3"/>
  <c r="R66" i="3"/>
  <c r="R55" i="3"/>
  <c r="R58" i="3"/>
  <c r="R59" i="3"/>
  <c r="R81" i="3"/>
  <c r="R122" i="3"/>
  <c r="BK12" i="3"/>
  <c r="S45" i="3"/>
  <c r="R50" i="3" s="1"/>
  <c r="R83" i="3"/>
  <c r="S96" i="3"/>
  <c r="R125" i="3"/>
  <c r="S26" i="3"/>
  <c r="S12" i="3"/>
  <c r="BJ75" i="3"/>
  <c r="BK75" i="3" s="1"/>
  <c r="R28" i="3" l="1"/>
  <c r="R31" i="3"/>
  <c r="R34" i="3"/>
  <c r="R29" i="3"/>
  <c r="R32" i="3"/>
  <c r="BJ127" i="3"/>
  <c r="R46" i="3"/>
  <c r="R102" i="3"/>
  <c r="R99" i="3"/>
  <c r="R96" i="3"/>
  <c r="R26" i="3"/>
  <c r="R17" i="3"/>
  <c r="S127" i="3"/>
  <c r="R21" i="3"/>
  <c r="R12" i="3"/>
  <c r="R97" i="3"/>
  <c r="BH25" i="1" l="1"/>
  <c r="BG25" i="1"/>
  <c r="W25" i="1"/>
  <c r="V25" i="1"/>
  <c r="U24" i="1"/>
  <c r="U21" i="1"/>
  <c r="BI20" i="1"/>
  <c r="BD20" i="1"/>
  <c r="Q20" i="1"/>
  <c r="P20" i="1"/>
  <c r="BI17" i="1"/>
  <c r="BD17" i="1"/>
  <c r="Q17" i="1"/>
  <c r="P17" i="1"/>
  <c r="U16" i="1"/>
  <c r="U14" i="1"/>
  <c r="U25" i="1" s="1"/>
  <c r="BI13" i="1"/>
  <c r="BD13" i="1"/>
  <c r="Q13" i="1"/>
  <c r="Q25" i="1" s="1"/>
  <c r="P13" i="1" l="1"/>
</calcChain>
</file>

<file path=xl/comments1.xml><?xml version="1.0" encoding="utf-8"?>
<comments xmlns="http://schemas.openxmlformats.org/spreadsheetml/2006/main">
  <authors>
    <author>AUXINFRA28</author>
  </authors>
  <commentList>
    <comment ref="X39" authorId="0" shapeId="0">
      <text>
        <r>
          <rPr>
            <b/>
            <sz val="9"/>
            <color indexed="81"/>
            <rFont val="Tahoma"/>
            <family val="2"/>
          </rPr>
          <t>AUXINFRA28:</t>
        </r>
        <r>
          <rPr>
            <sz val="9"/>
            <color indexed="81"/>
            <rFont val="Tahoma"/>
            <family val="2"/>
          </rPr>
          <t xml:space="preserve">
$ 140498900 CORRESPONDE A RUBRO EDUCATIVA Y $ 271325300 A EQUIPAMIENTO</t>
        </r>
      </text>
    </comment>
    <comment ref="Y39" authorId="0" shapeId="0">
      <text>
        <r>
          <rPr>
            <b/>
            <sz val="9"/>
            <color indexed="81"/>
            <rFont val="Tahoma"/>
            <family val="2"/>
          </rPr>
          <t>AUXINFRA28:</t>
        </r>
        <r>
          <rPr>
            <sz val="9"/>
            <color indexed="81"/>
            <rFont val="Tahoma"/>
            <family val="2"/>
          </rPr>
          <t xml:space="preserve">
$ 20.304.300 CORRESPONDE A EDUCATIVA Y $ 92.798.900 CORRESPONDE A EQUIPAMIENTO
</t>
        </r>
      </text>
    </comment>
  </commentList>
</comments>
</file>

<file path=xl/sharedStrings.xml><?xml version="1.0" encoding="utf-8"?>
<sst xmlns="http://schemas.openxmlformats.org/spreadsheetml/2006/main" count="6723" uniqueCount="2676">
  <si>
    <t>SEGUIMIENTO PLAN DE ACCIÓN
OFICINA PRIVADA  
II TRIMESTRE 2019</t>
  </si>
  <si>
    <t xml:space="preserve">CODIGO:  </t>
  </si>
  <si>
    <t>F-PLA-07</t>
  </si>
  <si>
    <t xml:space="preserve">VERSIÓN: </t>
  </si>
  <si>
    <t xml:space="preserve">FECHA: </t>
  </si>
  <si>
    <t>Nov. 22 de 2017</t>
  </si>
  <si>
    <t>PÁGINA:</t>
  </si>
  <si>
    <t>01 de 1</t>
  </si>
  <si>
    <t xml:space="preserve">PLAN DE DESARROLLO DEPARTAMENTAL </t>
  </si>
  <si>
    <t xml:space="preserve">PROYECTO </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</si>
  <si>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</si>
  <si>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</si>
  <si>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</si>
  <si>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</si>
  <si>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</si>
  <si>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</si>
  <si>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</si>
  <si>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</si>
  <si>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No.</t>
  </si>
  <si>
    <t>PESO DE LA META %</t>
  </si>
  <si>
    <t xml:space="preserve">VALOR EN PESOS </t>
  </si>
  <si>
    <t xml:space="preserve">OBJETIVO GENERAL DEL PROYECTO </t>
  </si>
  <si>
    <t xml:space="preserve">OBJETIVOS ESPECIFICOS </t>
  </si>
  <si>
    <t>ACTIVIDADES CUANTIFICADAS</t>
  </si>
  <si>
    <t xml:space="preserve">FUENTE DE RECURSOS </t>
  </si>
  <si>
    <t>GENERO</t>
  </si>
  <si>
    <t>DISTRIBUCIÓN ETÁREA (EDAD)</t>
  </si>
  <si>
    <t xml:space="preserve">GRUPOS ÉTNICOS </t>
  </si>
  <si>
    <t xml:space="preserve">POBLACIÓN VULNERABLE </t>
  </si>
  <si>
    <t>TOTAL</t>
  </si>
  <si>
    <t>CONTRATOS</t>
  </si>
  <si>
    <t xml:space="preserve">FECHA DE INICIO </t>
  </si>
  <si>
    <t xml:space="preserve">FECHA DE TERMINACIÓN </t>
  </si>
  <si>
    <t xml:space="preserve">RESPONSABLE </t>
  </si>
  <si>
    <t>PRESUPUESTADO</t>
  </si>
  <si>
    <t>E (COMPROMISOS)</t>
  </si>
  <si>
    <t>E (OBLIGACIONES)</t>
  </si>
  <si>
    <t>MUJER</t>
  </si>
  <si>
    <t>HOMBRE</t>
  </si>
  <si>
    <t>Edad Escolar 
(0 - 14 años)</t>
  </si>
  <si>
    <t>Adolescencia
 (15 - 19 años)</t>
  </si>
  <si>
    <t>Edad Económicamente
Activa(20-59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</si>
  <si>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</si>
  <si>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</si>
  <si>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</si>
  <si>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</si>
  <si>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</si>
  <si>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</si>
  <si>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</si>
  <si>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</si>
  <si>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</si>
  <si>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</si>
  <si>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 xml:space="preserve">No. DE 
CONTRATOS </t>
  </si>
  <si>
    <t>VALOR COMPROMISOS</t>
  </si>
  <si>
    <t>VALOR DE LAS OBLIGACIONES</t>
  </si>
  <si>
    <t>% DE EJECUCION</t>
  </si>
  <si>
    <t>FUENTE DE LOS RECURSOS</t>
  </si>
  <si>
    <t>SUPERVISOR RESPONSABLE</t>
  </si>
  <si>
    <t>P</t>
  </si>
  <si>
    <t>E</t>
  </si>
  <si>
    <t>BUEN GOBIERNO</t>
  </si>
  <si>
    <t>Quindío Transparente y Legal</t>
  </si>
  <si>
    <t>QUINDIO EJEMPLAR Y LEGAL</t>
  </si>
  <si>
    <t xml:space="preserve">Realizar 40 eventos  de sensibilización en transparencia , participación, buen gobierno y valores éticos y morales  </t>
  </si>
  <si>
    <t>No de Eventos  de sensibilización   realizados</t>
  </si>
  <si>
    <t xml:space="preserve">0313 - 5 - 3 1 5 26 83 17 82 - 20
0313 - 5 - 3 1 5 26 83 17 82 - 88
</t>
  </si>
  <si>
    <t>201663000-0082</t>
  </si>
  <si>
    <t>Desarrollar y fortalecer la cultura de la transparencia, participación, buen gobierno  y valores éticos y morales en el Departamento del Quindio</t>
  </si>
  <si>
    <t>Elevar el índice de transparencia en la administración departamental , mediante un proceso de formación incluyente con énfasis en valores éticos, morales y ciudadanos, para aumentar la confianza en la administración gubernamental del Quindío.</t>
  </si>
  <si>
    <t xml:space="preserve">Ciudadanos altamente  informados   en temas relacionados con ética, transparencia y buen gobierno
</t>
  </si>
  <si>
    <t xml:space="preserve">Desarrollo de la estrategia de transparencia </t>
  </si>
  <si>
    <t xml:space="preserve">Recurso Ordinario
</t>
  </si>
  <si>
    <t>Recurso Ordinario Superavit</t>
  </si>
  <si>
    <t xml:space="preserve">Diana Marcela Martinez Correa,
Directora Protocolo 
Mario Andrés Jimenez Sánchez, Director de Gestión Estrategica.
Ana Maria Cardona Valdez, Directora de Análisis Financiero y Administrativo.                                    Paola Valentina Ängel Gonzalez, Directora de Gestión Estrategica        </t>
  </si>
  <si>
    <t>José Joaquin Rincon Pastrana
Director Oficina Privada</t>
  </si>
  <si>
    <t>Superavit Ordinario</t>
  </si>
  <si>
    <t>Mejorar la cultura del civismo y participación de los ciudadanos  en los  procesos institucionales del gobierno.</t>
  </si>
  <si>
    <t>Desarrollo del sistema departamental del servicio al ciudaddano</t>
  </si>
  <si>
    <t>Implementar una (1) sala de transparencia "Urna de Cristal" en el Departamento</t>
  </si>
  <si>
    <t>Sala de transparencia implementada</t>
  </si>
  <si>
    <t>0313 - 5 - 3 1 5 26 83 17 83 - 20  </t>
  </si>
  <si>
    <t>201663000-0083</t>
  </si>
  <si>
    <t>Implementacion de una (1) sala de transparencia "Urna de Cristal" en el Departamento del Quindio</t>
  </si>
  <si>
    <t>Aumentar el nivel de credibilidad en la transparencia  de la contratación  pública en el Departamento.</t>
  </si>
  <si>
    <t xml:space="preserve">Aumentar el conocimiento de la ciudadanía de los procesos precontractuales de la administración departamental    Mejorar el promedio de participación de la ciudadania en los procesos de elección  popular en el cuatrenio 
</t>
  </si>
  <si>
    <t>Promociòn  de la Sala  de transparencia</t>
  </si>
  <si>
    <t>Recurso Ordinario</t>
  </si>
  <si>
    <t xml:space="preserve">Recurso Ordinario </t>
  </si>
  <si>
    <t>Mario Andrés Jimenez Sánchez, Director de Gestión Estrategica.   Paola Valentina Ängel Gonzalez, Directora de Gestión Estrategica</t>
  </si>
  <si>
    <t>Gestión Territorial</t>
  </si>
  <si>
    <t xml:space="preserve">MODERNIZACIÓN TECNOLOGICA Y ADMINISTRATIVA </t>
  </si>
  <si>
    <t xml:space="preserve">Desarrollar e implementar una (1) estrategía de comunicaciones  </t>
  </si>
  <si>
    <t>Estrategía de comunicaciones desarrollada e implementada</t>
  </si>
  <si>
    <t>0313 - 5 - 3 1 5 28 89 17 81 - 20
0313 - 5 - 3 1 5 28 89 17 81 - 88
           </t>
  </si>
  <si>
    <t>201663000-0081</t>
  </si>
  <si>
    <t>Implementación de  la estrategia de comunicaciones para  la divulgación de  los programas, proyectos,  actividades y servicios del Departamento del Quindío</t>
  </si>
  <si>
    <t>Fortalecer las herramientas de divulgación y comunicación de las metas resultado propuestas en el plan de desarrollo 2016-2019 " en defensa del bien común</t>
  </si>
  <si>
    <t>Incremento en el número de campañas institucionales para dar a conocer los programas y proyectos de la gobernación</t>
  </si>
  <si>
    <t>Ejecución de Plan de Medios (prensa, radio y televisión)</t>
  </si>
  <si>
    <t>José Joaquin Rincon Pastrana, Director Oficina Privada, Director de Comunicaciones, Miguel Angel Rojas</t>
  </si>
  <si>
    <t>Desarrollo de la estrategia de comunicaciones</t>
  </si>
  <si>
    <t>Planificación institucional en la divulgación de los programas y proyectos</t>
  </si>
  <si>
    <t xml:space="preserve">Operatividad de la estrategica de comunicaciones </t>
  </si>
  <si>
    <t xml:space="preserve">Recurso Ordinario 
</t>
  </si>
  <si>
    <t>TOTALES</t>
  </si>
  <si>
    <t>JOSE JOAQUIN RINCON PASTRANA</t>
  </si>
  <si>
    <t>SECRETARIO DE DESPACHO</t>
  </si>
  <si>
    <t>SEGUIMIENTO  PLAN DE ACCIÓN
SECRETARIA DE EDUCACION
II TRIMESTRE  2019</t>
  </si>
  <si>
    <t xml:space="preserve">No </t>
  </si>
  <si>
    <t xml:space="preserve">E
(COMPROMISOS)
</t>
  </si>
  <si>
    <t>E
(OBLIGACIONES</t>
  </si>
  <si>
    <t>Edad Económicamente 
Activa (20-59 años)</t>
  </si>
  <si>
    <t>No. DE CONTRATOS</t>
  </si>
  <si>
    <t xml:space="preserve">% DE EJECUCION </t>
  </si>
  <si>
    <t>FUENTES DE LOS RECURSOS</t>
  </si>
  <si>
    <t>INCLUSION SOCIAL</t>
  </si>
  <si>
    <t>Cobertura Educativa</t>
  </si>
  <si>
    <t>Acceso y Pemanencia</t>
  </si>
  <si>
    <t>Implementar un (1) plan, programa y/o proyecto para el acceso de niños, niñas y jóvenes en las instituciones educativas</t>
  </si>
  <si>
    <t>Número de planes, programas y/o proyectos implementados</t>
  </si>
  <si>
    <t>0314 - 5 - 3 1 3 5 16 1 84 - 20
0314 - 5 - 3 1 3 5 16 1 84 - 35
1404 - 5 - 3 1 3 5 16 1 84 - 81
0314 - 5 - 3 1 3 5 16 1 84 - 91
0314 - 5 - 3 1 3 5 16 1 84 - 88
1404 - 5 - 3 1 3 5 16 1 84 - 137</t>
  </si>
  <si>
    <t>201663000-0084</t>
  </si>
  <si>
    <t xml:space="preserve">Fortalecimiento de las estrategias para el acceso,  permanencia y seguridad  de los niños, niñas y jóvenes en el  sistema  educativo del Departamento del Quindio. </t>
  </si>
  <si>
    <t xml:space="preserve"> Bajar  los indices de deserciòn escolar en el Deprtamento del Quindío</t>
  </si>
  <si>
    <t xml:space="preserve"> Garantizar el adecuado manteniniento en las Instituciones  y Sedes Educativas
</t>
  </si>
  <si>
    <t>Servicio de Aseo y  Vigilancia para las Instituciones Educativas Oficiales y sus sedes educativas del Departamento del Quindio</t>
  </si>
  <si>
    <t>Monopolio</t>
  </si>
  <si>
    <t>Recurso Ordinario
Monopolio
Superavit Ordinario
 Educación PAE 
PAE Transferencia Nación
Rendimientos PAE
Superavit Programa de Alimentación EScolar PAE
Superávit Monopolio</t>
  </si>
  <si>
    <t xml:space="preserve">Laura Echeverry
Auxiliar Administrativa
Paula Camacho
Profesional Universitario
</t>
  </si>
  <si>
    <t>Secretario de Educación Departamental</t>
  </si>
  <si>
    <t>Superávit Monopolio</t>
  </si>
  <si>
    <t xml:space="preserve">Superavit Ordinario </t>
  </si>
  <si>
    <t>Implementar el Programa de Alimentación Escolar (PAE) en el departamento del Quindío</t>
  </si>
  <si>
    <t>Programa PAE implementado</t>
  </si>
  <si>
    <t xml:space="preserve">Implementar un programa de alimentacion escolar para las Instituciones educativas del departamento del Quindio, con el fin de  disminuir los indices de deserciòn escolar  durante la vigencia 2017
</t>
  </si>
  <si>
    <t xml:space="preserve">Suministro de alimientación escolar para la jornada regular y unica par los niños, niñas, adolescentes  y jóvenes escolarizados con matricula oficial en las Instituciones Educativas </t>
  </si>
  <si>
    <t xml:space="preserve"> Educación PAE </t>
  </si>
  <si>
    <t>Rendimientos PAE</t>
  </si>
  <si>
    <t>Superavit Programa de Alimentación EScolar PAE</t>
  </si>
  <si>
    <t>Personal de apoyo , para el acompañamiento, seguimiento y verificación y supervision de la ejecucion del PAE</t>
  </si>
  <si>
    <t>Implementar el programa de transporte escolar en el departamento del Quindio</t>
  </si>
  <si>
    <t>Programa de transporte escolar implementado</t>
  </si>
  <si>
    <t>Garantizar el transporte escolar a los niños, niñas, jóvenes y adolescentes de la zona rural de los 11 municipios no certificados del Departamento del Quindío para disminuir las distancias de desplazamiento y garantizar el acceso al sistema educativo.</t>
  </si>
  <si>
    <t>Transferencia de recursos  a los Municipios, para la cofinanciación del servicio de transporte a los alumnos de básica y media que habiten en los corregimientos y veredas, que granaticen la permanencia en el sistema educativo 
Municipios Transporte</t>
  </si>
  <si>
    <t>Educación inclusiva con acceso y permanencia para poblaciones vulnerables - diferenciales</t>
  </si>
  <si>
    <t>Atender cuatro mil quinientos (4.500)  personas de la población adulta del departamento (jóvenes y adultos, madres cabeza de hogar)</t>
  </si>
  <si>
    <t>número de estudiantes  pertenecientes a la población adulta  (jóvenes y adultos) atendidos  en el sistema educativo</t>
  </si>
  <si>
    <t> 0314 - 5 - 3 1 3 5 17 1 86 - 20
1404 - 5 - 3 1 3 5 17 1 86 - 25
0314 - 5 - 3 1 3 5 17 1 86 - 88</t>
  </si>
  <si>
    <t>201663000-0086</t>
  </si>
  <si>
    <t>Implementación de estrategias de inclusión para garantizar la atención educativa a población vulnerable en el  Departamento del  Quindío.</t>
  </si>
  <si>
    <t>Incrementar la atención de la población vulnerable del departamento del Quindío</t>
  </si>
  <si>
    <t>Implementar un plan integral  gubernamental para la caracterización y atencion de la poblacion vulnerabe en edad escolar en el departamento del quindio</t>
  </si>
  <si>
    <t>Logística (papeleria, afiches, volantes, folletos, pendones, entre otras), para el desarrollo de actividades  educativas de la poblacion adulta del departamento</t>
  </si>
  <si>
    <t xml:space="preserve">SGP Educacion CSF
SGP Educacion SSF
Recurso Ordinario
Superavit Ordinario </t>
  </si>
  <si>
    <t>Gladiz Giraldo
Profesional Universitario
Ana Luisa Ruiz Tejada
Directora Cobertura Educativa</t>
  </si>
  <si>
    <t>01/02/2019
01/06/2019</t>
  </si>
  <si>
    <t>30/06/2019
30/12/2019</t>
  </si>
  <si>
    <t xml:space="preserve">
Secretario de Educación Departamental</t>
  </si>
  <si>
    <t>Diseñar e implementar una estrategia que permita disminuir la tasa de analfabetismo en los municipios del Departamento del Quindío</t>
  </si>
  <si>
    <t xml:space="preserve">Estrategia diseñada e  implementada </t>
  </si>
  <si>
    <t>Promoción desarrollo del programa de alfabetización y  educación  poblacion adulta del departamento</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</si>
  <si>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</si>
  <si>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</si>
  <si>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Personal de apoyo educativo,  para población étnica, afrodescendientes e indigenas,</t>
  </si>
  <si>
    <t>Adquisición implementos artísticos, para el fortalecimeinto de la cultura de la población étnica, afrodescendientes e indigenas, en el Departamento</t>
  </si>
  <si>
    <t xml:space="preserve">Atender dos mil quinientos setenta estudiantes (2570) en condición de población  victima del conflicto, residentes en el departamento del Quindío </t>
  </si>
  <si>
    <t xml:space="preserve">Número de estudiantes  pertenecientes a la población victima del conflicto atendidos </t>
  </si>
  <si>
    <t>Personal de apoyo educativo, para población  víctima del conflicto en el Departamento</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</si>
  <si>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</si>
  <si>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</si>
  <si>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Implementar un programa para brindarles una mejor atencion educativa a los menores y/o adultos con situaciones penales, iletrados, menores trabajadores.</t>
  </si>
  <si>
    <t>SGP Educación CSF</t>
  </si>
  <si>
    <t>Diseñar e implementar un plan para la caracterización y atención de la población en condiciones especiales y excepcionales del departamento.</t>
  </si>
  <si>
    <t>Plan diseñado e implementado</t>
  </si>
  <si>
    <t>Personal de apoyo idoneos para la atencion de la poblacion con NNE y talentos Excepcionales.</t>
  </si>
  <si>
    <t>SGP Educación</t>
  </si>
  <si>
    <t>Gladiz giraldo Profesional Universitario</t>
  </si>
  <si>
    <t>Secretaria de Educacion Departamental</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</si>
  <si>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</si>
  <si>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</si>
  <si>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 xml:space="preserve">1401 - 5 -  1402 - 5 -  1403 - 5 -
1402 - 5 - 3 1 3 5 18 1 1 1 1 6 - 26
1402 - 5 - 3 1 3 5 18 1 2 4 1 1 - 26
1402 - 5 - 3 1 3 5 18 1 2 4 1 2 - 146
1403 - 5 - 3 1 3 5 18 1 1 1 1 6 - 26
1403 - 5 - 3 1 3 5 18 1 2 4 1 1 - 26
1402 - 5 - 3 1 3 5 18 1 2 3 1 - 09
1404 - 5 - 3 1 3 5 16 1 84 - 137
1404 - 5 - 3 1 3 6 20 1 90 - 21
0314 - 5 - 3 1 3 5 18 1 87 - 88
</t>
  </si>
  <si>
    <t>201663000-0087</t>
  </si>
  <si>
    <t>Aplicación funcionamiento y prestación del servicio educativo de las instituciones educativas</t>
  </si>
  <si>
    <t xml:space="preserve">Mejorar los niveles de eficiencia y eficacia en los procesos administrativos para la 
presentacion de los informes y/o reportes que garanticen la viabilidad ante el ministerio de educacion nacional de la planta docente, directivos docentes y administrativos de las institucinoes educativas oficiales del departamento del Quindío
</t>
  </si>
  <si>
    <t>Generar estrategias que garantice la sostenibilidad de la planta docente, directivos docentes y administratvos viabilizados por el ministerio de educación nacional vinculados a la secretaría de educación departamental</t>
  </si>
  <si>
    <t>Gastos de personal,  generales, transferencias de la Planta Docente, Directivos Docentes y  personal administrativo de las Instituciones Educativas Oficiales del Departamento.</t>
  </si>
  <si>
    <t>Marcela Delgado
Profesional Universitario</t>
  </si>
  <si>
    <t>SGP Educación SSF</t>
  </si>
  <si>
    <t>Superavit SGP</t>
  </si>
  <si>
    <t>Superavit Recurso Ordinario</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</si>
  <si>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</si>
  <si>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</si>
  <si>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</si>
  <si>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</si>
  <si>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201663000-0089</t>
  </si>
  <si>
    <t xml:space="preserve">Implementación de  estrategias para el mejoramiento continuo del indice sintetico de calidad educativa en los niveles de básica primaria, básica secundaria y nivel de media en el Departamento del Quindio 
</t>
  </si>
  <si>
    <t xml:space="preserve">iImplementación de estrategias para el mejoramiento del  índice sintetico de calidad educativa en los niveles de básica primaria, básica secundaria y nivel de media en el Departamento del Quindio </t>
  </si>
  <si>
    <t xml:space="preserve">Brindar acompañamiento a docentes de instituciones educativas del departamento del quindío con tutores del programa todos a  aprender </t>
  </si>
  <si>
    <t>Capacitación y Lógistica</t>
  </si>
  <si>
    <t xml:space="preserve">Recurso Ordinario
Superavit Ordinario </t>
  </si>
  <si>
    <t xml:space="preserve">Alvaro Betancurt
Profesional Universitario
</t>
  </si>
  <si>
    <t>Capacitar a mil doscientos (1.200) docentes en estrategias para el mejoramiento del ISCE en el Departamento del Quindío</t>
  </si>
  <si>
    <t>Número de docentes capacitados</t>
  </si>
  <si>
    <t>Capacitar a docentes en estrategias para el mejoramiento del Indice Sintético de Calidad Educativa en el Departamento del Quindío</t>
  </si>
  <si>
    <t>Capacitación y Lógistica
 (• Talleres MEN
• Red de coordinadores
• Refrigerios
• Almuerzos
• Material impreso
• Textos matemáticas y lenguaje
• Prensa escuela)</t>
  </si>
  <si>
    <t xml:space="preserve">0314 - 5 - 3 1 3 6 19 1 89 - 20
0314 - 5 - 3 1 3 6 19 1 89 - 88
</t>
  </si>
  <si>
    <t>Beneficiar a ochenta (80) docentes  con becas de posgrado</t>
  </si>
  <si>
    <t xml:space="preserve">Número de docentes beneficiados </t>
  </si>
  <si>
    <t>Beneficiar a docentes de instituciones educativas del departamento del Quindío con becas de posgrado</t>
  </si>
  <si>
    <t>Seguimiento a Docentes Becas para la excelencia</t>
  </si>
  <si>
    <t xml:space="preserve">Apoyar quince (15) instituciones educativas participando en el programa todo a aprender </t>
  </si>
  <si>
    <t>Número de Instituciones Ediucatrivas participando  en el Progrma PTA</t>
  </si>
  <si>
    <t xml:space="preserve">Gestionar con el Ministerio de Educación nacional para la focalización  de nuevas instituciones educativas del departamento del quindío con el programa todos a aprender  </t>
  </si>
  <si>
    <t>Brindar apoyo a las instituciones educativas focalizadas, para la Formación  del Programa Todos a Aprender</t>
  </si>
  <si>
    <t>Brindar acompañamiento a doscientos treinta (230) docentes con  tutores PTA</t>
  </si>
  <si>
    <t>Número de docentes acompañados de tutores PTA</t>
  </si>
  <si>
    <t xml:space="preserve">Brindar acompañamiento a docentes de instituciones educativas del departamento del quindío con tutores del programa todos a  aprender  </t>
  </si>
  <si>
    <t>Brindar acompañamiento a los docentes con tutores,  para la Formación  del Programa Todos a Aprender</t>
  </si>
  <si>
    <t>Beneficiar a 4.700  estudiantes con el  Programas Todos  a Aprender</t>
  </si>
  <si>
    <t>Número de estudiantes beneficiados con el PTA</t>
  </si>
  <si>
    <t>Beneficiar a estudiantes de instituciones Educativas del departamento del quindío con el  Programa Todos  a Aprender</t>
  </si>
  <si>
    <t>Beneficiar a estudiantes de instituciones Educativas del departamento,  con el  Programa Todos  a Aprender</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</si>
  <si>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</si>
  <si>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</si>
  <si>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Capacitación y Lógistica, para el  mejoramiento  del  índice sintético de calidad educativa (ISCE) en el nivel de básica secundaria.</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</si>
  <si>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</si>
  <si>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</si>
  <si>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Capacitación y Lógistica, para el  mejoramiento  del  índice sintético de calidad educativa (ISCE) en el nivel de básica media</t>
  </si>
  <si>
    <t>Educación, Ambientes Escolares y Cultura para la Paz</t>
  </si>
  <si>
    <t xml:space="preserve">Fortalecer cincuenta y cuatro (54) comités de convivencia escolar de las instituciones educativas </t>
  </si>
  <si>
    <t>Numero de comités fortalecidos</t>
  </si>
  <si>
    <t>201663000-0090</t>
  </si>
  <si>
    <t>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</si>
  <si>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</si>
  <si>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t>Fortalecer los comités de convivencia escolar en las 54 IE</t>
  </si>
  <si>
    <t>Apoyo para el fortalecimiento de los Comités de Convivencia Escolar</t>
  </si>
  <si>
    <t xml:space="preserve">Recurso Ordinario
Superavit Ordinario 
SGP Educacion
SGP Prestación de Servicios Educación
</t>
  </si>
  <si>
    <t>lara Ines Buitrago
Profesional Universitario
Alvaro Betancurt
Profesional Universitario
Alvaro Betancurt Profesional Universitario</t>
  </si>
  <si>
    <t>01/03/209</t>
  </si>
  <si>
    <t>Diseñar y ejecutar treinta (30)  proyectos educativos institucionales resignificados en el contexto de la paz y la jornada única</t>
  </si>
  <si>
    <t>Proyectos educativos institucionales diseñados y ejecutados</t>
  </si>
  <si>
    <t xml:space="preserve"> Resignificar los proyectos educativos institucionales en el contexto de la paz y la jornada única</t>
  </si>
  <si>
    <t>Acompañamiento a los Directores Docentes en el proceso de Resignificación de los PEI-Jornada Unica-Ingles-Directoras de Núcleo</t>
  </si>
  <si>
    <t>Diseñar e implementar la estrategia "escuela de padres" en treinta (30) instituciones educativa</t>
  </si>
  <si>
    <t>Numero de instituciones con estrategia de escuela de padres diseñada e implementada</t>
  </si>
  <si>
    <t>Diseñar e implementar la estrategia Escuela de Padres</t>
  </si>
  <si>
    <t xml:space="preserve">Acompañamiento a la instituciones educativas  para la implementación de la escuela de padres </t>
  </si>
  <si>
    <t>Conformar y dotar   grupos culturales y artísticos en treinta (30)  instituciones educativas con  protagonismo en cada uno de los municipios</t>
  </si>
  <si>
    <t>Número de instituciones educativas con grupos conformados y dotados</t>
  </si>
  <si>
    <t>Conformar y dotar grupos culturales artísticos en instituciones educativas</t>
  </si>
  <si>
    <t>Adquisición  de Instrumentos Músicales para el apoyo a los Grupos culturales y  Artísticos de las Instituciones Educativas</t>
  </si>
  <si>
    <t xml:space="preserve">
SGP Prestación de Servicios Educación</t>
  </si>
  <si>
    <t>Implementar el proyecto PRAE en treinta y seis (36)  instituciones educativas del departamento</t>
  </si>
  <si>
    <t>Número de instituciones educativas con PRAE implementado</t>
  </si>
  <si>
    <t>Implementar el proyecto PRAE en instituciones educativas del departamento</t>
  </si>
  <si>
    <t>Apoyo  para la Implementación  del proyecto PRAE en treinta y seis (36)  instituciones educativas del departamento</t>
  </si>
  <si>
    <t>0314 - 5 - 3 1 3 6 20 1 90 - 20</t>
  </si>
  <si>
    <t>Dotación de implementos de mitigación, prevencion y atención del riesgo para el fortalecimiento del Plan Escolar de Gestión del Riesgo (PEGER)</t>
  </si>
  <si>
    <t>Realizar ocho (8) eventos académicos, investigativos y culturales</t>
  </si>
  <si>
    <t>Número de eventos realizados</t>
  </si>
  <si>
    <t>Encuentro Cultural de Étnoeducación</t>
  </si>
  <si>
    <t>1404 - 5 - 3 1 3 6 20 1 90 - 21</t>
  </si>
  <si>
    <t>Feria Concetar TIC</t>
  </si>
  <si>
    <t xml:space="preserve">Festival de Literatura y Escritura
</t>
  </si>
  <si>
    <t xml:space="preserve">Implementar el  programa de  jornada única con el acceso y permanencia de veinte mil (20.000) estudiantes </t>
  </si>
  <si>
    <t>Numero de estudiantes en el programa jornada única</t>
  </si>
  <si>
    <t>0314 - 5 - 3 1 3 6 20 1 90 - 88</t>
  </si>
  <si>
    <t>Implementar el programa de jornada única</t>
  </si>
  <si>
    <t>Coordinación del programa de Jornada Unica con el acompañamiento de los  rectores de las Instituciones Educativas focalizadas</t>
  </si>
  <si>
    <t xml:space="preserve">Mantener, adecuar y/o construir la infraestructura ciento treinta (130) sedes de las instituciones educativas  </t>
  </si>
  <si>
    <t>Numero de sedes mantenidas, adecuadas y/o construidas</t>
  </si>
  <si>
    <t>1404 - 5 - 3 1 3 6 20 1 90 - 25</t>
  </si>
  <si>
    <t>Mejorar las condiciones de infraestructura y de elementos pedagógicos para la implementación de la jornada única y ambientes escolares para la Paz</t>
  </si>
  <si>
    <t>Tranferencia de Recursos para Pequeñas Intervenciones en las Instituciones Educativas del Departamento.</t>
  </si>
  <si>
    <t>Levantamiento de planos para determinar necesidades en la adecuación y/o construcción de pequeñas intervenciones en infraestructura de las sedes educativas</t>
  </si>
  <si>
    <t>Apoyo para formulacion de proyectos  de infrraestructura educativa</t>
  </si>
  <si>
    <t>recurso Ordinario</t>
  </si>
  <si>
    <t xml:space="preserve">Dotar cincuenta y cuatro (54) instituciones educativas con material didáctico, mobiliario escolar y/o infraestructura tecnológica  </t>
  </si>
  <si>
    <t>Numero de instituciones educativas dotadas</t>
  </si>
  <si>
    <t>Dotar Instituciones Educativas de material didáctico, mobiliario escolar y/o infraestructura tecnológica</t>
  </si>
  <si>
    <t>Dotación  de material didactico, mobiliario escolar y/o infraestructura tecnológica en las instituciones educativas.</t>
  </si>
  <si>
    <t>SGP Educacion</t>
  </si>
  <si>
    <t>Implementar la jornada complementaria y/o unica que articule arte,deporte y cultura, en seis (6) municipios declarados en el sistema de alertas tempranas de la defensoría del pueblo</t>
  </si>
  <si>
    <t>Municipios declarados en el sistema de alertas tempranas con jormada complementaria y/o única</t>
  </si>
  <si>
    <t>Implementar jornada complementaria y/o única que articule arte, cultura y deporte.</t>
  </si>
  <si>
    <t>Implementación jornada complementaria y/o única que articule arte, cultura y deporte.</t>
  </si>
  <si>
    <t>Plan Departamental del Lectura y Escritura</t>
  </si>
  <si>
    <t xml:space="preserve">Implementar el programa "pásate a la biblioteca"  en treinta y seis (36)  instituciones educativas </t>
  </si>
  <si>
    <t>Número de instituciones educativas con programa "pásate a la biblioteca" implementado</t>
  </si>
  <si>
    <t>201663000-0091</t>
  </si>
  <si>
    <t>Implementación de  estrategias educativas en  lectura y escritura en las instituciones educativas en el Departamento del Quindío.</t>
  </si>
  <si>
    <t xml:space="preserve">Implementación de  estrategias para  el desarrollo de competencias  y habilidades en lectura y escritura de los docentes y estudiantes de las insituciones educativas del  Departamento del Quindio
</t>
  </si>
  <si>
    <t>Implementar el programa "pasate a la Biblioteca  en instituciones educativas del departamento del Quindio</t>
  </si>
  <si>
    <t>Fortalecimiento del programa EN Literatuta y Escritura</t>
  </si>
  <si>
    <t>Recurso Ordinario
Superavit Ordinario 
SGP Prestación de Servicios Educación</t>
  </si>
  <si>
    <t>Alvaro Betancurt
Profesional Universitario</t>
  </si>
  <si>
    <t xml:space="preserve">Dotar ciento cuarenta (140) sedes educativas con la colección semilla </t>
  </si>
  <si>
    <t>Número de sedes educativas dotadas</t>
  </si>
  <si>
    <t xml:space="preserve"> Dotar sedes educativas del Departamento del Quindío con la colección semilla</t>
  </si>
  <si>
    <t>Adquisiciíon Colección Semilla</t>
  </si>
  <si>
    <t>0314 - 5 - 3 1 3 6 21 1 91 - 20</t>
  </si>
  <si>
    <t>Apoyar los  procesos de capacitación  de quinientos (500) docentes del departamento</t>
  </si>
  <si>
    <t>Número de docentes apoyados</t>
  </si>
  <si>
    <t>Apoyar los  procesos de capacitación  de docentes de instituciones educativas del departamento del quindío en estrategias de lectura y escritura</t>
  </si>
  <si>
    <t>Apoyo procesos de capacitación de docentes en   Inglés,  Español y Literatura,  Convivencia Escolar,  PRAES</t>
  </si>
  <si>
    <t>1404 - 5 - 3 1 3 6 21 1 91 - 21</t>
  </si>
  <si>
    <t xml:space="preserve">Realizar seis (6)  festivales o encuentros de literatura y escritura el departamento </t>
  </si>
  <si>
    <t>Número de festivales o encuentros realizados</t>
  </si>
  <si>
    <t>0314 - 5 - 3 1 3 6 21 1 91 - 88</t>
  </si>
  <si>
    <t>Realizar festivales o encuentros de literatura y escritura dirigidos a estudiantes y docentes de instituciones educativas del  departamento del Quindío</t>
  </si>
  <si>
    <t xml:space="preserve">Realización de festivales de Literatura y Escritura  en las Instituciones Educativas del Departamento
</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</si>
  <si>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</si>
  <si>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</si>
  <si>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Numero de instituciones educativas con mayor eficiencia en los procesos</t>
  </si>
  <si>
    <t>201663000-0093</t>
  </si>
  <si>
    <t>Mejoramiento de estrategias que permitan una mayor eficiencia en la gestion de procesos y proyectos de las instituciones educativas del Departamento del Quindio.</t>
  </si>
  <si>
    <t> asistir tecnicamente a las instituciones educativas del departamento para mejorar los proceos administrativos para el manejo de los fondos educativos.</t>
  </si>
  <si>
    <t>debida ejecucion de los recursos de los fondos educativos</t>
  </si>
  <si>
    <t xml:space="preserve"> Capacitaciones ditigidas a los rectores de las Instituciones Educativas para el manejo de los fondos Educativos.</t>
  </si>
  <si>
    <t>Ordinarios</t>
  </si>
  <si>
    <t xml:space="preserve">Ordinarios 
Superavit Ordinario </t>
  </si>
  <si>
    <t>Edna Ensuasty Puerto
Profesional Universitario</t>
  </si>
  <si>
    <t>0314 - 5 - 3 1 3 6 22 1 93 - 20</t>
  </si>
  <si>
    <t>0314-5-313724193-88</t>
  </si>
  <si>
    <t>Pertinencia e Innovación</t>
  </si>
  <si>
    <t>Quindío Bilingüe</t>
  </si>
  <si>
    <t>Apoyar cincuenta y cinco (55) docentes licenciados en lenguas modernas formados en ingles con  dominio B2</t>
  </si>
  <si>
    <t>Numero de docentes apoyados en formación en ingles con dominio B2</t>
  </si>
  <si>
    <t>201663000-0094</t>
  </si>
  <si>
    <t>Implementación de estrategias para el mejoramiento de las competencias en lengua extranjera en estudiantes y docentes de las instituciones educativas del Departamento del Quindío</t>
  </si>
  <si>
    <t>Aumentar el nivel de competencia en inglés de docentes y Directivos Docentes</t>
  </si>
  <si>
    <t>Aumentar la cualificación de los docentes de inglés en aspectos linguísticos y metodológicos</t>
  </si>
  <si>
    <t>Capacitar docentes licenciados en lenguas modernas, en competencias linguisticas y medtodologia de la enseñanza del ingles</t>
  </si>
  <si>
    <t>Cualificar la formación de ciento cincuenta (150) docentes de preescolar y básica primaria en inglés con dominio A2 y B1 y metodología para la enseñanza</t>
  </si>
  <si>
    <t>Numero de docentes de preescolar y básica primaria formados</t>
  </si>
  <si>
    <t>Capacitar docentes de  preescolar y básica primaria con dominio A2 y B1 en inglés</t>
  </si>
  <si>
    <t>capacitar docentes de preescolar y básica primaria, en competencias linguisticas y medtodologia de la enseñanza del ingles</t>
  </si>
  <si>
    <t>Iniciar el proceso de bilinguismo  en niños  entre pre-escolar - quinto grado de primaria de colegios públicos en seis (6) municipios</t>
  </si>
  <si>
    <t>Número de Municipio con Bilinguismo</t>
  </si>
  <si>
    <t>Implementar un curriculo de preescolar a grado quinto con docentes en lengua extranjera ingles en isticuiones educativas</t>
  </si>
  <si>
    <t>Dotar cincuenta y cuatro (54) instituciones educativas con herramientas audiovisuales para la enseñanza del ingles</t>
  </si>
  <si>
    <t>Número de instituciones educativas dotadas</t>
  </si>
  <si>
    <t>Dotar insitituciones educativas con herramientas audiovisuales</t>
  </si>
  <si>
    <t>Adquisición herramientas audiovisuales para la enseñanza del Inglés</t>
  </si>
  <si>
    <t>Realizar siete (7)  concursos  para evaluar las competencias comunicativas en ingles de los estudiantes</t>
  </si>
  <si>
    <t>Número de concursos en inglés realizados</t>
  </si>
  <si>
    <t>Realizar actividades de evaluación de competencias comunicativas en inglés a estudiantes</t>
  </si>
  <si>
    <t xml:space="preserve">Concurso de Deletreo Inglés
</t>
  </si>
  <si>
    <t>Fortalecimiento de la Media Técnica</t>
  </si>
  <si>
    <t>Desarrollar doce (12) talleres para docentes en el uso de las TICs</t>
  </si>
  <si>
    <t>Número de talleres desarrollados</t>
  </si>
  <si>
    <t>201663000-0095</t>
  </si>
  <si>
    <t xml:space="preserve">Fortalecimiento de los niveles de educación  básica y media para la articulación con la educación terciaria en el Departamento del Quindio </t>
  </si>
  <si>
    <t>Mejorar los porcentajes de estudiantes con posibilidad de ingreso a la educación superior y etdh en el departamento del Quindío.</t>
  </si>
  <si>
    <t>Brindar a la población egresada de las instituciones educativas oficiales del departamento, meyores y mejores oportunidades para el ingreso a la educación terciaria</t>
  </si>
  <si>
    <t>Apoyo  a docentes de las Instituciones Educativas,  en el  Uso y Apropiacion de TICs  y Redes LAN</t>
  </si>
  <si>
    <t xml:space="preserve">20
</t>
  </si>
  <si>
    <t>Recurso Ordinario
superavit ordinario</t>
  </si>
  <si>
    <t>Alvaro Betancurt Profesional Universitario</t>
  </si>
  <si>
    <t>Fortalecer cincuenta (50)   instituciones educativas en competencias básicas</t>
  </si>
  <si>
    <t>Número de instituciones educativas fortalecidas</t>
  </si>
  <si>
    <t>Capacitación y Logistica, Talleres de Referentes, Planeación Curricular, Evaluación de los Aprendizajes</t>
  </si>
  <si>
    <t>superavit ordinario</t>
  </si>
  <si>
    <t>Fortalecer cuarenta y siete (47) instituciones educativas con el programa de articulación con la educación superior y Educacion para el Trabajo y Desarrollo  Humano ETDH</t>
  </si>
  <si>
    <t xml:space="preserve">0314 - 5 - 3 1 3 7 24 1 95 - 20
</t>
  </si>
  <si>
    <t>Atención estudiantes de educación media de las Instituciones Educativas Oficiales del Departamento, en programas de nivel técnico  profesional</t>
  </si>
  <si>
    <t>0314 - 5 - 3 1 3 7 24 1 95 - 88</t>
  </si>
  <si>
    <t>Implementar un Programa de Alimentación Escolar Universitario PAEU para estudiantes universitarios</t>
  </si>
  <si>
    <t>Programa PAEU implementado</t>
  </si>
  <si>
    <t>Implementación  Programa de Alimentación Escolar Universitario PAEU para estudiantes universitarios</t>
  </si>
  <si>
    <t>Implementar el programa de acceso y permanencia de la educación técnica, tecnologica y superior en el departamento del Quindío</t>
  </si>
  <si>
    <t>Programa Implementado</t>
  </si>
  <si>
    <t>2017003630-122</t>
  </si>
  <si>
    <t>Implementación de un Fondo de apoyo departamental para el acceso y la permanencia de la educación técnica, tecnológica y superior en el Departamneto del Quindío</t>
  </si>
  <si>
    <t>Asignación Becas a Estudianrtes Egresados de las Instituciones  Educativas  Oficiales del Departamento</t>
  </si>
  <si>
    <t xml:space="preserve">Recurso Monopolio
</t>
  </si>
  <si>
    <t>Recurso Ordinario
Recurso Monopolio
Superavit Ordinario</t>
  </si>
  <si>
    <t xml:space="preserve">0314 - 5 - 3 1 3 7 24 1 122 - 20
</t>
  </si>
  <si>
    <t xml:space="preserve">Recurso Ordinadio
</t>
  </si>
  <si>
    <t>0314 - 5 - 3 1 3 7 24 1 122 - 35</t>
  </si>
  <si>
    <t>Aportes ente territorial para la infraestructura en educación superior</t>
  </si>
  <si>
    <t>0314 - 5 - 3 1 3 7 24 1 122 - 88</t>
  </si>
  <si>
    <t>Pago cuota compraventa bien inmueble Institucion Educativa San Jose de Circasia ordenanzas 035 de 2010,047 de 2010 y 020 de 2011</t>
  </si>
  <si>
    <t>Eficiencia Educativa</t>
  </si>
  <si>
    <t>Eficiencia y modernización administrativa</t>
  </si>
  <si>
    <t>Fortalecer, hacer seguimiento y auditar cuatro (4)  procesos certificados con que cuenta la Secretaria de Educación Departamental</t>
  </si>
  <si>
    <t>Numero de procesos certificados fortalecidos, con seguimiento y auditados</t>
  </si>
  <si>
    <t>0314 - 5 - 3 1 3 8 25 1 96 - 20</t>
  </si>
  <si>
    <t>201663000-0096</t>
  </si>
  <si>
    <t xml:space="preserve">Fortalecimiento de los niveles de eficiencia administrativa en la Secretaría de Educación Departamental del Quindío </t>
  </si>
  <si>
    <t>Mejorar los niveles de eficiencia administrativa en la secretaría de educación departamental del Quindío</t>
  </si>
  <si>
    <t>Iimplementación de estrategias que garantice la eficiencia administrativa en la secretaría de educación departamental del Quindío</t>
  </si>
  <si>
    <t>Realizar la  auditoría ICONTEC, a los cuatro macroprocesos de educación</t>
  </si>
  <si>
    <t>Crear e implementar  en cincuenta y dos (52) instituciones educativas procesos presupuestales y financieros integrados</t>
  </si>
  <si>
    <t>Número de instituciones educativas con proceso presupuestal y financiero integrado creado e implementado</t>
  </si>
  <si>
    <t>Adquisición de software para la automatiación de procesos financieros en las instituciones educativas oficiales del departamento del Quindío</t>
  </si>
  <si>
    <t>Inicio  automatización  aplicativo para procesos presupuestales y Financieros</t>
  </si>
  <si>
    <t>Otros proyectos de conectividad</t>
  </si>
  <si>
    <t xml:space="preserve"> </t>
  </si>
  <si>
    <t>Implementar y/o mejorar el sistema de conectividad en 200 sedes educativas oficiales en el departamento.</t>
  </si>
  <si>
    <t>Número de sedes educativas implementadas y/o mejoradas</t>
  </si>
  <si>
    <t>1404 - 5 - 3 1 3 8 26 1 97 - 25
0314 - 5 - 3 1 3 8 26 1 97 - 20
0314 - 5 - 3 1 3 8 28 1 97 -88</t>
  </si>
  <si>
    <t>201663000-0097</t>
  </si>
  <si>
    <t xml:space="preserve">Fortalecimiento de las herramientas tecnológicas en las Instituciones Educativas del Departamento del Quindío </t>
  </si>
  <si>
    <t>Ampliar la cobertura del servicio de conectividad en las sedes educativas oficiales del departamento del Quindiío</t>
  </si>
  <si>
    <t>Optimizar los procesos administrativos y los recursos económicos con destinación al servicio de conectividad de las sedes educativas del departamento.</t>
  </si>
  <si>
    <t>Mejoramiento del Sistema de  Conectividad de las Sedes Educativas del Departamento</t>
  </si>
  <si>
    <t xml:space="preserve">SGP EDUCACIÓN
</t>
  </si>
  <si>
    <t xml:space="preserve">SGP EDUCACIÓN
Recurso Ordinario
Superavit Ordinario </t>
  </si>
  <si>
    <t>Maria Eugenia Rivera
Profesional Universitario</t>
  </si>
  <si>
    <t>Funcionamiento y prestación de servicios del sector educativo del nivel central</t>
  </si>
  <si>
    <t>Realizar el pago oportuno al 100% de los funcionarios de la planta de  administrativos, docentes y directivos docentes del sector central</t>
  </si>
  <si>
    <t>% de funcionarios con pago oportuno</t>
  </si>
  <si>
    <t>1400 - 5 - 3 1 3 8 27 1 98 25</t>
  </si>
  <si>
    <t>201663000-0098</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</si>
  <si>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</si>
  <si>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</si>
  <si>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</si>
  <si>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 xml:space="preserve">Gastos de personal,  generales, transferencias de los funcionarios de la Planta del sector central,   Docentes y  Directivos Docentes </t>
  </si>
  <si>
    <t>Eficiencia administrativa y docente en la  gestión del bienestar laboral</t>
  </si>
  <si>
    <t>Realizar el reconocimiento a sesenta (60) docentes, directivos docentes y/o personal administrativo</t>
  </si>
  <si>
    <t>Número de docentes, directivos docentes y/o personal administrativo reconocidos</t>
  </si>
  <si>
    <t xml:space="preserve">0314 - 5 - 3 1 3 8 28 1 100 - 20
</t>
  </si>
  <si>
    <t>201663000-0100</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</si>
  <si>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</si>
  <si>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 departamental del Quindío</t>
  </si>
  <si>
    <t>Fomentar en los docentes, directivos docentes y administrativos de la seretaría de educación departamental del quindío sentido de pertenencia, mediante el reconocimiento de sus logros</t>
  </si>
  <si>
    <t>Reconocimiento  a los  mejores docentes, directivos docentes y personal administrativo, incluida la logistica para el evento</t>
  </si>
  <si>
    <t xml:space="preserve"> Recurso Ordinario</t>
  </si>
  <si>
    <t>Yanet Arias Profesional Universitario</t>
  </si>
  <si>
    <t>Realizar (ocho) 8 eventos y actividades culturales y recreativas, desarrolladas para los funcionarios del servicio educativo del departamento del Quindío</t>
  </si>
  <si>
    <t>Número de eventos y actividades culturales y recreativas realizadas</t>
  </si>
  <si>
    <t>Fomentar en , directivos docentes y administrativos de la seretaría de educación departamental del quindío sentido de pertenencia, mediante el reconocimiento de sus logros</t>
  </si>
  <si>
    <t>Logística actividades culturales y recreativas para los funcionarios del servicio educativo</t>
  </si>
  <si>
    <t>Atención Integral a la Primera Infancia</t>
  </si>
  <si>
    <t xml:space="preserve">Educación Inicial Integral </t>
  </si>
  <si>
    <t>Implementar  un (1)  programa de educación integral  a la primera infancia</t>
  </si>
  <si>
    <t>Programa implementado</t>
  </si>
  <si>
    <t>0314 - 5 - 3 1 3 16 57 1 101 - 20</t>
  </si>
  <si>
    <t>201663000-0101</t>
  </si>
  <si>
    <t xml:space="preserve">Implementación del modelo de atención integral de la educación inicial en el Departamento del  Quindio. </t>
  </si>
  <si>
    <t>Aumentar la tasa de cobertura  de  niños y niñas en edad de transición en las instituciones  educativas del  departamento</t>
  </si>
  <si>
    <t>Adquisición de  Kits Escolares para los estudiantes de los grados de Preescolar en sedes educativas oficiales del Departamento</t>
  </si>
  <si>
    <t>Martha Juliet Profesional Universitario</t>
  </si>
  <si>
    <t>30/02/2019</t>
  </si>
  <si>
    <t>Apoyo para el programa de educación inicial en las instiuciones educativas oficiales del Departamento</t>
  </si>
  <si>
    <t>FRANCISICO JAVIER LOPEZ SEPULVEDA</t>
  </si>
  <si>
    <t>SECRETARIO DE EDUCACION DEPARTAMENTAL</t>
  </si>
  <si>
    <t>SEGUIMIENTO PLAN DE ACCIÓN
SECRETARIA ADMINISTRATIVA
II TRIMESTRE  2019</t>
  </si>
  <si>
    <t>POBLACIÓN</t>
  </si>
  <si>
    <t>Edad Económicamente Activa      (20-59 años)</t>
  </si>
  <si>
    <t>GESTIÓN TERRITORIAL</t>
  </si>
  <si>
    <t>MODERNIZACIÓN TECNOLOGICA Y ADMINISTRATIVA</t>
  </si>
  <si>
    <t>Virtualizar ocho (8) trámites de la administración departamental a través de Gobierno en Línea</t>
  </si>
  <si>
    <t>Número de trámites virtualizados</t>
  </si>
  <si>
    <t>0304 - 5 - 3 1 5 28 89 17 1 - 20</t>
  </si>
  <si>
    <t>201663000-0001</t>
  </si>
  <si>
    <t>Apoyo a la estrategia de Gobierno en linea en el Departamento del Quindio</t>
  </si>
  <si>
    <t xml:space="preserve">Mejorar el acceso de los usuarios internos como externos mediante  los servicios informáticos ofrecidos por la entidad, para el grado de satisfaccion de los usuarios </t>
  </si>
  <si>
    <t>Mejorar los sistemas de información y equipos tecnológicos mediante la actualizacion y mantenimiento para aumentar los tiempos de respuesta de atención al usuario</t>
  </si>
  <si>
    <t>Sostenibilidad de la estrategia de gobierno en linea</t>
  </si>
  <si>
    <t>Jaime Alberto Llano Chaparro</t>
  </si>
  <si>
    <t>SECRETARIA ADMINISTRATIVA
DIRECCIÓN DE TIC´S</t>
  </si>
  <si>
    <t>Formular e  implementar un (1) programa de seguridad y salud en el trabajo, capacitación y bienestar social en  el departamento</t>
  </si>
  <si>
    <t>Programa de seguridad y salud formulado e implementado</t>
  </si>
  <si>
    <t>0304 - 5 - 3 1 5 28 89 17 2 - 20</t>
  </si>
  <si>
    <t>201663000-0002</t>
  </si>
  <si>
    <t>Formulación e implementación del programa de seguridad y salud en el trabajo, capacitación y bienestar social en el Departamento del Quindio</t>
  </si>
  <si>
    <t xml:space="preserve">Ejecutar el 95% del programa de seguridad y salud en el trabajo,del plan de bienestar social y el plan institucional de capacitación, formulados para la vigencia 2018.
</t>
  </si>
  <si>
    <t>Formular e implementar 1 programa de seguridad y salud en el trabajo para la Gobernación del Departamento del Quindío, para la vigencia 2018</t>
  </si>
  <si>
    <t>Desarrollo y Ejecución de actividades de Seguridad y Salud en el Trabajo, de conformidad con el Plan anual de trabajo de seguridad y salud en el trabajo aprobado</t>
  </si>
  <si>
    <t>Mario Alberto Leal Mejia</t>
  </si>
  <si>
    <t>11/27/19</t>
  </si>
  <si>
    <t>Secretaría Administrativa
Dirección Talento Humano</t>
  </si>
  <si>
    <t>Formular e implementar 1 programa de bienestar social e incentivos para los funcionarios de la entidad en la vigencia 2018.</t>
  </si>
  <si>
    <t>Desarrollo y ejecución de Actividades de Bienestar Social e incentivos,  de conformidad con los programas de bienestar social e incentivos aprobados</t>
  </si>
  <si>
    <t>Formular e implementar 1 plan institucional de capacitación para los funcionarios de la entidad en  la vigencia 2018</t>
  </si>
  <si>
    <t>Desarrollo y ejecución de capacitaciones de conformidad con el plan institucional de capacitaciones aprobado</t>
  </si>
  <si>
    <t xml:space="preserve">Fortalecer el programa de sostenibilidad de las  Tecnologias de la Información de las Comunicaciones de la Gobernación del Quindio </t>
  </si>
  <si>
    <t>Programa de sostenibilidad de las TIC fortalecido</t>
  </si>
  <si>
    <t>0304 - 5 - 3 1 5 28 89 17 4 - 20</t>
  </si>
  <si>
    <t>201663000-0004</t>
  </si>
  <si>
    <t>Apoyo a la sostenibilidad de las tecnologías de la información y comunicación de la Gobernación del Quindío.</t>
  </si>
  <si>
    <t>Optimizar la infraestructura informática y de comunicaciones disponible a través de actualizacion de equipos y aplicaciones para una mejor atencion al usuario</t>
  </si>
  <si>
    <t>Modernizar la infraestructura tecnológica mediante la actualizacion de herramientas tecnológicas y soporte de primer nivel; para agilizar los procesos</t>
  </si>
  <si>
    <t>Apoyo técnico y/o profesional</t>
  </si>
  <si>
    <t>Patricia Eugenia Gomez Escobar
Jaime alberto llano Chaparro
Jorge Ivan Duque Jimenez</t>
  </si>
  <si>
    <t>Secretaría Administrativa
Dirección  TIC´S</t>
  </si>
  <si>
    <t>Adquirir e implementar un (1) software para la sistematización de las historias laborales del Fondo Territorial de Pensiones del departamento</t>
  </si>
  <si>
    <t>Software adquirido e implementado</t>
  </si>
  <si>
    <t>201663000-0005</t>
  </si>
  <si>
    <t>Implementación de un programa  de  modernización de la gestión administrativa en el Departamento del Quindio</t>
  </si>
  <si>
    <t xml:space="preserve">Satisfacer en un 90%, las necesidades de los usuarios y partes interesadas de la entidad. 
</t>
  </si>
  <si>
    <t>Digitalizar y consultar en línea los expedientes de los pensionados, evitando la perdida de documentos</t>
  </si>
  <si>
    <t xml:space="preserve">Actualización y registro en el aplicativo de gestión documental de la información relacionada con las historias laborales del fondo territorial de pensiones </t>
  </si>
  <si>
    <t xml:space="preserve">Recurso Ordinario -     Recurso del Crédito </t>
  </si>
  <si>
    <t>Claudia Marcela Londoño-Juan David Hoyos Montes-Carolina Cardenaz Barahona</t>
  </si>
  <si>
    <t>Secretaría Administrativa
Dirección  FTP</t>
  </si>
  <si>
    <t>Implementar un programa de actualización y registro de los bienes de propiedad del departamento</t>
  </si>
  <si>
    <t>Programa de actualización y registro implementado</t>
  </si>
  <si>
    <t xml:space="preserve">0304 - 5 - 3 1 5 28 89 17 5 - 20 </t>
  </si>
  <si>
    <t>Administrar, depurar y registrar la totalidad de los bienes  de propiedad de la Gobernación del Departamento del Quindío con información real  y pertinente</t>
  </si>
  <si>
    <t>Implementar procedimientos correspondiente  a las bodegas a cargo de la dirección de almacén</t>
  </si>
  <si>
    <t>Secretaría Administrativa
Dirección Recursos Físicos
Dirección Almacén</t>
  </si>
  <si>
    <t>Realizar avalúos a los bienes inmuebles a cargo de la entidad</t>
  </si>
  <si>
    <t>Implementar un (1) programa de modernización de la gestión documental en el departamento</t>
  </si>
  <si>
    <t>Programa de modernización implementado</t>
  </si>
  <si>
    <t>Cumplir las directrices definidas por la Ley General de Archivo</t>
  </si>
  <si>
    <t>Ejecutar las actividades establecidas en el Plan Institucional de Archivos PINAR</t>
  </si>
  <si>
    <t>Adquirir  un (1) bien inmueble para adelantar acciones de cara al servicio de la comunidad</t>
  </si>
  <si>
    <t>Bien inmueble adquirido</t>
  </si>
  <si>
    <t>Disponer de espacios físicos más amplios y acordes para la atención a los diferentes tipos de población que se acerca a la  entidad y así como para la debida disposición de los documentos que reposan en el archivo central evitando la perdida  y/o deterioro de los mismos.</t>
  </si>
  <si>
    <t>Adelantar acciones en el proceso de adquisición de un bien inmueble</t>
  </si>
  <si>
    <t xml:space="preserve">Recurso del Crédito </t>
  </si>
  <si>
    <t>Secretaría Administrativa
Dirección Recursos Físicos</t>
  </si>
  <si>
    <t>TOTAL :</t>
  </si>
  <si>
    <t>CATALINA GÓMEZ RESTREPO</t>
  </si>
  <si>
    <t>Secretaria Administrativa</t>
  </si>
  <si>
    <t>SEGUIMIENTO PLAN DE ACCIÓN
SECRETARIA DE PLANEACION
II TRIMESTRE 2019</t>
  </si>
  <si>
    <t>O6</t>
  </si>
  <si>
    <t xml:space="preserve"> 1 de 1</t>
  </si>
  <si>
    <t>Edad Económicamente Activa
(20-59 años)</t>
  </si>
  <si>
    <t>Palenqueras</t>
  </si>
  <si>
    <t>Quindío Ejemplar y Legal</t>
  </si>
  <si>
    <t>Realizar en el Departamento y  los doce (12) municipios  del Quindío  procesos de sensibilización, seguimiento  y evaluación en la aplicabilidad de los componentes   del Índice de Transparencia.</t>
  </si>
  <si>
    <t>Número de procesos de seguimiento y evaluación realizados</t>
  </si>
  <si>
    <t>0305 - 5 - 3 1 5 26 83 17 6 - 20</t>
  </si>
  <si>
    <t>201663000-0006</t>
  </si>
  <si>
    <t>Realización procesos de capacitación,  asistencia técnica, seguimiento  y evaluación en la aplicabilidad de los componentes   del Índice de Transparencia en el Departamento del Quindio</t>
  </si>
  <si>
    <t xml:space="preserve">Aumentar el indice  transparencia en el departamento del Quindio y los entes territoriales municipales del quindio,  a través de procesos de capacitación, asistencia técnica, seguimiento y evaluación de los componentes de:diagnóstico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2019 . </t>
  </si>
  <si>
    <t xml:space="preserve">Realizar  procesos de capacitación, asistencia técnica, seguimiento y evaluación del  Indice de Transparencia a las Secretarias Sectoriales eInstitutos Descentralizados del  Departamento del Quindio,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2019 .   
</t>
  </si>
  <si>
    <t xml:space="preserve">a)  Análisis historico  Indice de Transparencia Departamento del Quindio </t>
  </si>
  <si>
    <t>Recursos Ordinarios.</t>
  </si>
  <si>
    <t>Martha Elena Giraldo
Directora Técnica</t>
  </si>
  <si>
    <t>José Ignacio Rojas Sepúlveda
Secretario Departamental de Planeación</t>
  </si>
  <si>
    <t xml:space="preserve">Realizar  procesos de capacitación, asistencia técnica, seguimiento y evaluación del  indice de transparencia a las entes territoriales municipales del departamento del quindio,  en los diferentes componentes: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2019 .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2019 .   
</t>
  </si>
  <si>
    <t xml:space="preserve">a)  Análisis historico Indices de Gobierno Abierto IGA   e Indice de Transparencia Departamento del Quindio </t>
  </si>
  <si>
    <t xml:space="preserve">b) Socialización análisis historico Indices de Gobierno Abierto IGA   e Indice de Transparencia Departamento del Quindio </t>
  </si>
  <si>
    <t>a) RESPECTO A LA ESTRUCTURA DEL SUJETO OBLIGADO. (Artículo  9° Ley 1712 de 2014 ) : La descripción de su estructura,  Presupuesto general, directorio (Sistema de Gestión del Empleo Público (SIGEP)), normas generales y reglamentarias,Plan de compras anual,Los plazos de cumplimiento de los contratos,Plan Anticorrupción y de Atención al Ciudadano,</t>
  </si>
  <si>
    <t xml:space="preserve">b) PUBLICIDAD DE LA CONTRATACIÓN .(Artículo  10° Ley 1712 de 2014 ) :Las contrataciones (Sistema Electrónico para la Contratación Pública (Secop)-(Artículo 3° de la Ley 1150 de 2007) </t>
  </si>
  <si>
    <t>c) SERVICIOS, PROCEDIMIENTOS Y FUNCIONAMIENTO DEL SUJETO OBLIGADO .(Artículo  11° Ley 1712 de 2014 ) : )  Servicios que se presten, trámites, procedimientos -Sistema Único de Información de Trámites y Procedimientos Administrativos (SUIT),El contenido de toda decisión y/o política ,  informes de gestión, evaluación,mecanismo interno y externo de supervisión , procedimientos, lineamientos, políticas en materia de adquisiciones y compras,mecanismo de presentación directa de solicitudes, quejas y reclamos, mecanismo o procedimiento por medio del cual el público pueda participar en la formulación de la política, registro de publicaciones que contenga los documentos publicados , datos abiertos</t>
  </si>
  <si>
    <t>a)  Todas las categorías de información del sujeto obligado</t>
  </si>
  <si>
    <t>b) Todo registro publicado.</t>
  </si>
  <si>
    <t>c)  Todo registro disponible para ser solicitado por el público.</t>
  </si>
  <si>
    <t>a) Inventario de la información pública generada, obtenida, adquirida o controlada por el sujeto obligado</t>
  </si>
  <si>
    <t>a) instrumento del que disponen los sujetos obligados para informar, de forma ordenada, a la ciudadanía, interesados y usuarios, sobre la información publicada y que publicará, conforme  a lo  previsto en el artículo 3° de la Ley 1712 de 2014, y sobre los medios a través de los cuales se puede acceder a la misma</t>
  </si>
  <si>
    <t>a)Política de gestión documental aprobada por el sujeto obligado.</t>
  </si>
  <si>
    <t>b) Tablas de Retención Documental.</t>
  </si>
  <si>
    <t>c) archivo institucional.</t>
  </si>
  <si>
    <t>d)  Políticas para la gestión de sus documentos electrónicos, incluyendo políticas de preservación y custodia digital.</t>
  </si>
  <si>
    <t>e)  Sistema Nacional de Archivos</t>
  </si>
  <si>
    <t>a) Publicación  informe de todas las solicitudes, denuncias y los tiempos de respuesta del sujeto obligado (Número de solicitudes recibidas,Número de solicitudes que fueron trasladadas a otra institución,Tiempo de respuesta a cada solicitud y Número de solicitudes en las que se negó el acceso a la información.</t>
  </si>
  <si>
    <t>a) Publicación  gratuidad y costos de reproducción. En concordancia con lo establecido en los artículos 3o  y 26 de la Ley 1712/14, en la gestión y respuesta a las solicitudes de acceso a la información pública.</t>
  </si>
  <si>
    <t>Asistencia Implementación  LEY 1712 DE 2012 ( SECTOR CENTRAL Y SECTOR DESCENTRALIZADO (PROMOTORA DE VIVIENDA, INDEPORTES. IDTQ)</t>
  </si>
  <si>
    <t>SEGUIMIENTO Y EVALUACIÓN ENTES ETERRITORIALES MUNICIPALES:  Información mínima que debe esta publicada  (  estructura del sujeto obligado, publicidad de la contratación, servicios, procedimientos y funcionamiento del sujeto obligado), registro de activos de la información, índice de información reservada y clasificada ,esquema de publicación de la información, programa de gestión documental , solicitudes de acceso a la información, reproducción    de la información publicada con su respectiva motivación y costos de reproducción  de la información publicada con su respectiva motivación</t>
  </si>
  <si>
    <t xml:space="preserve">SOCIALIZACION   ENTES TERRITORIALES </t>
  </si>
  <si>
    <t xml:space="preserve">Fotocopias </t>
  </si>
  <si>
    <t>Veedurías y Rendición de Cuentas</t>
  </si>
  <si>
    <t xml:space="preserve">Realizar  doce (12) procesos de Rendición Publica de Cuentas Departamentales en entes territoriales municipales. </t>
  </si>
  <si>
    <t>Número de procesos de Rendición de Cuentas en los municipios realizadas</t>
  </si>
  <si>
    <t>0305 - 5 - 3 1 5 26 84 17 15 - 20
0305 - 5 - 3 1 5 26 84 17 15 - 88</t>
  </si>
  <si>
    <t>201663000-0015</t>
  </si>
  <si>
    <t xml:space="preserve">Realización procesos de Rendición Publica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</si>
  <si>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la presentación del informe de Rendición de Cuenta de las ejecutorias de la Admnistración Departamental  vigencia 2017   y la preparación recolección y  consolidación del informe de la vigencia 2017, con el fin de divulgar a la comunidad de los resultados de la ejecutorias generando en la Administraciòn la cultura de la Rendiciòn Pùblica de Cuentas durante la vigencia 2018.
</t>
  </si>
  <si>
    <t xml:space="preserve">Realizar el video de las ejecutorias de la Administración Departamental vigencia 2017 por ejes estratégicos, buscando aumentar el promedio de la participación ciudadana en los procesos de elección popular en el Departamento del Quindío durante la vigencia 2018. 
</t>
  </si>
  <si>
    <t>Estrategia de Desarrollo Sostenible 2018</t>
  </si>
  <si>
    <t>Recurso Ordinario (20)
Superávit Recurso Ordinario (88)</t>
  </si>
  <si>
    <t>Laura Steephanie Medina Hoyos
Asesora Secretaría Administrativa</t>
  </si>
  <si>
    <t>Estrategia de Desarrollo Sostenible 2019</t>
  </si>
  <si>
    <t>Estrategia de Prosperidad con Equidad 2018</t>
  </si>
  <si>
    <t>Estrategia de Prosperidad con Equidad 2019</t>
  </si>
  <si>
    <t>Estrategia de Inclusion Social 2018</t>
  </si>
  <si>
    <t>Estrategia de Inclusion Social 2019</t>
  </si>
  <si>
    <t>Estrategia de Seguridad Humana 2018</t>
  </si>
  <si>
    <t>Estrategia de Seguridad Humana 2019</t>
  </si>
  <si>
    <t>Estrategia de Buen Gobierno 2018</t>
  </si>
  <si>
    <t>Estrategia de Buen Gobierno 2019</t>
  </si>
  <si>
    <t xml:space="preserve">Realizar un periodico informativo de las ejecutorias de la Administración Departamental vigencia 2017 por ejes estratégicos, buscando aumentar el promedio de la participación ciudadana en los procesos de elección popular en el Departamento del Quindío durante la vigencia 2018. 
</t>
  </si>
  <si>
    <t>Diseño y edición periódico ejecutorias Administración  Departamental 2018</t>
  </si>
  <si>
    <t>Diseño y edición periódico ejecutorias Administración  Departamental 2019</t>
  </si>
  <si>
    <t xml:space="preserve">  Realizar  eventos de Rendición Pública de Cuentas en los doce entes Territoriales del Departamento , de las ejecutorias de la Administración Departamental vigencia 2017 por ejes estratégicos, buscando aumentar el promedio de la participación ciudadana en los procesos de elección popular en el Departamento del Quindío durante la vigencia 2018. 
</t>
  </si>
  <si>
    <t>Sonido 2018</t>
  </si>
  <si>
    <t>Sonido 2019</t>
  </si>
  <si>
    <t>Refrigerios 2018</t>
  </si>
  <si>
    <t>Refrigerios 2019</t>
  </si>
  <si>
    <t>Poder Ciudadano</t>
  </si>
  <si>
    <t>Quindío si a la participación</t>
  </si>
  <si>
    <t xml:space="preserve">Fortalecer  técnica y logísticamente al  Consejo Territorial de Planeación  Departamental  </t>
  </si>
  <si>
    <t>Consejo Territorial de Planeación fortalecido</t>
  </si>
  <si>
    <t>0305 - 5 - 3 1 5 27 85 16 7 - 20</t>
  </si>
  <si>
    <t>201663000-0007</t>
  </si>
  <si>
    <t>Asistencia al Consejo Territorial de Planeación del Departamento del Quindío.</t>
  </si>
  <si>
    <t xml:space="preserve">Fortalecer competencias de planificación del consejo territorialdel Departamento del Quindio, a través de la participación del Consejo Territorial de Planeación en encuentros Departamentales, Nacionales y Regionales, de una estrategia de comunicaciones e imagen institucional , del diplomado o escuela de liderazgo en Ordenamiento Territorial y de la adquisición de equipos digitales, computo, inmuebles durante la vigencia 2018.   
</t>
  </si>
  <si>
    <t xml:space="preserve">Apoyar la participación de los integrantes del consejo territorial a congresos y eventos nacionales regionales y departamentales, en el Departamento del Quindio, durante la vigencia 2018 </t>
  </si>
  <si>
    <t>1.1 Sesiones itinerantes - Servicio de transporte terrestre ida y vuelta desde su lugar de origen Plaza de Bolívar del Municipio de Armenia, hasta los municipios del Quindío, en los días que sean acordados por el contratante - Suministro de almuerzos en los doce municipios del Quindío durante las sesiones descentralizadas.</t>
  </si>
  <si>
    <t>Recurso Ordinario (20)</t>
  </si>
  <si>
    <t>Carlos Alberto Mendoza
Jefe Oficina de Ordenamiento Territorial
Laura Steephanie Medina Hoyos
Asesora Secretaría Administrativa</t>
  </si>
  <si>
    <r>
      <t>1.2. XIII Encuentro CTP, traslados de ida y vuelta desde su lugar de origen Plaza de Bolívar del Municipio de Armenia hasta el Municipio sede "</t>
    </r>
    <r>
      <rPr>
        <b/>
        <sz val="11"/>
        <rFont val="Arial"/>
        <family val="2"/>
      </rPr>
      <t>Quimbaya/Córdoba(/Génova</t>
    </r>
    <r>
      <rPr>
        <sz val="11"/>
        <rFont val="Arial"/>
        <family val="2"/>
      </rPr>
      <t xml:space="preserve">", en los días que sean acordados por el contratante, a realizarse durante el mes de septiembre o Octubre - Suministro de alimentación en el municipio sede, Desayuno, Almuerzo y Cena, durante los días del encuentro - Servicio de alojamiento acomodación en habitaciones dobles en los días que sean acordados por el contratante. Mes de septiembre u octubre para 25 personas. </t>
    </r>
  </si>
  <si>
    <t>1.3.XXIII Congreso del Sistema Nacional de Planeación, traslado de ida y vuelta en transporte aéreo en las rutas nacionales: de Armenia  hacia la ciudad "sede"; adicional traslados internos, en los días que sean acordados por el contratante. cinco (5) días, Octubre o Noviembre de 2019 - suministro de alimentación en la ciudad sede Desayuno, Almuerzo y Cena, sede del XXIII Congreso Nacional de Planeación, cinco (5) días,Octubre O Noviembre /2098 - servicio de alojamiento en la ciudad sede del XXIII Congreso Nal de Planeación, acomodación en habitaciones dobles, cinco (5) días, Octubre y/o Noviembre /2019 para 19 personas.</t>
  </si>
  <si>
    <t>1.4. Asistencia de los Consejeros a foros regionales de participación ciudadana y estratégicos,convocatorias de la RAP Eje Cafetero, del Sistema Departamental y Regional de Planeación, igualmente particpar en las convocatorias a las reuniones de la Comisión Técnica del Sistema Regional y Nacional de Planeación, incluye:  Traslados aereos, terrestres e internos, alojamiento y alimentación.</t>
  </si>
  <si>
    <t xml:space="preserve">Utilizar diversos medios e instrumentos para la difusión del accionar del consejo territorial a través de estrategias de comunicación e imagen institucional y adquisición de equipos digitales y de computo en el Departamento del Quindio, durante la vigencia 2018.  
</t>
  </si>
  <si>
    <t xml:space="preserve">3.1 Comunicaciones externas de interes público, a traves de medios radiales, prensa y televisivos. </t>
  </si>
  <si>
    <t>3.2 Actualización pagina web y redes consejo territorial</t>
  </si>
  <si>
    <t>3.3. Suministro de material litografico, papeleria, impresos y publicaciones, entre otros</t>
  </si>
  <si>
    <t>5.1 Camara fotografica incluido el tripode</t>
  </si>
  <si>
    <t>5.2 Grabadora de mano</t>
  </si>
  <si>
    <t xml:space="preserve">Aumentar los  espacios para capacitación orientados en planificación del territorio Quindiano a través de diplomado o Escuela de liderazgo en ordenamiento territorial en el Departamento del Quindio, durante la vigencia 2018. 
</t>
  </si>
  <si>
    <t>4.1. Realización cacitaciones/Diplomados/Seminarios/ para los Consejeros Territoriales del Departamento</t>
  </si>
  <si>
    <t>4.2. Diseñar y elaborar el contenido programatico de la  y Planeación participativa</t>
  </si>
  <si>
    <t xml:space="preserve">Los instrumentos  de planificación como  ruta para el cumplimiento de la gestión pública  </t>
  </si>
  <si>
    <t>Diseñar e implementar el Plan de Ordenamiento del Departamento del Quindio.</t>
  </si>
  <si>
    <t>0305 - 5 - 3 1 5 28 87 17 9 - 20
0305 - 5 - 3 1 5 28 87 17 9 - 88</t>
  </si>
  <si>
    <t>201663000-0009</t>
  </si>
  <si>
    <t xml:space="preserve"> 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</si>
  <si>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</si>
  <si>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Quindio( I- Fase)
</t>
  </si>
  <si>
    <t>Consolidacion de la Informacion del DNP para la implementacion del POD</t>
  </si>
  <si>
    <t>Recursos Ordinarios</t>
  </si>
  <si>
    <t>Recruso Ordinario (20)
Superavit Recurtsos Ordinario (88)</t>
  </si>
  <si>
    <t>Carlos Alberto Mendoza
Jefe Oficina Ordenamiento Territorial
Laura Steephanie Medina Hoyos
Asesora Secretaría Administrativa</t>
  </si>
  <si>
    <t>Actualizacion de las directrices del MOD para aplicar en el diseño del POD</t>
  </si>
  <si>
    <t>Formulación y consolidación de las directrices y  lineamientos de ordenamiento territorial para el departamento del Quindio, en la implementación del POD.</t>
  </si>
  <si>
    <t xml:space="preserve">Superavit Recursos Ordinarios
</t>
  </si>
  <si>
    <t>socializacion del POD en los Municipios del Departamento</t>
  </si>
  <si>
    <t>Transporte</t>
  </si>
  <si>
    <t>Suministro de refrigerios</t>
  </si>
  <si>
    <t>Adquisicion de elementos tecnologicos (televisor, disco duro, entre otros)</t>
  </si>
  <si>
    <t>Diseñar e implementar Un (1) Sistema de Información geo referenciado para el ordenamiento social  y económico del territorio rural</t>
  </si>
  <si>
    <t>Sistema de información geo referenciado diseñado e implementado</t>
  </si>
  <si>
    <t>Diseñar e implementar un  Sistema de Información geo referenciado para el ordenamiento social  y económico del territorio rural</t>
  </si>
  <si>
    <t>Mantenimiento y Actualizacion permanente de las bases de Datos</t>
  </si>
  <si>
    <t xml:space="preserve">Actualizar y fortalecer  las directrices   del Modelo de Ocupación del Territorio   en el Departamento del Quindío </t>
  </si>
  <si>
    <t>Modelo de Ocupación del Territorio actualizado y fortalecido</t>
  </si>
  <si>
    <t>Actualizar y fortalecer  las directrices   del Modelo de Ocupación del Territorio   en el Departamento del Quindío</t>
  </si>
  <si>
    <t>Actualizar las Directrices MOD.</t>
  </si>
  <si>
    <t xml:space="preserve">Fortalecer el  Sistema de Información Geográfica del Departamento del Quindío  </t>
  </si>
  <si>
    <t>Sistema de información geográfica fortalecida</t>
  </si>
  <si>
    <t xml:space="preserve">Fortalecer el  Sistema de Información Geográfica del Departamento del Quindío </t>
  </si>
  <si>
    <t>fortalecimeinto de la Plataforma SIG Quindio.</t>
  </si>
  <si>
    <t>Adoptar dos (2) mecanismo de integracion regional  y  de asociatividad  entre los municipios.</t>
  </si>
  <si>
    <t>Mecanismo de integración adoptado</t>
  </si>
  <si>
    <t xml:space="preserve">Adoptar dos (2) mecanismos de integracion regional  y  de asociatividad  entre los municipios.
</t>
  </si>
  <si>
    <t>Creacion y fortalecimientos de los procesos de integracion regional y otras integraciones que se presenten</t>
  </si>
  <si>
    <t>Fortalecer Procesos de Integracion entre los Municipios</t>
  </si>
  <si>
    <t>Reorientar el observatorio económico actual, a un enfoque de Desarrollo humano incluyente con variables sociales, económicas y de seguridad humana</t>
  </si>
  <si>
    <t>Observatorio economico reorientado</t>
  </si>
  <si>
    <t>0305 - 5 - 3 1 5 28 87 17 10 - 20
0305 - 5 - 3 1 5 28 87 17 10 - 88</t>
  </si>
  <si>
    <t>201663000-0010</t>
  </si>
  <si>
    <t>Diseño e implementación del Observatorio de Desarrollo Humano en el departamento del Quindío</t>
  </si>
  <si>
    <t xml:space="preserve">Aumentar los indices eficacia y eficiencia  de la inversión social en el Departamento del Quindio, a través  del diseño e implementación de la primera fase  del Observatorio de Desarrollo Humano en el Departamento del Quindio ( Diagnóstico y compilación de la información estadística -Elaboración de los lineamientos metodológicos, tecnológicos y presupuestales) ,  durante el periódo administrativo. 
</t>
  </si>
  <si>
    <t xml:space="preserve">Elaborar  diagnóstico y compilar las estadisticas existentes en el Departamento por series de tiempo  y estratégias ( Inclusión social, seguridad humana, desarrollo sostenible, buen gobierno y prosperidad con equidad), con el fin contar con información soporte  que permita la toma de desiciones y aumentar los índices de eficacia y eficiencia de la inversión social en el Departamento del quindio, durante la vigencia 2018
</t>
  </si>
  <si>
    <t>1.1.1 Actualización de los instrumentos (Anuario Estadístico, Carta Estadística, Indicadores) de identificación, validación y cálculo de indicadores del observatorio departamental  contenidos en las dos áreas temáticas abordadas (Social y económica) para los 18 sectores priorizados en la vigencia 2017.</t>
  </si>
  <si>
    <t xml:space="preserve">Recursos Ordinarios
</t>
  </si>
  <si>
    <t>Recruso Ordinario (20)</t>
  </si>
  <si>
    <t>Liliana Plaza Ñuste
Profesional Universitario</t>
  </si>
  <si>
    <t>José Iganacio Rojas Sepúlveda
Secretario Departamental de Planeación</t>
  </si>
  <si>
    <t xml:space="preserve">Superavit Recursos Ordinarios
</t>
  </si>
  <si>
    <t>2.1 Análisis de la información recolectada para la actualización y generación de los  boletines trimestrales (4), el informe anual del departamento (1) y los demás análisis requeridos correspondientes a la vigencia 2017 (1 Informe de Empleo)</t>
  </si>
  <si>
    <t>Superavit Recursos Ordinarios</t>
  </si>
  <si>
    <t>2.2 Fortalecer el seguimiento a los problemas identificados en el departamento con relación a los ODS para la última vigencia de análisis.</t>
  </si>
  <si>
    <t>Elaborar los lineamientos metodológicos, tecnológicos y presupuestales para la implementación del Observatorio de Desarrollo Humano en Departamento del Quindio, con el fin  de contar con los soprtes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quindio, durante la vigencia 2018</t>
  </si>
  <si>
    <t>3.1.1. Apoyo en la implementación del sistema de consulta del Observatorio de Desarrollo Humano y fortalecimiento de su funcionamiento a partir de la compra de equipos de cómputo y de licencias.</t>
  </si>
  <si>
    <t>3.1.2 Apoyo en la recolección y procesamiento de bases y datos estadisticos para la estructuración del sistema de información </t>
  </si>
  <si>
    <t xml:space="preserve">4.1.1 Apoyo en la asistencia y revisión de las fichas Basicas Municipales </t>
  </si>
  <si>
    <t>Diseñar e implementar el tablero de control  para el seguimiento y evaluación del Plan de Desarrollo  y   políticas públicas  Departamentales</t>
  </si>
  <si>
    <t>Tablero de control diseñado e implementado</t>
  </si>
  <si>
    <t xml:space="preserve">0305 - 5 - 3 1 5 28 87 17 11 - 20
0305 - 5 - 3 1 5 28 87 17 11 - 88
</t>
  </si>
  <si>
    <t>201663000-0011</t>
  </si>
  <si>
    <t>Diseño  e implementación del Tablero de Control  para el seguimiento y evalución del Plan de Desarrollo y las Políticas Públicas del  Departamento del Quindio.</t>
  </si>
  <si>
    <t xml:space="preserve"> Aumentar los indices eficacia y eficiencia  de la inversión social en el Departamento del Quindio, a través  de la  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</si>
  <si>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las políticas públicas por periodo administrativo 2016-2019, con el fin de fortalecer los procesos de planificación del departamento y mejorar los indices de eficacia y eficiencia de la inversión social   
</t>
  </si>
  <si>
    <t>1.1. Implementación del procedimiento de cargue de información para el seguimiento y evaluación de las políticas públicas del Departamento del Quindío,  a través del Tablero de Control.</t>
  </si>
  <si>
    <t>1.2. Elaboración ruta de seguimiento del Plan de Acción, a través de la plataforma WEB,  flujos de información y conexiones, definiendo los avances de metas físicas y financieras, para la validación de la información.</t>
  </si>
  <si>
    <t xml:space="preserve">1.3. Adquisición de licencia de uso y funcionamiento </t>
  </si>
  <si>
    <t xml:space="preserve">Diseñar e implementar la  Fábrica de Proyectos de Inversión en el Departamento del Quindío </t>
  </si>
  <si>
    <t>Fábrica de Proyectos de Inversión diseñada e implementada</t>
  </si>
  <si>
    <t xml:space="preserve">0305 - 5 - 3 1 5 28 87 17 12 - 20
0305 - 5 - 3 1 5 28 87 17 12 - 88
</t>
  </si>
  <si>
    <t>201663000-0012</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</si>
  <si>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</si>
  <si>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</si>
  <si>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Fortalecer la gestión de recursos, a través del SGR, departamentales, nacionales  e Internacional para el apoyo de alternativas regionales</t>
  </si>
  <si>
    <t>Asistencia Técnica  en  la revisión de proyectos  Metodología General Ajustada MGA,   seguimiento a  trámites de  aprobación  proyectos  de Inversión SGR  y  mesas técnicas ( Secretarias Sectoriales,   Instancias de carácter municipal, departamental, regional  y/o nacional ), rendición de cuentas Sistema General de Regalias SGR, reuniones OCAD  Regional y Departamental.</t>
  </si>
  <si>
    <t xml:space="preserve">20
</t>
  </si>
  <si>
    <t>Juan José Jaramillo Perez
Jefe Oficina de Proyecctos y Cooperación
Norma Consuelo Mantilla Quintero
Profecional Universitaria
José Orlando Gutierrez Velasco
Profesional Universitario
Carlos Andres Baena García
Director Infraestructura Social</t>
  </si>
  <si>
    <t>Asistencia Técnica  formulación Metodología General Ajustada MGA, gestión de insumos para el cumplimiento de requisitos mínimos,  revisión  de proyectos componente   Económico, Social y Ambiental</t>
  </si>
  <si>
    <t>Apoyo en la formulacion y estructuracion de programas y proyectos de cooperacion internacional, en las metodologias requeridas.</t>
  </si>
  <si>
    <t>Fortalecer el Monitoreo, control y seguimietno de los proyectos de inversión en tiempo real</t>
  </si>
  <si>
    <t xml:space="preserve">Seguimiento y evaluación ejecución  proyectos de inversión Sistema General de Regalias </t>
  </si>
  <si>
    <t>Socialización de Informes a las unidades ejecutoras</t>
  </si>
  <si>
    <t>Realización mesas técnicas con las unidades ejecutoras</t>
  </si>
  <si>
    <t>Brindar apoyo técnico integral o interdisciplinario a las Secretarias de la Gobernación del Quindío y a los entes territoriales en la identificación y formulación  de Proyectos en el marco de la Metodología General Ajustada, Marco Lógico y otras</t>
  </si>
  <si>
    <t>a) Asistencia Técnica en la formulación y estructuración de  proyectos de carácter estrategico (del orden departamental, Regional, Nacional e Internacional), en  la Metodología requeridas. B) Apoyo en la realizacion de mesas de trabajo con las unidades ejecutoras y entidades actoras, para la construccion de los documentos y anexos requeridos en los proyectos. c) Apoyo en el cargue de los proyectos en las plataformas requeridas. d) Apoyo en la verifcacion de requisitos en los proyectos. e) Apoyo en la socializacion de los proyectos formulados .</t>
  </si>
  <si>
    <t>Superavir Ordinario</t>
  </si>
  <si>
    <t>Apoyo a las unidades ejejcutoras en la formulacion y estructuracion d eproyectos del orden departamental, regional y nacional. Apoyo en las mesas de trabajo con las unidades ejecutoras y entidades actoras.</t>
  </si>
  <si>
    <t>a)Apoyo técnico en la socialización a las unidades ejecutoras de la herramienta dispuesta por el Departamento Nacional de Planeación -DNP-, para el seguimiento a los proyectos de inversión del Banco de Proyectos nivel Departamental en el SISTEMA DE SEGUIMIENTO A PROYECTOS DE INVERSIÓN-SPI-, teniendo en cuanta la Ejecución fisica, el seguimiento a actividades, el Seguimiento de gestión y los anexos b) apoyo técnbico en el seguimiento a los proyectos de inversión de la secretaria de planeación departamental, en la herramienta -SPI-</t>
  </si>
  <si>
    <t>a) Apoyo a la formulación, estructuración, ajustes y Actualización  de proyectos de Inversión vigencias  2019 y 2020, en su marco logico y a través de la Herramienta MGA WEB .   b) Apoyo a los procesos de revision y analisis del cumplimiento de requisitos generales de los proyectos por formuladores ciudadanos u oficiales. c) Apoyo a los procesos de control y seguimiento a la inversion.</t>
  </si>
  <si>
    <t>Apoyo en la caracterizaciòn de los proyectos e iniciativas estratègicas del Departamento del Quindio y sus municipios, suceptibles de ser financiados con recursos del orden departamental, regional, nacional e internacional, (generando fichas tècnicas)</t>
  </si>
  <si>
    <t xml:space="preserve">Recurso Ordinario
</t>
  </si>
  <si>
    <t>Apoyo a las unidades ejecutoras en la socializaciòn de la Metodologia General Ajustada- MGA WEB, SUIFP-TERRITORIO, teniendo en cuenta el Decreto 378 de 2017 "por el cual se expide el Manual de Operaciones del Banco de Programas y Proyectos de Inversiòn "Fabrica de Proyectos" del Departamento del Quindio" y las directrices establecidas por el Departamento Nacional de Planeaciòn -DNP.</t>
  </si>
  <si>
    <t xml:space="preserve">Seguimiento, identificación y sistematización de las iniciativas y proyectos susceptiblres de ser financiados con recursos de cooperación internacional, gestionados por los entes territoriales municipales ante las agencias de cooperación y embajadas ext ranjeras en el pais </t>
  </si>
  <si>
    <t xml:space="preserve">Actualizar el Sistema Integrado de Gestión Administrativa SIGA del departamento del Quindío </t>
  </si>
  <si>
    <t>Sistema Integrado de Gestión actualizado</t>
  </si>
  <si>
    <t>0305 - 5 - 3 1 5 28 87 17 13 - 20
0305 - 5 - 3 1 5 28 87 17 13 - 88</t>
  </si>
  <si>
    <t>201663000-0013</t>
  </si>
  <si>
    <t xml:space="preserve">Actualizar y/o  ajustar el Sistema Integrado de Gestión Administrativa SIGA del Departamento del Quindío </t>
  </si>
  <si>
    <t xml:space="preserve"> Aumentar los indices eficacia y eficiencia  de la inversión social en el Departamento del Quindio, a  través la actualización del Sistema Integado de la Gestión Administrativa SIGA ( procesos estratégicos, misionales, de apoyo y evaluación y control) durante la vigencia 2018
 </t>
  </si>
  <si>
    <t xml:space="preserve">Actualizar  y ajustar los procesos  Estrategicos,  Misionales de apoyo y evaluación y control del Sistema Integrado de  Gestión Administrativa del Departamento del Quindio.
</t>
  </si>
  <si>
    <t xml:space="preserve">Hacienda, Administrativa, Cultura, Salud, Educación, Representación Judicial, Privada, Planeación, Turismo, Industria y Comercio, Aguas e Infraestrutura, Interior, Agricultura y Desarrollo Rural,  Control Interno y Gestión, Control Interno Disciplinario, familia , Juridica y Contrataciòn </t>
  </si>
  <si>
    <t>Martha Elena Giraldo Ramirez
Directora Técnica</t>
  </si>
  <si>
    <t>Planeación, Gobernación y Modelo Integrado de Planeación y Gestión MIPG</t>
  </si>
  <si>
    <t>Asistencias Técnicas</t>
  </si>
  <si>
    <t>Asistencias Técnicas actualización y ajuste ( Tablero de Control , Sistema General de Regalias,Modelo Integrado  de Planeación y de Gestión MIPG, Rendición Publica de Cuentas,Seguimiento y Evaluación Plan de Desarrollo y Politicas Públicas,Ordenamiento Territorial ,Banco de Programas y Proyectos .</t>
  </si>
  <si>
    <t>Comite Institucional de Gestión y Desempeño MIPG</t>
  </si>
  <si>
    <t>Comité Departamental de Gestión y Desempeño MIPG</t>
  </si>
  <si>
    <t xml:space="preserve">Instancias de Control y Seguimiento </t>
  </si>
  <si>
    <t>Segumiento y evaluación aplicabilidad Manual de  Calidad por  Secretaria Sectorial ( Seguimiento No.1 )</t>
  </si>
  <si>
    <t>Segumiento y evaluación aplicabilidad Manual de  Calidad por  Secretaria Sectorial ( Seguimiento No. 2 )</t>
  </si>
  <si>
    <t>Informe final SIGA ahora MIPG</t>
  </si>
  <si>
    <t xml:space="preserve">Ajustes Paginas (Pagina web e Intranet) </t>
  </si>
  <si>
    <t xml:space="preserve">Capacitar a los funcionarios de la Administración departamental  en la operatividad del Sistema Integrado de la Gestión Administrativa  del Departamento del Quindio, con el fin de aumentar los indices de eficiencia y efiacia </t>
  </si>
  <si>
    <t>Segumiento y evaluación aplicabilidad Manual de  Calidad por  Secretaria Sectorial ( Seguimiento No. 3 )</t>
  </si>
  <si>
    <t xml:space="preserve">Implementar el Comité  de Planificación  Departamental   </t>
  </si>
  <si>
    <t>Comité de Planificación Departamental implementado</t>
  </si>
  <si>
    <t xml:space="preserve">0305 - 5 - 3 1 5 28 87 17 14 - 20
0305 - 5 - 3 1 5 28 87 17 14 - 88
</t>
  </si>
  <si>
    <t>201663000-0014</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</si>
  <si>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</si>
  <si>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2018 . 
</t>
  </si>
  <si>
    <t xml:space="preserve">Implementar el Comite Departamental de Planificación , con el fin de articular  procesos  que coadyuven al desarrollo economco y social del departamento del quindio de manera planificada durante la vigencia 2018 
</t>
  </si>
  <si>
    <t>Activar los comites de Planificación  descentralizados en los municipios del departamento mediante capacitaciones y talleres</t>
  </si>
  <si>
    <t>Martha Elena Giraldo Ramirez
Directora Técnica
Juan José Jaramillo Perez
Jefe Oficina de Proyecctos y Cooperación
Carlos Alberto Mendoza Parra
Jefe de Oficina de Desarrollo Territorial
Laura Steephanie Medina Hoyos
Asesora Secretaría Administrativa</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</si>
  <si>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</si>
  <si>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</si>
  <si>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2018</t>
  </si>
  <si>
    <t xml:space="preserve">Asistencia técnica, seguimiento y/o evaluación Planes Básicos de Ordenamiento Territorial  </t>
  </si>
  <si>
    <t xml:space="preserve">Transporte </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</si>
  <si>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</si>
  <si>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</si>
  <si>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Asistencia técnica, seguimiento y/o evaluación Ranking Integral de Desempeño, Identificación de inconsistencias del FUT, Evaluación de requisitos legales, viabilidad fiscal</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</si>
  <si>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</si>
  <si>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</si>
  <si>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Capacitación, asistencia técnica, seguimiento y/o evaluación instrumentos de planificación a los doce municipios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</si>
  <si>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</si>
  <si>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Asistencia técnica en la operatividad del Sistema de Selección de Beneficiarios SISBEN III en los doce municipios del Departamento del Quindío:  </t>
  </si>
  <si>
    <t xml:space="preserve">Implementar en doce (12) municipios del Departamento del Quindío procesos de  sensibilización, capacitación, asistencia técnica, seguimiento  y evaluación  en la aplicabilidad   de las políticas públicas </t>
  </si>
  <si>
    <t xml:space="preserve">Capacitación , Asistencia técnica, seguimiento y/o evaluación Politicas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</si>
  <si>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</si>
  <si>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</si>
  <si>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Capacitación , Asistencia técnica, seguimiento y/o evaluación Metodologia General Ajustada</t>
  </si>
  <si>
    <t xml:space="preserve">Realizar procesos  de asistencia técnica, seguimiento y evaluacion  en la incorporación  de  las directrices del  Modelo de Ocupación del Territorio de en los doce (12) Municipios </t>
  </si>
  <si>
    <t>Entes territoriales municipales asistidos</t>
  </si>
  <si>
    <t>Capacitación , Asistencia técnica, seguimiento y/o evaluación incorporación Modelo de Ocupación del territorio en los doce municipios</t>
  </si>
  <si>
    <t>JOSE IGNACIO ROJAS SEPULVEDA</t>
  </si>
  <si>
    <t xml:space="preserve">SECRETARIO DE PLANEACION DEPARTAMENTAL </t>
  </si>
  <si>
    <t xml:space="preserve">SEGUIMIENTO PLAN DE ACCIÓN 
 SECRETARIA DE SALUD
II TRIMESTRE  2019
</t>
  </si>
  <si>
    <t>Edad Económicamente Activa (20-59 años)</t>
  </si>
  <si>
    <t xml:space="preserve"> INCLUSION SOCIAL</t>
  </si>
  <si>
    <t>Soberanía, seguridad alimentaria y nutricional</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</si>
  <si>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</si>
  <si>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</si>
  <si>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No</t>
  </si>
  <si>
    <t>1803 - 5 - 3 1 3 11 35 2 132 - 61
1803 - 5 - 3 1 3 11 35 2 132 - 98</t>
  </si>
  <si>
    <t>201663000-0132</t>
  </si>
  <si>
    <t>Aprovechamiento biológico y consumo de  alimentos idoneos  en el Departamento del Quindio</t>
  </si>
  <si>
    <t xml:space="preserve">Disminuir o mantener la proporción de niños menores de 5 años en riesgo de desnutrición moderada o severa aguda
</t>
  </si>
  <si>
    <t xml:space="preserve">Fortalecer la estrategia que determine el número de brotes de enfermedades transmitidas por alimentos (ETA) 
</t>
  </si>
  <si>
    <t>Realizar acciones de Inspección, Vigilancia y Control de alimentos y Bebidas alcohólicas de consumo humano en el Departamento del Quindío.</t>
  </si>
  <si>
    <t>Fondo Local de Salud - SGP (61)
Superávit SGP Salud Pública (98)</t>
  </si>
  <si>
    <t>N/A</t>
  </si>
  <si>
    <t>61
98</t>
  </si>
  <si>
    <t>Nebio Jairo Londoño Buitrago</t>
  </si>
  <si>
    <t>Cesar Augusto Rincón Zuluaga
Secretario de Salud</t>
  </si>
  <si>
    <t>Divulgación de las políticas, normas y procedimientos, brindando la asesoría pertinente para promover el cumplimiento de la reglamentación con miras a la protección de la salud, en  programas institucionales.</t>
  </si>
  <si>
    <t>Actualización de censo de establecimientos de alimentos y bebidas para el 2018</t>
  </si>
  <si>
    <t>Articular acciones de informacion, educacion y comunicación, relacionada con la manipulacion adecuada de alimentos en  las actividades PIC 2018</t>
  </si>
  <si>
    <t>Realizar vigilancia sanitaria en establecmientos de alimentos, relacionados con enfermedades transmitidas por alimentos (ETA), en los muncipios de competencia del Departamento.</t>
  </si>
  <si>
    <t>Implementar sistema de informacion que permita programar y priorizar las accciones de Inspeccion, Vigilancia y Control con enfoque de reisgo en alimentos y bebidas.</t>
  </si>
  <si>
    <t>Articular con el laboratorio departamental de salud publica (LDSP) la programacion y ejecucion de la toma de muestras de alimetnos y bebidas.</t>
  </si>
  <si>
    <t xml:space="preserve">Ejecutar el plan decenal de lactancia materna </t>
  </si>
  <si>
    <t xml:space="preserve">Cumplir con  el tiempo de la practica de la lactancia Materna exclusiva
</t>
  </si>
  <si>
    <t>Realizar concertación intersectorial para la formulación de planes y proyectos que desarrollen el componente de seguridad alimentaria y nutricional de consumo y aprovechamiento biológico.</t>
  </si>
  <si>
    <t xml:space="preserve">Realizar acompañamiento a la promocion proteccion y apoyo de la lactancia materna en el marco de la celebracion de la semana muncial de la lactancia materna y del dia mundial de la alimentacion . </t>
  </si>
  <si>
    <t xml:space="preserve">Realizar acompañamiento al proceso de certificacion  de la estrategia IAMI en 11 IPS públicas del departamento. </t>
  </si>
  <si>
    <t>Realizar consolidacion del indicador de lactancia materna exclusiva año 2016-2019.</t>
  </si>
  <si>
    <t>Realizar capacitación a 11 municipios en alianza con la dimensión de salud en el ámbito laboral para la promoción, protección y apoyo de la lactancia materna.</t>
  </si>
  <si>
    <t>Fortalecer la atención integral  en seis (6) poblaciones vulnerables (etnias)  en menores de cinco años con casos de desnutrición</t>
  </si>
  <si>
    <t>Fortalecer la  atencion nutricional en poblaciones indigenas del departamento.</t>
  </si>
  <si>
    <t>Realizar seguimiento a casos de desnutrición, bajo peso al nacer y mortalidad por desnutrición notificados por el SIVIGILA con enfoque diferencial.</t>
  </si>
  <si>
    <t>Realizar búsqueda activa institucional y comunitaria de casos de desnutrición aguda en poblaciones etnias en el departamento.</t>
  </si>
  <si>
    <t>Realizar seguimiento a la implementación de la ruta de atención integral a la desnutrición en menores de 5 años en poblaciones vulnerables etnias del departamento.</t>
  </si>
  <si>
    <t>Realizar vigilancia en establecmientos educativos en el marco del programa de alimentacion escolar PAE y en poblaciones vulnerables.</t>
  </si>
  <si>
    <t>Realizar seguimiento a la implementacion de la Resolucion 5406/2015 y 2465/2016.</t>
  </si>
  <si>
    <t>Realizar acompañamiento en la implementacion en guías alimentarias basadas en alimentos y estilos de vida saludable.</t>
  </si>
  <si>
    <t>Realizar capacitación en guías alimentarias basadas en alimentos y estilos de vida saludable.</t>
  </si>
  <si>
    <t>Salud Pública para un Quindío saludable y posible</t>
  </si>
  <si>
    <t>Salud ambiental</t>
  </si>
  <si>
    <t>Formular, aprobar y divulgar  la Política Integral de Salud Ambiental (PISA)</t>
  </si>
  <si>
    <t>1803 - 5 - 3 1 3 12 36 2 133 - 61
1803 - 5 - 3 1 3 12 36 2 133 - 98</t>
  </si>
  <si>
    <t>201663000-0133</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</si>
  <si>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</si>
  <si>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</si>
  <si>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t>
  </si>
  <si>
    <t>Realizar actividades de caracterización y educación sanitaria y ambiental en el marco de la implementacion de la estrategia entornos saludables, en los entornos de viviendas, educativos y comunitarios con el abordaje integral de las políticas, normas y procedimientos relacionados con la prevencion vigilancia y control de factores de riesgo de la salud</t>
  </si>
  <si>
    <t>Fondo Local de Salud - SGP  (61)
Superavit SGP Salud Pública (98)</t>
  </si>
  <si>
    <t>Nebio Jairo Londoño Buitraago</t>
  </si>
  <si>
    <t xml:space="preserve">Generar los mapas de riesgo y vigilancia de la calidad de agua para consumo humano en  los doce (12) municipios del departamento </t>
  </si>
  <si>
    <t>Fortalecer la gestion intersectorial en el cumplimiento de la normatividad relacionada con la elaboracion de mapas de riesgo</t>
  </si>
  <si>
    <t>Generar  espacios  intersectoriales  para  la  construccion y actualizacion de los mapas de riesgo de calidad de agua de consumo humano  deacuerdo a la Resolución 4716 de 2010)</t>
  </si>
  <si>
    <t>Mantener  en 11 municipios de competencia departamental la vigilancia en los sistemas de potabilizacion, mediante la  de la aplicación de buenas practicas sanitarias y reporte de muestras de agua potable.</t>
  </si>
  <si>
    <t>Realizar analisis de la persistencia y aparicion de factores de riesgo en las fuentes abastecedoras con el fin de generar la actualizacion anual de los mapas de riesgo de calidad de agua para consumo humano</t>
  </si>
  <si>
    <t>Sexualidad, derechos sexuales y reproductivos</t>
  </si>
  <si>
    <t>Lograr que ocho (8) municipios del departamento operen el sistema de vigilancia en salud pública de la violencia intrafamiliar.</t>
  </si>
  <si>
    <t>1803 - 5 - 3 1 3 12 37 2 134 - 61
1803 - 5 - 3 1 3 12 37 2 134 - 98</t>
  </si>
  <si>
    <t>201663000-0134</t>
  </si>
  <si>
    <t>Fortalecimiento de acciones de intervención inherentes a los derechos sexuales y reproductivos  en el Departamento del Quindio.</t>
  </si>
  <si>
    <t xml:space="preserve"> Disminuir de los eventos de interés en salud pública relacionados con la salud sexual y reproductiva en especial de la mortalidad materna  </t>
  </si>
  <si>
    <t xml:space="preserve">Garantizar la  atención integral a la población en salud sexual y reproductiva </t>
  </si>
  <si>
    <t xml:space="preserve">Desarrollar acciones de fortalecimiento de capacidades del talento humano protección y justicia en la estrategia de abordaje integral de las violencias de género y violencias sexuales y normatividad vigente. </t>
  </si>
  <si>
    <t>Fondo Local de Salud - SGP (61)
Superávit  Fondo Local de Salud - SGP (98)</t>
  </si>
  <si>
    <t>N/a</t>
  </si>
  <si>
    <t>Realizar asistencia técnica y evaluación a la gestión del riesgo en salud de las EAPB y ESE en el abordaje integral de las violencias de género y violencias sexuales.</t>
  </si>
  <si>
    <t>Analizar trimestralmente el comportamiento del evento de violencias sexuales, identificar hallazgos frente a las barreras en la calidad de la atención y retroalimentar al área de inspección, vigilancia y control los hallazgos frente a las demoras de acuerdo a los análisis individuales de los casos.</t>
  </si>
  <si>
    <t>Desarrollar y realizar seguimiento al plan de acción del Comité Departamental consultivo  intersectorial e interinstitucional para el abordaje integral de las violencias de género y violencias sexuales en niños, niñas y adolescentes (Resolución 587 del 14 agosto del 2018)</t>
  </si>
  <si>
    <t>Desarrollar acciones de fortalecimiento de capacidades del talento humano, en la estrategia de acceso universal a la prevención y atención integral en IT-VIH/SIDA.</t>
  </si>
  <si>
    <t>Realizar asistencia técnica y evaluación a la gestión del riesgo en salud de las EAPB, ESE y Programas regulares en la estrategia de acceso universal a la prevención y atención integral en IT-VIH/SIDA.</t>
  </si>
  <si>
    <t>Analizar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</si>
  <si>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Realizar seguimiento a las IPS y centros de atención en la  gestión del riesgo en salud a personas que se inyectan drogas, en la estrategia de acceso universal a la prevención y atención integral en IT-VIH/SIDA.</t>
  </si>
  <si>
    <t>Desarrollar acciones encaminadas a dar respuesta al plan nacional de actividades colaborativas TB/VIH involucrando todos los actores del SGSSS y la sociedad civil.</t>
  </si>
  <si>
    <t>Vincular cuatro mil ochocientos (4.800) mujeres gestantes al programa de control prenatal antes de la semana 12 de edad gestacional.</t>
  </si>
  <si>
    <t>Implementar programa del  control prenatal antes de la semana 12 de la edad gestacional</t>
  </si>
  <si>
    <t>Realizar seguimiento a los embarazos de alto riesgo  detectados en todo el departamento del Quindío para que se garantice desde las EAPB la intervención del riesgo en salud.</t>
  </si>
  <si>
    <t>Realizar diagnóstico de la situación de embarazos en adolescente en edades entre 10 - 19 años, en el departamento del Quindío.</t>
  </si>
  <si>
    <t xml:space="preserve">Realizar asistencia técnica a EPS  e IPS en el programa de consulta preconcepcional con calidad, basada en educación en salud, para todas la parejas potencialmente fértiles, que asegure un recién nacido sano. </t>
  </si>
  <si>
    <t>Realizar  búsqueda activa institucional y comunitaria  de mujeres embarazadas a través de las IPS, EPS y líderes comunitarios en todo el departamento del Quindío.</t>
  </si>
  <si>
    <t>Establecer acuerdos con IPS y EAPB que aseguren la captación temprana de la gestante antes de la semana 12, a través de las acciones de promoción de la salud e identificación del riesgo.</t>
  </si>
  <si>
    <t xml:space="preserve">Capacitar a las redes sociales y comunitarias en la identificación del riesgo colectivo de las gestantes y en la captación temprana - PIC.  </t>
  </si>
  <si>
    <t xml:space="preserve">Realizar seguimiento y control a la aplicación del TSH neonatal  por parte de los aseguradores y prestadores a todos los recién nacidos institucionalizados y no institucionalizados en el departamento. </t>
  </si>
  <si>
    <t xml:space="preserve">Realizar asistencia técnica y seguimiento EPS  e IPS, en protocolos de atención del evento de sífilis gestacional y congénita y otras infecciones en las gestantes. </t>
  </si>
  <si>
    <t>Adaptar y realizar la verificación en la aplicación de la ruta de atención  integral, en la población gestante del departamento del Quindío</t>
  </si>
  <si>
    <t>Desarrollar y realizar seguimiento al plan de acción del comité departamental de maternidad segura. (Resolución 533 del 02 junio del 2015)</t>
  </si>
  <si>
    <t>Canalizar acciones de promoción de la salud en el desarrollo de la política Nacional de sexualidad, derechos sexuales y reproductivos</t>
  </si>
  <si>
    <t>Desarrollar acciones de fortalecimiento de capacidades del talento humano, en la Estrategia Nacional de Servicios de Salud Amigables para Adolescentes y Jóvenes, rutas de atención diferenciada, redes sociales, comunitarias y veedurías juveniles.</t>
  </si>
  <si>
    <t xml:space="preserve">Realizar asistencia técnica y evaluación a las ESE de primer nivel en la Estrategia Nacional de Servicios de Salud Amigables para Adolescentes y Jóvenes, rutas de atención diferenciada, redes sociales, comunitarias y veedurías juveniles. </t>
  </si>
  <si>
    <t>Desarrollar y realizar seguimiento al plan de acción del comité departamental de sexualidad, derechos sexuales y reproductivos. (Resolución 533 del 02 junio del 2015)</t>
  </si>
  <si>
    <t>Realizar asistencia técnica y evaluación a las 12 Secretarias de salud municipales en la Dimensión de sexualidad, derechos sexuales y reproductivos.</t>
  </si>
  <si>
    <t>Desarrollar y realizar seguimiento al  Plan de acción del subcomité departamental de promoción y prevención de las ITS-VIH/SIDA (Resolución 533 del 02 junio del 2015)</t>
  </si>
  <si>
    <t>Convivencia social y salud mental</t>
  </si>
  <si>
    <t>Ajustar e implementar  la política de salud mental en los 12 municipios del Departamento, conforme a los lineamientos y desarrollos técnicos definidos por el Ministerio de Salud y Protección Social.</t>
  </si>
  <si>
    <t>1803 - 5 - 3 1 3 12 38 2 135 - 61
1803 - 5 - 3 1 3 12 38 2 135 - 98</t>
  </si>
  <si>
    <t>201663000-0135</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</si>
  <si>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</si>
  <si>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</si>
  <si>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t>
  </si>
  <si>
    <t>Asistencia técnica a la Universidad del Quindío en la implementación de las zonas de orientación universitaria y el modelo de inclusión social.</t>
  </si>
  <si>
    <t>Definición de líneas operativas y prioridades a seguir para el plan de intervenciones colectivas, bajo lineamientos del plan de salud territorial, de la dimensión de convivencia social y salud mental.</t>
  </si>
  <si>
    <t>Formación y capacitación al personal de las IPS, EPS, Planes locales de Salud y entidades que desarrollan acciones encaminadas a la atención de la salud mental con énfasis en MH - GAP y estrategia treanet</t>
  </si>
  <si>
    <t>Realizar el III seminario de actualización en investigación, prevención y atención de la conducta suicida, en el marco de la formulación de la Política en Salud Mental</t>
  </si>
  <si>
    <t>Realizar mesas de trabajo con la sociedad civil, EPS, Médicos especialistas en psiquiatría, para la implementación de los protocolos atención del espectro autista, así como la socialización de las guías de atención en depresión, consumo de alcohol, esquizofrenia.</t>
  </si>
  <si>
    <t>Realizar mesas de trabajo  EPS,  para la socialización de las guías de atención en salud mental y spa, coberturas en salud mental (ley 1438 del 2011, resolución 5592 del 2015, ley 1616 del 2013, ley 1566 del 2012, rutas de atención, política actual de drogas y atención integral a víctimas de violencia) entre otros.</t>
  </si>
  <si>
    <t>Realizar monitoreo y seguimiento a los casos notificados en el SIVIGILA en los eventos de interés  en salud pública y de competencia directa de la Dimensión de convivencia social y salud mental.</t>
  </si>
  <si>
    <t>Realizar acompañamiento a la mesa de trabajo del programa de habitante de calle, para la formulación de la política pública según ley 1641 del 2013.</t>
  </si>
  <si>
    <t>Realizar mesas de coordinación, organización y operativización del comité departamental de reducción del consumo de sustancias psicoactivas - ordenanza 051 del 2010 y apoyo  técnico a la secretaria del interior en el consejo seccional de estupefaciente</t>
  </si>
  <si>
    <t>Adoptar e implementar el modelo de Atención primaria en Salud Mental (APS) en todos los municipios Quindiano</t>
  </si>
  <si>
    <t>Establecer lineamientos de planificación en la Atención primaria en Salud Mental (APS) en todos los municipios Quindiano</t>
  </si>
  <si>
    <t>Realizar asistencia técnica a la universidad del Quindío en la implementación de las zonas de orientación universitaria y el modelo de inclusión social.</t>
  </si>
  <si>
    <t>Realizar formación y capacitación a orientadores escolares del departamento del Quindío, en normatividad actual, rutas de atención y protocolos de vigilancia en la Dimensión de Convivencia Social y Salud Mental.</t>
  </si>
  <si>
    <t>Realizar formación y capacitación a las familias y cuidadores de personas diagnosticadas con esquizofrenia en conjunto con la Asociación Colombiana de Esquizofrenia</t>
  </si>
  <si>
    <t>Brindar asesoría, asistencia técnica y realizar acciones de vigilancia y monitoreo  a los entes municipales en la línea  de convivencia social y salud mental (violencia, conducta suicida, entre otros)</t>
  </si>
  <si>
    <t>Realizar mesas de trabajo de asesoría y asistencia técnica  con  EPS, en normatividad vigente en salud mental, convivencia social, rutas de atención y seguimiento a casos</t>
  </si>
  <si>
    <t>Adoptar  e implementar en los doce (12) municipios el plan departamental de la reducción del consumo de sustancias psicoactivas SPA conforme a lineamientos y desarrollos técnicos entorno a la demanda</t>
  </si>
  <si>
    <t>Articular las políticas públicas de reducción de la oferta y reducción de la demanda de sustancias psicoactivas licitas e ilícitas.</t>
  </si>
  <si>
    <t>Brindar asesoría, asistencia técnica y realizar acciones de vigilancia y monitoreo a las instituciones que cuentan con programas ambulatorios de mantenimiento con método de baja y mediana complejidad, en el departamento del Quindío.</t>
  </si>
  <si>
    <t>Asistencia técnica y  seguimiento a la notificación del sistema único de indicadores de centros de atención a la drogadicción (SUICAD).</t>
  </si>
  <si>
    <t>Mesas de trabajo con usuarios y sus familias de los diferentes programas de sustitución con metadona.</t>
  </si>
  <si>
    <t>Coordinación y organización de las mesas técnicas intersectoriales para los ajustes y adaptación del Plan Nacional Para la Promoción de la Salud, la Prevención, y la Atención del Consumo de Sustancias Psicoactivas 2014 - 2021.</t>
  </si>
  <si>
    <t>Formación y capacitación al personal de las IPS, EPS, Planes locales de Salud y entidades que desarrollan acciones encaminadas a la implementación del modelo de inclusión social de base comunitaria (zonas de orientación universitaria y centros de escucha), primer ciclo de formación en atención primaria en salud mental y spa.</t>
  </si>
  <si>
    <t>Estilos de vida saludable y condiciones no-transmisibles</t>
  </si>
  <si>
    <t>Implementar la estrategia  denominada "Cuatro por cuatro" para la promoción de la alimentación saludable</t>
  </si>
  <si>
    <t>1803 - 5 - 3 1 3 12 39 2 138 - 61
1803 - 5 - 3 1 3 12 39 2 138 - 96</t>
  </si>
  <si>
    <t>201663000-0138</t>
  </si>
  <si>
    <t xml:space="preserve">Control y vigilancia en las acciones de condiciones no transmisibles y promoción de estilos de vida saludable en el Quindio  </t>
  </si>
  <si>
    <t>Disminuir la carga de la enfermedad asociada a las enfermedades crónicas no trasmisibles</t>
  </si>
  <si>
    <t xml:space="preserve"> Realizar campañas  de promoción y prevención que orienten la adopción de estilos de vida saludable</t>
  </si>
  <si>
    <t>Desarrollar acciones de  promoción de la salud en Enfermedades Crónicas No Transmisibles (cardiovasculares, diabetes, epoc, salud visual, auditiva y comunicativa) y gestión del riesgo (cáncer de mama, cuello, infantil y enfermededades huérfanas raras, exposición a flúor)con los diferentes grupos poblacionales y los diferentes contextos (PIC)</t>
  </si>
  <si>
    <t>Fondo Local de Salud - SGP</t>
  </si>
  <si>
    <t>Nebio Jairo Londoño Buritica</t>
  </si>
  <si>
    <t>Asistir en la implementación de actividades para la promoción de modos, condiciones y estilos de vida saludable, relacionadas con las enfermedades no transmisibles en el entorno escolar y realizar el respectivo seguimiento.</t>
  </si>
  <si>
    <t>Superavit SGP Salud Publica</t>
  </si>
  <si>
    <t>Brindar asistencia técnica y evaluar en 20 instituciones educativas la implementación de  la estrategia Tiendas escolares Saludables de 11 municipios de competencia departamental y hacer el respectivo seguimiento.</t>
  </si>
  <si>
    <t>Realizar asistencia técnica a los Planes Locales de Salud en la gestión intersectorial para la promoción de estilos de vida saludables (alimentación saludable, actividad física, alcohol y cigarrillo) en los diferentes entornos educativo, laboral y comunitario.</t>
  </si>
  <si>
    <t>Implementar una estrategia de ambientes libres de humo de tabaco en los  municipios.</t>
  </si>
  <si>
    <t>Articular estrategias interinstitucionales que garanticen la integralidad en la atención de los usuarios</t>
  </si>
  <si>
    <t>Verificar el nivel de cumplimiento  de la ley 1335 de 2009 enfocada en espacios libres de humo (no consumo o exposición al tabaco y sus derivados) en  11 instituciones educativas de competencia departamental.</t>
  </si>
  <si>
    <t>Realizar asistencia técnica y seguimiento a la red de prestadores y aseguradores del departamento, en la  implementación de guías de atención y tamizajes de las enfermedades no transmisibles especialmente en prestadores de primer nivel de atención, bajo la estrategia de APS.</t>
  </si>
  <si>
    <t xml:space="preserve">Ejecutar el plan de intervención de la exposición a flúor en el departamento de acuerdo a los riesgos identificados en la fase IV. </t>
  </si>
  <si>
    <t xml:space="preserve">Realizar el análisis trimestral de los resultados obtenidos en la Búsqueda Activa Institucional, generar planes de mejoramiento y seguimiento a los  hallazgos encontrados a prestadores y aseguradores y realizar su respectivo reporte a nivel nacional. </t>
  </si>
  <si>
    <t>Implementar una estrategia para mantener la edad de inicio de consumo de tabaco en los adolescentes escolarizados.</t>
  </si>
  <si>
    <t>Adoptar guías y protocolos de atención de las enfermedades crónicas no transmisibles por parte de las EPS e IPS</t>
  </si>
  <si>
    <t>Fortalecer con la instancia intersectorial las acciones de intervención orientadas a la disminución de riesgo de consumo de tabaco en toda la comunidad educativa, incluidos los padres de familia.</t>
  </si>
  <si>
    <t xml:space="preserve">Aportar las evidencias que permitan la identificación en la gestión del riesgo en la oportunidad del tratamiento del paciente como complemento en la realización de unidades de análisis de las muertes de interés en salud pública convocadas por Sivigila, verificando adherencia a la metodología "ruta de la vida camino a la supervivencia", generación de planes de mejoramiento e informe de proceso de seguimiento. </t>
  </si>
  <si>
    <t>Realizar asistencia técnica, seguimiento y monitoreo a la gestión del riesgo en salud de los administradores y prestadores en el abordaje integral de la dimensión de vida saludable y condiciones no transmisibles, para realizar acuerdos con las EPS e IPS y definir planes de acción.</t>
  </si>
  <si>
    <t>Vida saludable y enfermedades transmisibles</t>
  </si>
  <si>
    <t xml:space="preserve">Diseñar y desarrollar planes y/o programas en los doce (12) entes territoriales municipales de promoción y prevención de las enfermedades transmitidas por agua, suelo y alimentos </t>
  </si>
  <si>
    <t>1803 - 5 - 3 1 3 12 40 2 139 - 61
0318 - 5 - 3 1 3 12 40 2 139 - 20
1803 - 5 - 3 1 3 12 40 2 139 - 161</t>
  </si>
  <si>
    <t>201663000-0139</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</si>
  <si>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</si>
  <si>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</si>
  <si>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t>
  </si>
  <si>
    <t>Realizar la caracterización de las condiciones sanitarias de las familias de la zona rural en condiciones de vulnerabilidad de los 11 municipios del departamento del Quindío.</t>
  </si>
  <si>
    <t xml:space="preserve">Fondo Local de Salud - SGP (61)
Superávit Resoluciones Vigencias Anteriores (161)
</t>
  </si>
  <si>
    <t>20
61
161</t>
  </si>
  <si>
    <t xml:space="preserve">Ejecutar conjuntamente con el equipo de Salud Ambiental, las intervenciones concernientes a la promoción de prácticas claves de la estrategia AIEPI comunitario en entornos saludables (vivienda y escuela). </t>
  </si>
  <si>
    <t>Realizar el monitoreo y evaluación de las acciones de gestión del riesgo, adherencia a guías y protocolos de enfermedades transmitidas por agua, suelo y alimentos, con las EAPB y ESES del Departamento.</t>
  </si>
  <si>
    <t>Realizar mesas técnicas para el análisis, evaluación y seguimiento de las acciones de prevención de enfermedades transmitidas por agua, suelo y alimentos, con vigilancia en salud pública.</t>
  </si>
  <si>
    <t>Implementar una estrategia que permita garantizar el adecuado funcionamiento de la red de frío para el almacenamiento  de los biológicos del Programa ampliado de inmunización (PAI).</t>
  </si>
  <si>
    <t xml:space="preserve">Fortalecimiento de los protocolos para la prevenciÓn y control de las enfermedades transmisibles
</t>
  </si>
  <si>
    <t>Realizar el abastecimiento permanente de las vacunas e insumos del PAI, según los lineamientos del programa ampliado de inmunizaciones.</t>
  </si>
  <si>
    <t xml:space="preserve">Recurso Ordinario (20)_x000D_
</t>
  </si>
  <si>
    <t>Realizar asistencia técnica a los municipios para asegurar el correcto almacenamiento, conservación y transporte de vacunas, bajo los estándares de calidad de la cadena de frio.</t>
  </si>
  <si>
    <t>Consolidar el registro de la información reportada sobre dosis aplicadas en el sistema de información nominal de las instituciones que brindan atención a la población menor de 5 años CDI en el departamento.</t>
  </si>
  <si>
    <t>Realizar la consolidación de la información generada por el programa ampliado de inmunizaciones, para reporte al MSPS con oportunidad, calidad e integralidad según el sistema de información nominal PAIWEB.</t>
  </si>
  <si>
    <t>Implementar  la estrategia de gestión integral-enfermedades de transmisión vectorial (EGI ETV) en los 5 municipios hiperendémicos para enfermedades de transmisión vectorial</t>
  </si>
  <si>
    <t>1803 - 5 - 3 1 3 12 40 2 141 - 111
1803 - 5 - 3 1 3 12 40 2 141 - 61
1803 - 5 - 3 1 3 12 40 2 141 - 20
1803 - 5 - 3 1 3 12 40 2 141 - 107
1803 - 5 - 3 1 3 12 40 2 141 - 147</t>
  </si>
  <si>
    <t>201663000-0141</t>
  </si>
  <si>
    <t xml:space="preserve">Fortalecimiento de estrategia de gestión integral, vectores, cambio climático y zoonosis en el Departamento  del Quindio </t>
  </si>
  <si>
    <t xml:space="preserve">Disminuir el indice de enfermedades trasmision vectorial y zoonosis en la poblacion  
</t>
  </si>
  <si>
    <t xml:space="preserve">Implementar estrategiaspara  la gestión integral para enfermedades de transmisión vectorial (EGI ETV) </t>
  </si>
  <si>
    <t>Realizar inspección vigilancia y control de focos de reproducción de vectores (dengue, Chikunguña y zika) en los 11 municipios de competencia Departamental.</t>
  </si>
  <si>
    <t>Res. 781/15 Prev. y control enfermedades por Vect</t>
  </si>
  <si>
    <t>111
61
20
107
147</t>
  </si>
  <si>
    <t>Superavit Res. 781/15 Prev. y control enfermedades por Vect</t>
  </si>
  <si>
    <t>Superavit Res. 2311/2017 MSPS -Vectores </t>
  </si>
  <si>
    <t>Analizar mensualmente el comportamiento de los eventos de ETV y zoonosis y retroalimentar al área de IVC para garantizar la calidad en la atención de los casos reportados.</t>
  </si>
  <si>
    <t>Atender el 100% de los brotes y contingencias por ETV y Zoonosis en los municipios de categoría 4, 5 y 6 del Departamento del Quindío.</t>
  </si>
  <si>
    <t>Realizar asistencia técnica a los equipos a los equipos de los planes locales de salud en los cuatro municipios hiperendémicos para la adopción, adaptación y  desarrollo de la EGI- ETV y ZOONOSIS.</t>
  </si>
  <si>
    <t>Realizar jornadas de movilización y participación  social y comunitaria para generar cambios conductuales frente a  la eliminación de criaderos de vectores Dengue, Chikunguña y Zika mediante la estrategia COMBI en los municipios hiperendémicos.</t>
  </si>
  <si>
    <t>Realizar el monitoreo y evaluación a las acciones de gestión del riesgo, adherencia a guías y protocolos en las EAPB y Empresas Sociales del Estado que conduzcan a mejorar la calidad en la atención integral de pacientes con ETV y Zoonosis.</t>
  </si>
  <si>
    <t xml:space="preserve">Implementar la estrategia  para ampliar coberturas útiles de vacunación antirrábica en animales (perros y gatos). </t>
  </si>
  <si>
    <t xml:space="preserve"> Fortalecer acciones para aumentar coberturas útiles de vacunación antirrábica en animales (perros y gatos). 
</t>
  </si>
  <si>
    <t>Estimar la población de perros y gatos en las áreas urbana y rural en el 100% de los municipios de categoría 4, 5 y 6 del departamento del Quindío.</t>
  </si>
  <si>
    <t xml:space="preserve">Promover a nivel comunitario la tenencia responsable de animales de compañía y la promoción de la vacunación antirrábica. </t>
  </si>
  <si>
    <t>Realizar coordinación intersectorial en el marco del Consejo Territorial de Zoonosis.</t>
  </si>
  <si>
    <t>Realizar vacunación regular de perros y gatos a nivel urbano y rural en los 11 municipios de categoría 4, 5 y 6 del Departamento del Quindío.</t>
  </si>
  <si>
    <t>Implementar el plan estratégico hacia el fin de la tuberculosis</t>
  </si>
  <si>
    <t>201663000-0142</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</si>
  <si>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</si>
  <si>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</si>
  <si>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 xml:space="preserve"> Fortalecimiento de las capacidades del recurso humano</t>
  </si>
  <si>
    <t>Brindar asistencia técnica y seguimiento al programa de tuberculosis y lepra dirigida a: Planes Locales de Salud, Ips publicas y Privadas, EAPB, laboratorios adscritos a la red publica y privada de los 12 municipios del departamento.</t>
  </si>
  <si>
    <t>61
114
113
98</t>
  </si>
  <si>
    <t>Realizar capacitaciones al personal asistencial de las IPS en el programa de tuberculosis y lepra en el departamento.</t>
  </si>
  <si>
    <t>1803 - 5 - 3 1 3 12 40 2 142 - 113</t>
  </si>
  <si>
    <t>Realizar el análisis e intervención a los casos especiales de farmacorresistencia del programa de tuberculosis. " CERCET" Comite Evaluador  Regional de Casos Especiales de Tuberculosis.</t>
  </si>
  <si>
    <t>Fondo Local de Salud - SGP SALUD PÚBLICA (61)</t>
  </si>
  <si>
    <t>1803 - 5 - 3 1 3 12 40 2 142 - 114</t>
  </si>
  <si>
    <t>Acompañar la vigilancia de cumplimiento a guías, lineamientos y protocolos  en tuberculosis y lepra</t>
  </si>
  <si>
    <t>1803 - 5 - 3 1 3 12 40 2 142 - 61</t>
  </si>
  <si>
    <t>Coordinar acciones para la gestión intersectorial</t>
  </si>
  <si>
    <t>Realizar mesas técnicas para la gestión del compromiso político, en la protección social y sistemas de apoyo de pacientes con tuberculosis y lepra.</t>
  </si>
  <si>
    <t>Aportes Nacion lepra (114)</t>
  </si>
  <si>
    <t>1803 - 5 - 3 1 3 12 40 2 142 - 98</t>
  </si>
  <si>
    <t>hacer seguimiento a la implementacion y ejecucion de  los nuevos planes estratégicos de tuberculosis y lepra en los 12 municipios.</t>
  </si>
  <si>
    <t>Realizar campañas de prevención y atención integral en afectados por tuberculosis</t>
  </si>
  <si>
    <t>realizar capacitaciónes dirigida a personas líderes,   para ser formadas como agentes comunitarios TB/VIH,</t>
  </si>
  <si>
    <t>APORTES NACION TUBERCULOSIS (113)</t>
  </si>
  <si>
    <t>Gestión de la prestación de los servicios en prevención y atención integral centrada en los afectados por tuberculosis y lepra. (rondas medicas, visita a pacientes).</t>
  </si>
  <si>
    <t>Superavit SGP SAlud Pública (98)</t>
  </si>
  <si>
    <t>Realizar actividades de promoción y prevención implementadas para la comunidad y grupos focalizados en tuberculosis y lepra en los 12 municipios del departamento. ( rondas medicas, busqueda de sintomaticos respiratorios y de piel, movilizaciones, talleres, sensibilizaciones , etc)</t>
  </si>
  <si>
    <t>Salud publica en emergencias y desastres</t>
  </si>
  <si>
    <t>Realizar catorce (14) simulacros de atención a emergencias en la Red Pública Hospitalaria</t>
  </si>
  <si>
    <t>1803 - 5 - 3 1 3 12 41 2 143 - 61
1803 - 5 - 3 1 3 12 41 2 143 - 98</t>
  </si>
  <si>
    <t>201663000-0143</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</si>
  <si>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</si>
  <si>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</si>
  <si>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t>
  </si>
  <si>
    <t>Realizar estudios tecnicos para realizar 14 simulcros de atencion a emergencias en la red hospitalaria.</t>
  </si>
  <si>
    <t>SGP Salud Pública</t>
  </si>
  <si>
    <t>Superavit SGP Salud Pública</t>
  </si>
  <si>
    <t xml:space="preserve">Realizar asistencia técnica en la construcción y ejecución del plan bienal de inversiones, a once (11) Empresas sociales del estado (ESE) del departamento. </t>
  </si>
  <si>
    <t>Realizar 11 visitas de verificacion de aplicación protocolos y planes de emergecia hospitalaria a las eses publicas del departamento</t>
  </si>
  <si>
    <t>Mejorar el índice de seguridad hospitalaria en once (11) empresas sociales del estado (ESE) del departamento del nivel  I y II.</t>
  </si>
  <si>
    <t xml:space="preserve">Operar el Plan de Emergencias en Salud en el Departamento </t>
  </si>
  <si>
    <t xml:space="preserve">Actualizar y mantener la red de comunicaciones  para  situaciones de emergencias y desastres de la red hospitalaria y de la secretaria departamental de salud </t>
  </si>
  <si>
    <t xml:space="preserve">Actualizar, socializar e implementar  el plan integral  de emergencias de la secretaria de salud departamental. </t>
  </si>
  <si>
    <t>Capacitar a los hospitales para la integracion de los planes de emergencia hospitalaria con el plan de emergencia de  secretaria de salud.</t>
  </si>
  <si>
    <t>Fortalecer las capacidades tecnicas del CRUE departamental, en la regulacion de la referencia y contrarreferencia, implementando los lineamientos Rutas Integrales de Atencion en Salud.</t>
  </si>
  <si>
    <t>Salud en el entorno laboral</t>
  </si>
  <si>
    <t>Fomentar en 8 municipios un programa de cultura preventiva en el trabajo formal e informal y entornos laborales saludables.</t>
  </si>
  <si>
    <t>1803 - 5 - 3 1 3 12 42 2 145 - 61</t>
  </si>
  <si>
    <t>201663000-0145</t>
  </si>
  <si>
    <t>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</si>
  <si>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</si>
  <si>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t>
  </si>
  <si>
    <t>Capacitar en prevención de riesgos laborales a las empresas del Sector económico con más alto índice de accidentalidad.</t>
  </si>
  <si>
    <t xml:space="preserve">Realizar la Identificación y caracterización de las mujeres trabajadoras del sector agrícola informal de los municipios  de Calarcá, Montenegro, Quimbaya, La Tebaida, Circasia, Salento, Filandia y Montenegro. </t>
  </si>
  <si>
    <t xml:space="preserve">Capacitar a las mujeres trabajadoras del sector agrícola de los municipios de Calarcá, Montenegro, Quimbaya, La Tebaida, Circasia, Salento, Filandia y Montenegro en derechos y deberes relacionados en el SGRL.   </t>
  </si>
  <si>
    <t>Formular el plan de acción para la prevención de trabajo infantil en el departamento del Quindío, en el marco del Comité Departamentales para la prevención y erradicación de trabajo infantil - CIETI.</t>
  </si>
  <si>
    <t>Identificar y caracterizar la población trabajadora en condición de informalidad con énfasis en el menor trabajador en los 11 municipios del departamento.</t>
  </si>
  <si>
    <t xml:space="preserve">Realizar una jornada Educativa con relación a Riesgos laborales a los empleadores del Dpto. </t>
  </si>
  <si>
    <t>Implementación en las 14 empresas sociales del estado (ESE) departamentales y de primer nivel, el Sistema de Gestión de la Seguridad y Salud en el Trabajo</t>
  </si>
  <si>
    <t xml:space="preserve">Implementar controles de cumplimiento por parte de los empleadores en lo reglamentado en el Sistema general de Riesgos Laborales. </t>
  </si>
  <si>
    <t>Realizar asistencia técnica  a los prestadores de primer nivel, para verificar el cumplimiento del Sistema de Gestión de la Seguridad y Salud en el Trabajo.</t>
  </si>
  <si>
    <t>Realizar jornada de sensibilización a los Empleadores para fomentar la afiliación al SGRL a sus empleados conforme a ley 1562 del 2012 y decreto 1443  del 2015.</t>
  </si>
  <si>
    <t>Brindar asistencia técnica a las ARLs en el diseño del SG-SST,  capacitación a las brigadas de primeros auxilios, COPASST  o VIGIA y la promoción de estilos de vida y trabajo saludable a la población trabajadora de sus empresas usuarias.</t>
  </si>
  <si>
    <t xml:space="preserve">Expedir las licencias y asistencias técnicas en Seguridad y Salud en el Trabajo. </t>
  </si>
  <si>
    <t>Analizar los eventos de origen laboral graves y mortales reportados por el Comité Seccional de Seguridad y Salud en el trabajo.</t>
  </si>
  <si>
    <t>Fortalecimiento de la autoridad sanitaria</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</si>
  <si>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</si>
  <si>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</si>
  <si>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</si>
  <si>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</si>
  <si>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Aumentar la cobertura en acciones de inspeccion vigilancia y control</t>
  </si>
  <si>
    <t>Realizar vigilancia epidemiológica de plaguicidas en el marco del programa VEO con la toma de muestras de Acetilcolinesterasa en sangre a los individuos expuestos a plaguicidas  Organofosforados y Carbamatos.</t>
  </si>
  <si>
    <t>20
61
63
98
99</t>
  </si>
  <si>
    <t>Análisis y seguimiento al comportamiento de los eventos por intoxicaciones de sustancias químicas y enfermedad diarreica aguda (EDAS), generada por el Sistema de Vigilancia y fuentes externas. realizando  asistencia técnica  a los actores de vigilancia en salud publica  en el departamento.</t>
  </si>
  <si>
    <t>Superávit  - SGP Salud Pública</t>
  </si>
  <si>
    <t>Realizar seguimiento al proceso de gestion del riesgo indicvidual frente a las acciones de proteccion especifica y deteccion temprana desde el reporte del anexo tecnico de la resolucion 4505 de 2012 y el cumplimiento de la resolucion 3280 de 2018</t>
  </si>
  <si>
    <t>Implementar  una estrategia oportuna de atención a sujetos de atención,  objetos de procesos de  inspección, vigilancia y control sanitario</t>
  </si>
  <si>
    <t>1803 - 5 - 3 1 3 12 43 2 146 - 61</t>
  </si>
  <si>
    <t xml:space="preserve"> Articular los sistemas de vigilancia relacionados al control sanitario</t>
  </si>
  <si>
    <t xml:space="preserve">Realizar inspección vigilancia y control de las condiciones de seguridad,  higiénico sanitarias y ambientales a los objetos de interes comercial, tales que manejen sustancias químicas y residuos peligrosos con riesgo biologico, incluyendo los objetos de interes en saneamiento básico, </t>
  </si>
  <si>
    <t xml:space="preserve">Consolidar y desarrollar  el sistema de inspección vigilancia y control (SIVC)  en 150 establecimientos farmacéuticos del departamento. </t>
  </si>
  <si>
    <t>0318 - 5 - 3 1 3 12 43 2 146 - 20</t>
  </si>
  <si>
    <t>Realizar inspección  vigilancia y control para verificar las condiciones técnicas, higiénico sanitarias locativas y de calidad a los establecimientos farmacéuticos en los 12 municipios del departamento del Quindío.</t>
  </si>
  <si>
    <t>Fondo de EStupefacientes</t>
  </si>
  <si>
    <t xml:space="preserve">Suministrar medicamentos de control especial- monopolio del estado a los establecimientos farmacéuticos autorizados. </t>
  </si>
  <si>
    <t>0318 - 5 - 3 1 3 12 43 2 146 - 98</t>
  </si>
  <si>
    <t>Superávit Fondo de EStupefacientes</t>
  </si>
  <si>
    <t>Suministrar medicamentos de programas especiales a las IPS’s que lo requieran.</t>
  </si>
  <si>
    <t>0318 - 5 - 3 1 3 12 43 2 146 - 99</t>
  </si>
  <si>
    <t>Adquisición de mobiliario, equipos tecnológicos, de telecomunicación y computo del Fondo Rotatorio de Estupefacientes</t>
  </si>
  <si>
    <t>1803 - 5 - 3 1 3 12 43 2 146 - 63</t>
  </si>
  <si>
    <t>Realizar visitas a Establecimientos Farmacéuticos de acuerdo a los productos notificados por el Programa delegaciones INVIMA  en los 12 municipios del Departamento del Quindío.</t>
  </si>
  <si>
    <t>Análisis y seguimiento  al  comportamiento del evento de intoxicaciones por sustancias químicas  (Intoxicación por Fármacos)  de los casos notificadas al SIVIGILA  por las Unidades Notificadoras Municipal.</t>
  </si>
  <si>
    <t xml:space="preserve">Realizar educación en salud a través de las visitas domiciliarias PIC, en el manejo y uso adecuado de medicamentos en casa.  </t>
  </si>
  <si>
    <t xml:space="preserve">Publicar en la página de la gobernación un boletín con temas farmacéuticos, que  muestre la situación actual,  las intervenciones desarrolladas y las recomendaciones para la comunidad en general.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</si>
  <si>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</si>
  <si>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</si>
  <si>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 xml:space="preserve">
1803 - 5 - 3 1 3 12 44 2 148 - 61
1803 - 5 - 3 1 3 12 44 2 148 - 98
</t>
  </si>
  <si>
    <t>201663000-0148</t>
  </si>
  <si>
    <t>Implementación de programas de promoción social en poblaciones  especiales en el Departamento del Quindío.</t>
  </si>
  <si>
    <t>Fortalecer la gestión intersectorial en salud de los grupos con alta vulnerabilidad</t>
  </si>
  <si>
    <t>Garantizar el acceso en la prestación de los servicios de salud</t>
  </si>
  <si>
    <t>Realizar capacitaciones en el reconocimiento de la familia como un determinante del desarrollo infantil, reflejado  en el planteamiento y desarrollo de estrategias para promover  el cuidado y afecto familiar en el departamento del Quindío.</t>
  </si>
  <si>
    <t>Sensibilización  Prevención sobre el delito de trata de personas en los  municipios del Departamento,</t>
  </si>
  <si>
    <t>Realizar actividades de intercambio intergeneracional promiviendo el envejecimeinto activo en los 11 Municipios del Departamento (2 escuelas, e colegios Vs CBA)</t>
  </si>
  <si>
    <t>Brindar capacitacion  a la poblacion indigena en seguridad alimentaria, eliminacion de barreras en Salud.</t>
  </si>
  <si>
    <t>Capacitar a EPS IPS en la gararantia de la adecuacion de los servicios  de salud con perspectiva de genero, con atencion humanizada y de calidad de acuerdo cpn las diferentes necesidades de hombre mujeres según edad, pertenencia etnica, discapacidad orientacion sexual e identidad de genero y de acuerdo a los diferentes factores q generen o aumenten la vulnerabilidad.</t>
  </si>
  <si>
    <t>Brindar capacitaciones en Deberes y Derechos en Salud a las poblaciones vulnerables personas mayores, afrocolombianos, niños niñas y adolescentes, victimas del conflicto, poblacion LGTBI, poblacion en proceso de reinsercion, indigenas, personas con discapacidad, habitante de calle.</t>
  </si>
  <si>
    <t>Superávit SGP Salud Pública</t>
  </si>
  <si>
    <t>Implementar el  Programa de atención psicosocial y salud integral a víctimas del conflicto armado.</t>
  </si>
  <si>
    <t xml:space="preserve">Implementar programas de participación social que garanticen los derechos de los grupos vulnerables </t>
  </si>
  <si>
    <t>Realizar jornadas de oferta institucional en el punto de atención UAO Miraflores, para identificar y eliminar barreras de acceso en la prestación de servicios de salud de la población víctima.</t>
  </si>
  <si>
    <t>Realizar Asistencia técnica a los prestadores de salud e instituciones del Sistema Nacional de Atención y Reparación Integral a las Víctimas del conflicto armado (art 52 ley 1448/2011 ), para la promoción  y difusión de la ruta del Programa de Atención psicosocial y Salud Integral a víctimas del Conflicto Armado PAPSIVI .</t>
  </si>
  <si>
    <t>Realizar Asistencia al  Programa de Atención Psicosocial y Salud Integral a Víctimas PAPSIVI en los municipios objeto de atencion</t>
  </si>
  <si>
    <t>Realizar el cargue trimestral de la información sobre la atención psicosocial a las Victimas en el aplicativo del PAPSIVI.</t>
  </si>
  <si>
    <t>Activar la funcionalidad del Comité de Víctimas creado al interior de la Secretaria de Salud Departamental con una periodicidad bimensual para garantizar sus derechos y deberes en salud</t>
  </si>
  <si>
    <t>Hacer seguimiento a las acciones de salud desarrolladas desde los PLS para las Victimas del desplazamiento cobijadas por los Autos 092, 251, 004, 005, 006</t>
  </si>
  <si>
    <t>Realizar capacitaciones en deberes y derechos en salud a la ´poblacion Victima con enfoque diferencial.</t>
  </si>
  <si>
    <t>Apoyar el establecimiento  y coordinación  de  redes integradas  de servicios de información en  salud (acceso del sector salud a VIVANTO).</t>
  </si>
  <si>
    <t>Fortalecimiento de  la estrategia AIEPI en los 12 municipios del Departamento</t>
  </si>
  <si>
    <t>Consolidar los programas de atención a la primera infancia</t>
  </si>
  <si>
    <t>Realizar asistencia técnica, seguimiento, vigilancia y control del Programa Ampliado de Inmunizaciones en  los 12  Municipios  del departamento, con el fin de lograr coberturas útiles (95%).</t>
  </si>
  <si>
    <t>Realizar asistencia técnica, seguimiento, vigilancia y control del Programa de Prevención, Diágnostico, Manejo y Control de la Infección Respiratoria Aguda en los 12 municipios del departamento.</t>
  </si>
  <si>
    <t>Realizar articulacion con las EAPB, IPS y Planes Locales de Salud mediante mesas de trabajo para garantizar las intervenciones en salud de la Población Infantil del Departamento.</t>
  </si>
  <si>
    <t>Realizar asistencia técnica, seguimiento, vigilancia y control de la Estrategia de Atención a Enfermedades Prevalentes de La Infancia-AIEPI en  los 12  Municipios  del departamento.</t>
  </si>
  <si>
    <t>Realizar asistencia técnica, seguimiento, vigilancia y control de la Estrategia de Desparasitación Antihelmíntica Masiva en  los 12  Municipios  del departamento.</t>
  </si>
  <si>
    <t>Realizar la implementación de la Ruta de Promoción y Mantenimiento de la Salud  para el curso de vida de Primera Infancia en el departamento.</t>
  </si>
  <si>
    <t>Fortalecer en los doce (12) municipios del departamento los  comités municipales de discapacidad</t>
  </si>
  <si>
    <t>Fortalecer atención integral a poblaciones vulnerables</t>
  </si>
  <si>
    <t>Brindar capacitación en registro de localización y caracterización de personas con discapacidad en los 12 municipios.</t>
  </si>
  <si>
    <t>Brindar apoyo en el monitoreo de las metas del registro de localización y caracterización de personas con discapacidad en los 12 municipios.</t>
  </si>
  <si>
    <t>Realizar seguimiento a las EAPB para el cumplimiento de la Circular 016 del 2014 (exención de copagos y cuotas moderadoras) y la Circular 010 del 2015 (atención integral de salud para personas con discapacidad), resolucion 1904 (salud sexual y reproductiva PcD).</t>
  </si>
  <si>
    <t>Realizar jornadas de capacitación en normatividad vigente en torno a la población con discapacidad.</t>
  </si>
  <si>
    <t>realizar seguimiento  La EAPB, para la implementacion y cumplimiento de la Resolucion 583 de 2018, certificacion de Discapacidad</t>
  </si>
  <si>
    <t>Fortalecimiento de liderres comunitarios en la estrategia de Rehabilitacion Basada en la Comunidad en los municipios del Departamento del Quindio</t>
  </si>
  <si>
    <t xml:space="preserve">brindar asistencia tecnica para el fortalecimiento de los comites municipales de Discapacidad, dirigida  a los enlaces de discapacidad de los 12 municipios del Departamento. </t>
  </si>
  <si>
    <t>Realizar visitas de asistencia, seguimiento y verificación de acceso, accesibilidad, red de servicios contratada, referencia y contrareferencia en la prestación de servicios de salud a las personas con discapacidad en la EAPB.</t>
  </si>
  <si>
    <t>Plan de intervenciones colectivas en el modelo de APS</t>
  </si>
  <si>
    <t>Evaluar en  once (11)   empresas sociales del estado (ESE)  Municipales la implementación del Plan de intervenciones colectivas (PIC).</t>
  </si>
  <si>
    <t xml:space="preserve">1803 - 5 - 3 1 3 12 45 2 150 - 61
1803 - 5 - 3 1 3 12 45 2 150 - 98_x000D_
</t>
  </si>
  <si>
    <t>201663000-0150</t>
  </si>
  <si>
    <t>Asistencia atención a las personas y prioridades en salud pública en el  Departamento del Quindío.</t>
  </si>
  <si>
    <t>Disminuir la morbimortalidad asociada  a la carga de la enfermedad por los determinantes sociales fortaleciendo  las acciones de complementariedad  a los municipios</t>
  </si>
  <si>
    <t>Mejorar los procesos de implementación de las actividades colectivas</t>
  </si>
  <si>
    <t>Realizar acciones de vacunacion canina y felina</t>
  </si>
  <si>
    <t>Realizar el censo de caninos y felinos</t>
  </si>
  <si>
    <t>Ejecutar las acciones de la estrategia COMBI en municipios hiperendémicos para enfermedades vectoriales</t>
  </si>
  <si>
    <t xml:space="preserve">Realizar acciones, intervenciones y procedimientos colectivos </t>
  </si>
  <si>
    <t>Auditoria a 8  planes de mejoramiento instaurados con la red pública ejecutora del Plan de Intervenciones Colectivas.</t>
  </si>
  <si>
    <t>Planes de mejoramiento instaurados  de Intervenciones Colectivas.</t>
  </si>
  <si>
    <t>Realizar auditoria a los planes de mejoramiento de intervenciones colectivas</t>
  </si>
  <si>
    <t>Vigilancia en salud publica y del laboratorio departamental.</t>
  </si>
  <si>
    <t xml:space="preserve">Realizar  la vigilancia sanitaria a 300 establecimientos de consumo (Aguas, Alimentos y Bebidas Alcohólicas) </t>
  </si>
  <si>
    <t>1803 - 5 - 3 1 3 12 46 2 151 - 61
0318 - 5 - 3 1 3 12 46 2 151 - 20
1803 - 5 - 3 1 3 12 46 2 151 - 96
0318 - 5 - 3 1 3 12 46 2 151 - 88
0318 - 5 - 3 1 3 12 46 2 151 - 98</t>
  </si>
  <si>
    <t>201663000-0151</t>
  </si>
  <si>
    <t xml:space="preserve">Fortalecimiento de las actividades de vigilancia y control del laboratorio de salud pública en el Departamento del Quindio </t>
  </si>
  <si>
    <t xml:space="preserve">Mejorar la capacidad analítica del LSP Departamental  para dar respuesta  a las necesidades del Sistema de Vigilancia en Salud Pública
</t>
  </si>
  <si>
    <t>Garantizar equipos e insumos medios y reactivos para la realización  de los análisis normados</t>
  </si>
  <si>
    <t xml:space="preserve">Compra de reactivos, insumos y medios </t>
  </si>
  <si>
    <t>20
61
88
96
98</t>
  </si>
  <si>
    <t>Superávit Recurso Ordinario</t>
  </si>
  <si>
    <t>Recurso ordinario (20)_x000D_
_x000D_ </t>
  </si>
  <si>
    <t>Compra de equipos de laboratorio</t>
  </si>
  <si>
    <t>Realizar análisis de muestras de alimentos, aguas, bebidas alcoholicas  que llegan al laboratorio en cumplimiento de la programacion y las muestras para ETAS Y  vigilancia que lleguen al laboratorio</t>
  </si>
  <si>
    <t>Realizar análisis de muestras    para la vigilancia de enfermedades de interés en salud publica enviados por los laboratorios de la red.</t>
  </si>
  <si>
    <t xml:space="preserve">Optimizar los procesos contractuales desde el LSP y  la DTS
</t>
  </si>
  <si>
    <t>Realizar evaluacion externa indirecta de citologias de cuello uterino a los laboratorios de la red</t>
  </si>
  <si>
    <t>Ejecutar el sistema de gestion de calidad y aseguramiento de metrologia en el laboratorio de salud publica.</t>
  </si>
  <si>
    <t>Adecuar infraestructura que de cumplimiento para el buen  funcionamiento del LSP</t>
  </si>
  <si>
    <t xml:space="preserve">Realizar el mantenimiento preventivo y correctivo de los equipos de laboratorio.  </t>
  </si>
  <si>
    <t>Superávit Rentas Cedidas (96)</t>
  </si>
  <si>
    <t>crear diez (10) y fortalecer noventa (90) Comités de Vigilancia 
Epidemiológica  Comunitaria 
(COVECOM) municipales.</t>
  </si>
  <si>
    <t>1803 - 5 - 3 1 3 12 46 2 152 - 61
1803 - 5 - 3 1 3 12 46 2 152 - 98</t>
  </si>
  <si>
    <t>201663000-0152</t>
  </si>
  <si>
    <t>Fortalecimiento del sistema de vigilancia en salud pública en el Departamento del Quindío.</t>
  </si>
  <si>
    <t>Aumentar los índices de cumplimiento en los indicadores de calidad, cobertura y  oportunidad del sistema de vigilancia en salud publica departamental</t>
  </si>
  <si>
    <t>Aumentar la participación comunitaria en acciones ineherentes al sistema de vigilancia en salud publica.</t>
  </si>
  <si>
    <t>Actualizar el mapa social por cada uno de los COVECOM para la priorización de la gestión interinstitucional.</t>
  </si>
  <si>
    <t>31/1219</t>
  </si>
  <si>
    <t>Activar y Mantener 100 COVECOM en 11  municipios del Departamento.</t>
  </si>
  <si>
    <t>Apoyar el proceso de sistematización de la estrategia COVECOM, seguimiento de la notificación comunitaria, mejoramiento de la calidad de la información, medición de indicadores, Análisis de la información y generación de planes de mejoramiento.</t>
  </si>
  <si>
    <t>Consolidar y analizar la notificación comunitaria de 11 municipios del Departamento del Quindío.</t>
  </si>
  <si>
    <t>Sostener 83 Unidades Primarias Generadoras de Datos (UPGD) que integran el sistema de Vigilancia en Salud Publica</t>
  </si>
  <si>
    <t xml:space="preserve">Fortalecer  la capacidad instalada en los niveles institucionales y municipales frente al desarrollo de los procesos de Vigilancia en Salud Pública </t>
  </si>
  <si>
    <t>Desarrollar el  plan de asesoría y asistencia técnica dirigido a municipios e instituciones de la red notificadora departamental  para la adherencia a protocolos de vigilancia en salud pública de los eventos de interés.</t>
  </si>
  <si>
    <t>Capacitar al personal operario del SIVIGILA en los 12 municipios del departamento.</t>
  </si>
  <si>
    <t>Apoyar los procesos de ajuste y depuración de la información de interés en salud publica en los 12 municipios del departamento.</t>
  </si>
  <si>
    <t>Desarrollar la búsqueda activa institucional en los 12 municipios del departamento.</t>
  </si>
  <si>
    <t>Realizar seguimiento al proceso de gestión del riesgo individual, frente a las acciones de protección específica y detección temprana desde el reporte del anexo técnico de la resolución 4505 de 2012 y el cumplimiento de la resolución 412 del 2000.</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</si>
  <si>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</si>
  <si>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</si>
  <si>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</si>
  <si>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0318 - 5 - 3 1 3 13 47 2 153 - 20</t>
  </si>
  <si>
    <t>201663000-0153</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</si>
  <si>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</si>
  <si>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</si>
  <si>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 Mejorar los procesos de identificación de la población no sisbenizada y no afiliada.
</t>
  </si>
  <si>
    <t>Seguimiento a la identificacion de la poblacion atendida de las IPS publicas para la afiliacion del sistema general SGSS</t>
  </si>
  <si>
    <t>Recurso Oridnario</t>
  </si>
  <si>
    <t>20
96
154</t>
  </si>
  <si>
    <t>Hector Mario Taborda Gallego</t>
  </si>
  <si>
    <t>Orientar e inducir a la poblacion no sisbenizada atendida por las IPS, en ferias de afiliaciones y busquedas activas para realizar la afiliacion al SGSS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</si>
  <si>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</si>
  <si>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</si>
  <si>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1801 - 5 - 3 1 3 13 48 2 153 - 154</t>
  </si>
  <si>
    <t xml:space="preserve"> Gestionar  recursos para cofinanciación de la afialicon  mpo y lugares de afiliación
</t>
  </si>
  <si>
    <t>Gestión de recursos para cofinanciación de la afiliación a los municipios y lugares de afiliación</t>
  </si>
  <si>
    <t>ADRES S.S.F.
REC. TRANSFERIDOS COLJUEGOS -SSF</t>
  </si>
  <si>
    <t>RENDIMIENTOS FINANCIEROS - ADRES S.S.F.</t>
  </si>
  <si>
    <t>Superávit Decreto 1684/2017 Ingreso Adicional Cigarrillo</t>
  </si>
  <si>
    <t>Asistencia técnica  a los actores del sistema en el proceso de aseguramiento de la población</t>
  </si>
  <si>
    <t>Brindar asistencia técnica a 12 Municipios del departamento,  en los procesos del régimen subsidiado</t>
  </si>
  <si>
    <t>0318 - 5 - 3 1 3 13 49 2 153 - 20
1804 - 5 - 3 1 3 13 49 2 153 - 96</t>
  </si>
  <si>
    <t xml:space="preserve"> Aumentar la asistencia técnica a 12 Municipios del departamento,  en los procesos del régimen subsidiado</t>
  </si>
  <si>
    <t>Realizar auditorias a los procesos de regimen subsidiado en los 12 municipios, de acuerdo a lo establecido en la Circular 006 de 2011.</t>
  </si>
  <si>
    <t>Superávit Rentas Cedidas</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</si>
  <si>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</si>
  <si>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</si>
  <si>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</si>
  <si>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</si>
  <si>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 xml:space="preserve">1802 - 5 - 3 1 3 14 50 2 154 - 60
1802 - 5 - 3 1 3 14 50 2 154 - 110
1802 - 5 - 3 1 3 14 50 2 154 - 58
1802 - 5 - 3 1 3 14 50 2 154 - 59 
1804 - 5 - 3 1 3 14 50 2 154 - 162
1802 - 5 - 3 1 3 14 50 2 154 - 96
1802 - 5 - 3 1 3 14 50 2 154 - 97
1802 - 5 - 3 1 3 14 50 2 154 - 65
1802 - 5 - 3 1 3 14 50 2 154 - 156
1802 - 5 - 3 1 3 14 50 2 154 - 102
1802 - 5 - 3 1 3 14 50 2 154 - 148
1802 - 5 - 3 1 3 14 50 2 154 - 152_x000D_
_x000D_
 _x000D_
_x000D_
_x000D_
_x000D_
_x000D_
</t>
  </si>
  <si>
    <t>201663000-0154</t>
  </si>
  <si>
    <t>Prestación de Servicios a la Población no Afiliada al Sistema General de Seguridad Social en Salud  y en los no POS  a la Población Afiliada al Régimen Subsidiado.</t>
  </si>
  <si>
    <t>Garantizar la atención en salud a la población pobre no asegurada y/o víctima del conflicto armado en un rango de afiliación 51.57 según Resolución 3778 de 2011. en  e l departamento del Quindío</t>
  </si>
  <si>
    <t>Mejorar  los procesos de vigilancia y control para el acceso de los afiliados a la red de servicios de salud.</t>
  </si>
  <si>
    <t>Apoyo a los procesos de inspección, vigilancia y control en el acceso de los afiliados  a la red de servicios de salud.</t>
  </si>
  <si>
    <t>60
110
58
59
162
96
97
65
156
102
148
152</t>
  </si>
  <si>
    <t>Mantener la contratación con la red pública y privada (15)  para la atención de la población no afiliada.</t>
  </si>
  <si>
    <t xml:space="preserve">Fortalecer la contratación para la atención de la población no afiliada </t>
  </si>
  <si>
    <t xml:space="preserve">Fortalecer la contratacion para la atencion de la poblacion pobre no asegurada y los servicios no incluidos en el Plan de beneficios de la poblacion afiliada a la regimen subsidiado. </t>
  </si>
  <si>
    <t>Resoluciones  971/2016, 5864/2018, 493/2019, MINISTERIOVCPROGRAMA INIMPUTABLES</t>
  </si>
  <si>
    <t>RENTAS CEDIDAS - SALUD</t>
  </si>
  <si>
    <t>RENDIMIENTOS FINANCIEROS - RENTAS CEDIDAS - SALUD</t>
  </si>
  <si>
    <t>SGP SALUD PRESTACIÓN SERVICIOS C S F</t>
  </si>
  <si>
    <t>SGP SALUD APORTES PATRONALES SS  F</t>
  </si>
  <si>
    <t>SUPERÁVIT RENTAS CEDIDAS</t>
  </si>
  <si>
    <t>SUPERAVIT SALUD PRESTACIÓN DE SERVICIOS SGP</t>
  </si>
  <si>
    <t>SUPERÁVIT REND. FROS COFINANCIACION NAL</t>
  </si>
  <si>
    <t>SUPERAVIT RESOL. 997/2018 PROG. INIMPUTABLES</t>
  </si>
  <si>
    <t>SUPERAVIT COFINANCIACIÓN NAL RES. 3876/12 DESPLAZADOS</t>
  </si>
  <si>
    <t>SUPERAVIT DEC. 1684/2017 INGRESO ADICIONAL CIGARRILLO</t>
  </si>
  <si>
    <t>SUPERAVIT EXCEDENTES APROTES PATRONALES  ESE DEPTO</t>
  </si>
  <si>
    <t>SUPERAVIT RESOL. VIGENCIAS ANTERIORES</t>
  </si>
  <si>
    <t>Realizar asistencia técnica en la construcción y ejecución del plan bienal de inversiones, a catorce (14) Empresas sociales del estado (ESE) del departamento.</t>
  </si>
  <si>
    <t>Fortalecier la construcción del Plan Bienal en las 14 Empresas sociales del estado (ESE)del departamento.</t>
  </si>
  <si>
    <t>Asistencia tecnica a las ESE del departamento en la formulacion, gestion y manejo de la plataforma para proyectos de infraestructura y dotacion.</t>
  </si>
  <si>
    <t>Realizar sesiones del  cosejo territoriales de salud para obtener aval de proyectos de infraestructura y dotacion hospitalaria.</t>
  </si>
  <si>
    <t>Fortalecimiento de la  gestión de la entidad territorial municipal</t>
  </si>
  <si>
    <t>Realizar asistencia Técnica  en los 12 municipios, en la capacidad de gestión en salud</t>
  </si>
  <si>
    <t>0318 - 5 - 3 1 3 14 51 2 155 - 20</t>
  </si>
  <si>
    <t>201663000-0155</t>
  </si>
  <si>
    <t xml:space="preserve">Asistencia técnica para el fortalecimiento de la gestión de las entidades territoriales del Departamento del Quindio </t>
  </si>
  <si>
    <t xml:space="preserve">Apoyar los proceso de articulacion y competencias territoriarles en el SGSS
</t>
  </si>
  <si>
    <t xml:space="preserve"> Fortalecer los procesos de financiacion a los municpios para ejercer procesos de afiliacion y atencion al SGSS</t>
  </si>
  <si>
    <t xml:space="preserve">verificar el cumplimiento de oportunidad en el reporte de informacion financiera mediante la circular unica </t>
  </si>
  <si>
    <t>Capacitar en los procesos de gestion tecnica en salud.</t>
  </si>
  <si>
    <t>realizar procesos de verificación a los 12 municipios y sus respectivas E.S.E del departamento en los reportes de gestión financiera.</t>
  </si>
  <si>
    <t>realizar apoyo y seguimiento en la gestion financiera a los fondos locales de salud y al procesos de aportes patronales de las ESE del departamento.</t>
  </si>
  <si>
    <t>Garantizar red de servicios en eventos de emergencias</t>
  </si>
  <si>
    <t xml:space="preserve">Ajustar los 14 planes de emergencia de las instituciones prestadoras de salud de todo el Departamento.  </t>
  </si>
  <si>
    <t>0318 - 5 - 3 1 3 14 52 2 156 - 20</t>
  </si>
  <si>
    <t>201663000-0156</t>
  </si>
  <si>
    <t>Servicio de salud en alerta en el Departamento del Quindío</t>
  </si>
  <si>
    <t>Fortalecer mediante capacitaciones y planes de trabajo  la actualización y articulación de los planes hospitalarios con el plan de emergencia departamental de acuerdo a la ley 1523 de 2012.</t>
  </si>
  <si>
    <t xml:space="preserve"> Fortalecer el compromiso y conocimiento de la norma  para la preparacion en casos de emergencias parte de las ESES del Departametno y los entes desentralizados</t>
  </si>
  <si>
    <t>Apoyo en el proceso de simulacros de atencion a emergencias en la red publica</t>
  </si>
  <si>
    <t>Hector Mario Taborda ¡Gallego</t>
  </si>
  <si>
    <t>Realizar procesos de atención en emergencias de la red publica.</t>
  </si>
  <si>
    <t>Fortalecer el sistema de alarma de emergencias y perifoneo de los hospitales públicos.</t>
  </si>
  <si>
    <t xml:space="preserve">Articular  la red hospitalaria del Departamento
</t>
  </si>
  <si>
    <t>Desarrollar el plan de emergencias de salud departamental</t>
  </si>
  <si>
    <t>Ajustar un (1) Plan de Emergencias en Salud Departamental.</t>
  </si>
  <si>
    <t xml:space="preserve">Realizar mantenimiento de los equipos de telecomunicación </t>
  </si>
  <si>
    <t>Atender en los 12 municipios  del departamento, los eventos de emergencia y urgencias, y el sistema de referencia y contra referencia  de la población  no afiliada.</t>
  </si>
  <si>
    <t>1802 - 5 - 3 1 3 14 52 2 157 - 20
1804 - 5 - 3 1 3 14 52 2 157 - 96
0318 - 5 - 3 1 3 14 52 2 157 - 88</t>
  </si>
  <si>
    <t>201663000-0157</t>
  </si>
  <si>
    <t xml:space="preserve">Fortalecimiento de la red de urgencias y emergencias en el Departamento del Quindio </t>
  </si>
  <si>
    <t>Fortalecimiento  en la integración de  la red hospitalaria  del departamento del  Quindío. Mediante la modernización del CRUE en el departamento del Quindío</t>
  </si>
  <si>
    <t xml:space="preserve">Centralizar por medio del centro de regulación de urgencias y emergencias las atenciones que se puedan suscitar en el departamento </t>
  </si>
  <si>
    <t>Regular y coordinar la prestación de servicios de urgencias y emergencias en salud en el departamento.</t>
  </si>
  <si>
    <t>20
88
96</t>
  </si>
  <si>
    <t>SUPERAVIT RENTAS CEDIDAS</t>
  </si>
  <si>
    <t>Realizar asistencia técnica a los prestadores de servicios de salud.</t>
  </si>
  <si>
    <t>Mantenimiento y adquisición de equipos de tecnología, equipos de computo  y telecomunicaciones y mobiliario para el funcionamiento del CRUE.</t>
  </si>
  <si>
    <t xml:space="preserve">Superavit ordinario </t>
  </si>
  <si>
    <t>Garantizar continuidad del funcionamiento del CRUE - SEM</t>
  </si>
  <si>
    <t xml:space="preserve">Capacitar a la comunidad y primer respondiente acorde con los riesgos identificados en el territorio durante el mes.   </t>
  </si>
  <si>
    <t>Estandarizar e implementar  los formatos de reporte entre los actores involucrados</t>
  </si>
  <si>
    <t>Reporte de información en tiempo real sobre la capacidad resolutiva del servicio en salud.</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</si>
  <si>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</si>
  <si>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</si>
  <si>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0318 - 5 - 3 1 3 14 53 2 158 - 20
1804 - 5 - 3 1 3 14 53 2 158 - 96</t>
  </si>
  <si>
    <t>201663000-0158</t>
  </si>
  <si>
    <t>158 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</si>
  <si>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</si>
  <si>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Fortalecer los procesos de implementacion, auditoria y seguimiento.</t>
  </si>
  <si>
    <t>Evaluación del PAMEC en su condición de compradores de servicios de salud para población pobre no afiliada, mediante  auditoría externa a los prestadores.</t>
  </si>
  <si>
    <t>20
96</t>
  </si>
  <si>
    <t xml:space="preserve">Realizar inspección y vigilancia al cumplimiento de los contenidos del PAMEC de los municipios certificados de su jurisdicción.                                                                                </t>
  </si>
  <si>
    <t xml:space="preserve">Enviar anualmente a la superintendencia nacional de salud, un informe de seguimiento a la evaluación de los PAMEC de los municipios de competencia departamental. </t>
  </si>
  <si>
    <t xml:space="preserve">Asegurar la totalidad de los estandares establecidos en el sistema de habilitacion 
</t>
  </si>
  <si>
    <t xml:space="preserve">Realizar un plan de asistencia técnica para el seguimiento y monitoreo del PAMEC en la IPS y EAPBS públicas del Departamento. </t>
  </si>
  <si>
    <t xml:space="preserve">Garantizar eficiencia en el establecimiento de los indicadores de seguimiento a riesgo 
</t>
  </si>
  <si>
    <t>Seguimiento y evaluación al cumplimiento de los planes de mejoramiento y estandarización de procesos  de habilitación de las EAPB.</t>
  </si>
  <si>
    <t>Evaluar la calidad del dato y el análisis  de los indicadores de calidad remitidos al Ministerio de Salud y de la circular externa 012 de 2016 (Superintendencia Nacional de Salud), en todas las  ESES, EPS e IPS del departamento.</t>
  </si>
  <si>
    <t>Realizar capacitación del recurso humano de las ESES, IPS y EPS Tema del PAMEC, indicadores de calidad y circular 012 de 2016</t>
  </si>
  <si>
    <t>Realizar visitas de verificación de los requisitos de habilitación a 150 prestadores de servicios de salud.</t>
  </si>
  <si>
    <t>Cumplimiento de los prestadores de salud en los requisitos de habilitación</t>
  </si>
  <si>
    <t>Verificación de los requisitos de habilitación</t>
  </si>
  <si>
    <t>Fortalecimiento financiero de la red de servicios publica</t>
  </si>
  <si>
    <t>Evaluar semestralmente los indicadores de monitoreo del sistema de catorce (14) ESE´s del nivel I, II y III</t>
  </si>
  <si>
    <t>0318 - 5 - 3 1 3 14 54 2 159 - 20
0318 - 5 - 3 1 3 14 54 2 159 - 88</t>
  </si>
  <si>
    <t>201663000-0159</t>
  </si>
  <si>
    <t>Fortalecimiento de la red de prestación de servicios pública  del Departamento del Quindío</t>
  </si>
  <si>
    <t xml:space="preserve">Apoyar el  seguimiento al proceso de reporte, vigilancia y control en el manejo de los recursos de salud en el Departamento del Quindio
</t>
  </si>
  <si>
    <t>Fortalecer los procesos financieros  del sector salud en el departamento del Quindío</t>
  </si>
  <si>
    <t>Seguimiento y apoyo al proceso financiero de las IPS publicas</t>
  </si>
  <si>
    <t>20
88</t>
  </si>
  <si>
    <t>realizar gestion de cartera deacuerdo con lo estipulado en la circular conjunta 030 del 2013</t>
  </si>
  <si>
    <t xml:space="preserve">Dar apoyo a las ESE del departamento para garantizar la continuidad en la prestacion de servicios de slaud </t>
  </si>
  <si>
    <t>Apoyar 2 programas  de saneamiento fiscal y financiero a las IPS categorizadas en riesgo por el Ministerio de Salud</t>
  </si>
  <si>
    <t xml:space="preserve">Realizar los  procesos adecuados para la auditoria en el flujo de recursos de las IPS 
</t>
  </si>
  <si>
    <t>Seguimiento a los programas de saneamiento fiscal y financiero.</t>
  </si>
  <si>
    <t>Gestión Posible</t>
  </si>
  <si>
    <t>Apoyo y Fortalecimiento Institucional</t>
  </si>
  <si>
    <t>Evaluar los municipios de Armenia y Calarcá que se encuentran  certificados en salud</t>
  </si>
  <si>
    <t>1804 - 5 - 3 1 3 15 55 2 160 - 72
0318 - 5 - 3 1 3 15 55 2 160 - 20</t>
  </si>
  <si>
    <t>201663000-0160</t>
  </si>
  <si>
    <t>Apoyo Operativo a la inversión social en salud en el Departamento del Quindio</t>
  </si>
  <si>
    <t xml:space="preserve">Incrementar el porcentaje de apoyo de la dirección estratégica en los procesos administrativos y misionales de la secretaria de salud
</t>
  </si>
  <si>
    <t>Evaluar los municipios certificados en salud</t>
  </si>
  <si>
    <t xml:space="preserve">realizar visitas para evaluacion de la capacidad de gestion y renovacion de la certificacion como municipios desentralizados en salud  </t>
  </si>
  <si>
    <t>20
72</t>
  </si>
  <si>
    <t>apoyar y gestionar  3 procesos administrativos y misionales por parte de la Dirección estratégica.</t>
  </si>
  <si>
    <t>Fortaleza en la planificacion, seguimiento y evaluacion de objetivos de S.D.S</t>
  </si>
  <si>
    <t>Realizar actividades de planeacion para la S.D.S aplicando los lineamientos normativos vigentes</t>
  </si>
  <si>
    <t>Rentas cedidas subcuenta otros gastos en salud</t>
  </si>
  <si>
    <t>Realizar seguimiento a los diferentes instrumentos de planificacion de la S.D.S</t>
  </si>
  <si>
    <t>Definir mecanismos para la gestion de la informacion en la S.D.S</t>
  </si>
  <si>
    <t xml:space="preserve">Garantizar eficiencia en el establecimiento de los indicadores de seguimiento a riesgo </t>
  </si>
  <si>
    <t>Establecer mecanismos eficientes de respuesta al usuario</t>
  </si>
  <si>
    <t>Evaluar la oportunidad de las respuestas a los organismos de control</t>
  </si>
  <si>
    <t>Verificación, seguimiento y control trimestral a la ejecución presupuestal de los recursos del Sector Salud</t>
  </si>
  <si>
    <t>control trimestral a la ejecución presupuestal de los recursos del Sector Salud</t>
  </si>
  <si>
    <t>Verificación a la ejecución presupuestal de los recursos del Sector Salud</t>
  </si>
  <si>
    <t>Cesar Augusto Rincón Zuluaga</t>
  </si>
  <si>
    <t>Secretario de Salud</t>
  </si>
  <si>
    <t>SEGUIMIENTO PLAN DE ACCIÓN
INDEPORTES
II TRIMESTRE 2019</t>
  </si>
  <si>
    <t>Apoyo al deporte asociado</t>
  </si>
  <si>
    <t xml:space="preserve"> Ligas deportivas del departamento del Quindío</t>
  </si>
  <si>
    <t xml:space="preserve">Apoyar  y fortalecer veintitrés (23) ligas deportivas.   </t>
  </si>
  <si>
    <t>Ligas deportivas apoyadas y fortalecidas.</t>
  </si>
  <si>
    <t>2234468202-12</t>
  </si>
  <si>
    <t>201663000-0161</t>
  </si>
  <si>
    <t>Apoyo al deporte asociado en el Departamento del Quindio</t>
  </si>
  <si>
    <t xml:space="preserve">Incrementar los niveles de desarrollo en el deporte formativo y competitivo del departamento del quindio
</t>
  </si>
  <si>
    <t xml:space="preserve">Fortalecer los procesos con deportistas de altos logros 
</t>
  </si>
  <si>
    <t>Apoyo a las ligas en los eventos deportivos de carácter federal  (Adquisición de Bienes y Servicios)</t>
  </si>
  <si>
    <t>MONOPOLIO</t>
  </si>
  <si>
    <t>SANDRA YELITZA CASTELBLANCO CELIS</t>
  </si>
  <si>
    <t>GERENTE GENERAL INDEPORTES</t>
  </si>
  <si>
    <t>2234468202-9</t>
  </si>
  <si>
    <t>RENDIMIENTOS FINANCIEROS</t>
  </si>
  <si>
    <t>2234468202-3</t>
  </si>
  <si>
    <t>IPOCONSUMO</t>
  </si>
  <si>
    <t>2334468202-12</t>
  </si>
  <si>
    <t>2334468202-6</t>
  </si>
  <si>
    <t>CIGARRILLO 70%</t>
  </si>
  <si>
    <t>2234468202_4</t>
  </si>
  <si>
    <t>Realizar acompañamiento y asesorìa a las ligas y clubes del departamento  (Componente tecnico)</t>
  </si>
  <si>
    <t>ICLD</t>
  </si>
  <si>
    <t>Apoyar  a veinte  (20) deportistas en nivel de talento, de proyección y de altos logros con el programa de incentivos económicos a deportistas.</t>
  </si>
  <si>
    <t>Número de deportistas incentivados.</t>
  </si>
  <si>
    <t>2234468203_4</t>
  </si>
  <si>
    <t>Apoyo a deportistas de alto logros y reserva deportiva (Asistencia social)</t>
  </si>
  <si>
    <t xml:space="preserve"> Apoyo a eventos deportivos</t>
  </si>
  <si>
    <t/>
  </si>
  <si>
    <t>Apoyar 13 ligas de los eventos deportivos de carácter federado nacional y departamental</t>
  </si>
  <si>
    <t>Ligas apoyadas en eventos departamental y nacionales.</t>
  </si>
  <si>
    <t>2234469204-4</t>
  </si>
  <si>
    <t>Apoyo  logistico a las 13 ligas estrategicas  (Adquisición de Bienes y Servicios)</t>
  </si>
  <si>
    <t>2234469204_12</t>
  </si>
  <si>
    <t>Juegos intercolegiados</t>
  </si>
  <si>
    <t>Desarrollar cuatro (4) juegos Intercolegiados  en sus diferentes fases.</t>
  </si>
  <si>
    <t>Juegos intercolegiados desarrollados</t>
  </si>
  <si>
    <t>2234470205-12</t>
  </si>
  <si>
    <t>201663000-0162</t>
  </si>
  <si>
    <t>Apoyo a los juegos intercolegiados en el Deparrtamento del Quindìo</t>
  </si>
  <si>
    <t xml:space="preserve">Generar espacios de  competencia para las instituciones educativas, aumentando así el porcentaje de utilización de escenarios deportivos y disminuyendo los índices de sedentarismo
</t>
  </si>
  <si>
    <t xml:space="preserve">Fortalecer programas y actividades deportivas
</t>
  </si>
  <si>
    <t xml:space="preserve">Acompañamiento a la fase departamental y nacional de los juegos intercolegiados (Adquisición de Bienes y Servicios) </t>
  </si>
  <si>
    <t>GLORIA INES HERRERA FRANCO</t>
  </si>
  <si>
    <t>2234470205-4</t>
  </si>
  <si>
    <t>2234470205-7</t>
  </si>
  <si>
    <t>COLDEPORTES</t>
  </si>
  <si>
    <t>2334470205-13</t>
  </si>
  <si>
    <t xml:space="preserve">SUPERAVIT  </t>
  </si>
  <si>
    <t>2334470205-15</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</si>
  <si>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</si>
  <si>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</si>
  <si>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</si>
  <si>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2234471206_12</t>
  </si>
  <si>
    <t>201663000-0163</t>
  </si>
  <si>
    <t>Apoyo al Deporte formativo, deporte social comunitario y juegos  tradicionales en el Departamento del Quindío</t>
  </si>
  <si>
    <t xml:space="preserve">Generar espacios recreo-deportivos, aumentando el porcentaje de utilización de escenarios deportivos y
disminuyendo los índices de consumo de estupefacientes
</t>
  </si>
  <si>
    <t>Fortalecer los espacios recreodeportivos</t>
  </si>
  <si>
    <t>Brindar asesoria a los doce municipios del departamento (Componente tecnico)</t>
  </si>
  <si>
    <t>2334471206-13</t>
  </si>
  <si>
    <t>SUPERAVIT</t>
  </si>
  <si>
    <t>Desarrollar  1 eventos de deporte social y comunitario.</t>
  </si>
  <si>
    <t>Eventos deportivos social y comunitarios desarrollar.</t>
  </si>
  <si>
    <t>2334471207-13</t>
  </si>
  <si>
    <t>Realizacion de eventos deportivos en el departamento (Adquisición de Bienes y Servicios)</t>
  </si>
  <si>
    <t>2234471207_12</t>
  </si>
  <si>
    <t>Apoyar  técnicamente un 1  evento de  Juegos Comunales en la fase Departamental</t>
  </si>
  <si>
    <t>Juegos comunales apoyados.</t>
  </si>
  <si>
    <t>2234471208_4</t>
  </si>
  <si>
    <t>Realizacion de los juegos comunales en el departamento (Adquisición de Bienes y Servicios)</t>
  </si>
  <si>
    <t>2234471208_12</t>
  </si>
  <si>
    <t>Si Recreación y actividad física para ti</t>
  </si>
  <si>
    <t>Recreación,  para el Bien Común</t>
  </si>
  <si>
    <t>Apoyar de forma articulada el desarrollo del programa (1) "Campamentos Juveniles"</t>
  </si>
  <si>
    <t>Programa de recreación para la juventud diseñado y desarrollado</t>
  </si>
  <si>
    <t>2234572209-3</t>
  </si>
  <si>
    <t>201663000-0164</t>
  </si>
  <si>
    <t xml:space="preserve"> Apoyo a la Recreación,  para el Bien Común en el Departamento del Quindío</t>
  </si>
  <si>
    <t xml:space="preserve">Disminuir los indices de consumo de estupefacientes en los municipios del departamento a través  del desarrollo de espacios recreodeportivos. 
</t>
  </si>
  <si>
    <t>Fortalecer una cultura recreo-deportiva en la poblacion</t>
  </si>
  <si>
    <t>Brindar apoyo tecnico y logistico a campamentos juveniles (Adquisición de Bienes y Servicios)</t>
  </si>
  <si>
    <t>MANUEL ANTONIO RODRIGUEZ QUINTERO</t>
  </si>
  <si>
    <t>2234572209_7</t>
  </si>
  <si>
    <t>2334572209-3</t>
  </si>
  <si>
    <t>SUPERAVIT IPOCONSUMO</t>
  </si>
  <si>
    <t>Apoyar de forma articulada el programa nuevo comienzo "Otro Motivo para Vivir" (1).</t>
  </si>
  <si>
    <t>Programa nuevo comienzo "Otro Motivo para Vivir" articulado y desarrollado.</t>
  </si>
  <si>
    <t>2234572210_4</t>
  </si>
  <si>
    <t>Apoyo logistico y tecnico al adulto mayor (Adquisición de Bienes y Servicios)</t>
  </si>
  <si>
    <t>2234572210_3</t>
  </si>
  <si>
    <t>2234572210_7</t>
  </si>
  <si>
    <t>2334572210-3</t>
  </si>
  <si>
    <t>Crear y desarrollar una estrategia para articular la actividad recreativa social comunitaria desde la primera infancia hasta las personas mayores.</t>
  </si>
  <si>
    <t>Estrategia creada y desarrollada.</t>
  </si>
  <si>
    <t>2234572211_3</t>
  </si>
  <si>
    <t>Apoyo logistico tecnico (Adquisición de Bienes y Servicio)</t>
  </si>
  <si>
    <t>2234572211_7</t>
  </si>
  <si>
    <t>2334572211-6</t>
  </si>
  <si>
    <t>2334572211-13</t>
  </si>
  <si>
    <t xml:space="preserve"> Actividad física, hábitos y estilos de vida saludables</t>
  </si>
  <si>
    <t xml:space="preserve">implementar un (1) programa que permita ejecutar proyectos  de actividad física para la promoción de hábitos y estilos de vida saludables </t>
  </si>
  <si>
    <t xml:space="preserve">Programa implementado </t>
  </si>
  <si>
    <t>2234573212_3</t>
  </si>
  <si>
    <t>201663000-0165</t>
  </si>
  <si>
    <t>Apoyo a la actividad fisica, salud y productiva en el Departamento del Quindio.</t>
  </si>
  <si>
    <t xml:space="preserve">Disminuir los  índices en el consumo de estupefacientes  y sedentarismo en los municipios del departamento a traves de programa de actividad fisica y habitos saludables
</t>
  </si>
  <si>
    <t xml:space="preserve">Fomentar estios de vida saludable y actividad fisica
</t>
  </si>
  <si>
    <t>Actividades en promoción de hábitos y estilos de vida saludables  (Componente tecnico)</t>
  </si>
  <si>
    <t>2234573212_7</t>
  </si>
  <si>
    <t>2334573212-4</t>
  </si>
  <si>
    <t>Deporte, recreación, actividad fisica en los municipios del departamento del Quindío</t>
  </si>
  <si>
    <t>Apoyar doce (12) municipios en proyectos deportivos, recreactivos y de actividad fisica</t>
  </si>
  <si>
    <t>Numero de municipios apoyados</t>
  </si>
  <si>
    <t>22346741_2</t>
  </si>
  <si>
    <t>201663000-0166</t>
  </si>
  <si>
    <t>Apoyo a proyectos deportivos, recreativos y de actividad fisica, en el Departamento del Quindìo</t>
  </si>
  <si>
    <t>Disminuir los índices del consumo de estupefacientes en los municipios del departamento</t>
  </si>
  <si>
    <t xml:space="preserve">Fortalecer la articulacion interinstitucional
</t>
  </si>
  <si>
    <t>Brindar acompañamiento tecnico a los municipios Otros (Realizar convenios con los doce municipios del departamento para la transferencia de recursos de telefonia movil)</t>
  </si>
  <si>
    <t>IVA TELEFONIA MOVIL</t>
  </si>
  <si>
    <t xml:space="preserve">GERENTE GENERAL INDEPORTES
</t>
  </si>
  <si>
    <t>23346741-3</t>
  </si>
  <si>
    <t>23346741-13</t>
  </si>
  <si>
    <t xml:space="preserve">OLGA LUCIA FERNANDEZ CARDENAS
GERENTE GENERAL INDEPORTES
</t>
  </si>
  <si>
    <t xml:space="preserve">Elaboro: Juan David Gomez Gomez 
</t>
  </si>
  <si>
    <t>SEGUIMIENTO PLAN DE ACCIÓN 
SECRETARIA DE AGRICULTURA,  DESARROLLO RURAL Y MEDIO AMBIENTE
II TRIMESTRE  2019</t>
  </si>
  <si>
    <t>DESARROLLO SOSTENIBLE</t>
  </si>
  <si>
    <t>Quindío territorio vital</t>
  </si>
  <si>
    <t>Generación de entornos favorables y sostenibilidad ambiental</t>
  </si>
  <si>
    <t xml:space="preserve">Implementar un (1)  Sistema de Gestión Ambiental Departamental SIGAD </t>
  </si>
  <si>
    <t>Sistema de Gestión Ambiental Departamental SIGAD implementado</t>
  </si>
  <si>
    <t>0312 - 5 - 3 1 1 1 1 10 64 - 20</t>
  </si>
  <si>
    <t>201663000-0064</t>
  </si>
  <si>
    <t xml:space="preserve">GENERACION DE ENTORNOS FAVORABLES Y SOSTENIBILIDAD AMBIENTAL PARA EL DEPARTAMENTO DEL QUINDÍO </t>
  </si>
  <si>
    <t xml:space="preserve">Mantener la oferta hídrica promedio anual  de las Unidades de Manejo de Cuenca (UMC) del departamento del Quindío, a través procesos de consevación y mantenimiento de las areas de protección ambiental y  apoyo insterinsticuional en el Departamento del Quindio </t>
  </si>
  <si>
    <t>Potencializar  el Sistema Departamental y municipal de áreas protegidas</t>
  </si>
  <si>
    <t xml:space="preserve">Realización de actividades SIGAD. </t>
  </si>
  <si>
    <t>ORDINARIO</t>
  </si>
  <si>
    <t>JULIANA ACOSTA JARAMILLO</t>
  </si>
  <si>
    <t>SECRETARIO DE DESPACHO Y JULIANA ACOSTA JARAMILLO</t>
  </si>
  <si>
    <t>Promocion y divulgacion del SIGAD.</t>
  </si>
  <si>
    <t xml:space="preserve">Apoyar cuatro (4) planes de manejo de áreas protegidas del Departamento </t>
  </si>
  <si>
    <t>Planes de manejo apoyados</t>
  </si>
  <si>
    <t>Actualización y apoyo en el fortalecimiento de  los planes de manejo de áreas protegidas del Departamento</t>
  </si>
  <si>
    <t xml:space="preserve">Apoyar el Plan Departamental  para la Gestión Integral de la Biodiversidad y sus Servicios Ecosistémicos PDGIB 2013-2024  </t>
  </si>
  <si>
    <t>Plan departamental apoyado</t>
  </si>
  <si>
    <t xml:space="preserve">Adecuadar planificación para la sostenibilidad de los recursos naturales
</t>
  </si>
  <si>
    <t>Apoyo al Plan de gestión de la biodiversidad y sus servicios ecosistemicos PDGIB</t>
  </si>
  <si>
    <t>Diseñay ejecutar una poiica Departamental de uso racional de resiudos solidos y uso eficiente de energia</t>
  </si>
  <si>
    <t>Política departamental diseñada y ejecutada</t>
  </si>
  <si>
    <t xml:space="preserve">Realizar actividades de educación en competencias de sostenibilidad  que esten encamidas a la estructuración e implementación de las politicas de residuos y energia. </t>
  </si>
  <si>
    <t xml:space="preserve">Apoyar a los doce (12) municipios en las acciones de control y vigilancia de la explotación minera en coordinación con la autoridad ambiental </t>
  </si>
  <si>
    <t>Número de municipios en acciones de control y vigilancia de la explotación minera apoyados</t>
  </si>
  <si>
    <t xml:space="preserve">Acompañamiento a los municipios en las acciones de control y vigilancia de la explotación minera en coordinación con la autoridad ambiental </t>
  </si>
  <si>
    <t>Manejo integral del agua y saneamiento básico</t>
  </si>
  <si>
    <t xml:space="preserve">Crear e implementar el Fondo del Agua del departamento del Quindío </t>
  </si>
  <si>
    <t>Fondo del Agua creado e implementado</t>
  </si>
  <si>
    <t>0312 - 5 - 3 1 1 1 2 10 67 -20</t>
  </si>
  <si>
    <t>201663000-0067</t>
  </si>
  <si>
    <t>GESTIÓN INTEGRAL DE CUENCAS HIDROGRÁFICAS EN EL DEPARTAMENTO DEL QUINDÍO</t>
  </si>
  <si>
    <t xml:space="preserve">Mantener  de la oferta hídrica promedio anual  de las Unidades de Manejo de Cuenca (UMC) del departamento del Quindío </t>
  </si>
  <si>
    <t>Realizar y coordinar acciones de  recuperación y mantenimiento del recursos hídrico</t>
  </si>
  <si>
    <t xml:space="preserve">Implementar el Fondo del Agua del departamento del Quindío  </t>
  </si>
  <si>
    <t>Caracterizar los servicios ecosistémicos en 6 cuencas de abastecimientode los acueductos municipales con sus correspondientes acciones de mejoramiento</t>
  </si>
  <si>
    <t>Número de cuencas con servicios ecosistémicos caracterizados</t>
  </si>
  <si>
    <t>Elaboracion de inventario de servicios ecosistemicos y diagnostico de los componentes de flora, fauna y recursos hidricos de 2 cuencas hidrograficas</t>
  </si>
  <si>
    <t>Bienes y servicios ambientales para las nuevas generaciones</t>
  </si>
  <si>
    <t>Conservar Y Restaurar Seis (2) Áreas De Importancia Estratégica Para El Recurso Hídrico Del Departamento</t>
  </si>
  <si>
    <t>Áreas conservadas y restauradas</t>
  </si>
  <si>
    <t>0312 - 5 - 3 1 1 1 3 10 68 - 20</t>
  </si>
  <si>
    <t>201663000-0068</t>
  </si>
  <si>
    <t>APLICACIÓN DE MECANISMOS DE PROTECCIÓN AMBIENTAL EN EL DEPARTAMENTO DEL QUINDIO</t>
  </si>
  <si>
    <t xml:space="preserve">Mantener  de la oferta hídrica promedio anual  de las Unidades de Manejo de Cuenca (UMC) del departamento del Quindío 
</t>
  </si>
  <si>
    <t>Vigilancia, control y seguimiento a las áreas de protección</t>
  </si>
  <si>
    <t>RECURSO ORDINARIO</t>
  </si>
  <si>
    <t>Recuperación y mantenimiento de  las  zonas deterioradas en las áreas de protección.</t>
  </si>
  <si>
    <t>Adquirir Doscientos Setenta (270) Ha Para Áreas De Conservación En Predios De Importancia Estratégica Para El Recurso Hídrico Del Departamento Del Quindío</t>
  </si>
  <si>
    <t>Áreas De Conservación En Predios De Importancia Estratégica Adquiridas</t>
  </si>
  <si>
    <t>0312 - 5 - 3 1 1 1 3 10 68 - 88</t>
  </si>
  <si>
    <t>Adquirir doscientos setenta (270) ha para áreas de conservación en predios de importancia estratégica para el recurso hídrico del departamento del Quindío</t>
  </si>
  <si>
    <t>Conservar Para La Sostenibilidad Ambiental Dos (2) Cuencas De Los Municipios Con Declaratoria De Paisaje Cultural Cafetero Pcc</t>
  </si>
  <si>
    <t>Número de cuencas conservadas</t>
  </si>
  <si>
    <t>0312 - 5 - 3 1 1 1 3 10 69 - 20</t>
  </si>
  <si>
    <t>201663000-0069</t>
  </si>
  <si>
    <t>FORTALECIMIENTO Y POTENCIALIZACIÓN DE LOS SERVICIOS ECOSISTÉMICOS EN EL DEPARTAMENTO DEL QUINDIO</t>
  </si>
  <si>
    <t xml:space="preserve">Disminuir en la presión por cargas contaminantes, medida por el Índice de Alteración Potencial de la Calidad del Agua </t>
  </si>
  <si>
    <t xml:space="preserve">Mejorar en la calidad del agua en los sistemas hídricos  </t>
  </si>
  <si>
    <t>Intervenir en herramientas del PCC las cuencas de los municipios con declaratoria de paisaje cultural cafetero</t>
  </si>
  <si>
    <t>30/12/20019</t>
  </si>
  <si>
    <t>Promover La Creación Y Adopción  En Los Doce (12) Municipios Del Departamento, De Herramientas Para El Estímulo De Incentivos A La Conservación</t>
  </si>
  <si>
    <t>Número de municipios con acciones de incentivos a la conservación promovidas</t>
  </si>
  <si>
    <t xml:space="preserve">Promover los incentivos a la conservación con la normativa vigente  </t>
  </si>
  <si>
    <t>Restaurar Con Obras De Bioingeniería Veinte (20) Ha En Áreas O Zonas Críticas De Riesgo.</t>
  </si>
  <si>
    <t xml:space="preserve">Número de hectáreas restauradas </t>
  </si>
  <si>
    <t>Poner en marcha obras de bioingenieria</t>
  </si>
  <si>
    <t>Desarrollar Treinta Y Un (31) Estrategias De Educación Ambiental  En Los Espacios Participativos, Comunitarios Y Educativos Del Departamento</t>
  </si>
  <si>
    <t>Número de estrategias de educación desarrolladas</t>
  </si>
  <si>
    <t xml:space="preserve">Desarrollar estrategias de educación ambiental para el desarrollo sostenible </t>
  </si>
  <si>
    <t>Capacitar A 250 Jóvenes, Mujeres, Población Vulnerable Y Con Enfoque Diferencial Como Lideres De Educación Ambiental En El Departamento</t>
  </si>
  <si>
    <t>Número de  jóvenes,  mujeres, población vulnerable y con enfoque diferencial capacitados</t>
  </si>
  <si>
    <t>Formar multiplicadores ambientales para el desarrollo sostenible</t>
  </si>
  <si>
    <t>PROSPERIDAD CON EQUIDAD</t>
  </si>
  <si>
    <t>Quindío rural, inteligente, competitivo y empresarial</t>
  </si>
  <si>
    <t>Innovación para una caficultura sostenible en el departamento del Quindío</t>
  </si>
  <si>
    <t>Capacitar a cuatrocientos (400) caficultores del departamento en producción limpia y sostenible con producción de café con taza limpia, catación, tostión y barismo</t>
  </si>
  <si>
    <t>Número de caficultores capacitados</t>
  </si>
  <si>
    <t>0312 - 5 - 3 1 2 2 4 13 72 - 20</t>
  </si>
  <si>
    <t>201663000-0072</t>
  </si>
  <si>
    <t xml:space="preserve">FORTALECIMIENTO E INNOVACIÓN EMPRESARIAL DE LA CAFICULTURA EN EL DEPARTAMENTO DEL QUINDIO </t>
  </si>
  <si>
    <t xml:space="preserve">Generar las condiciones adecuadas para aumetar del crecimiento del PIB del departamento  del Quindio frente al PIB Nacional  a travez de la participacion en ruedas de negocios y eventos especializados para acceder a mercados internacionales por parte del sector empresarial rural.
</t>
  </si>
  <si>
    <t>Cadena productiva del café sin valos agregado</t>
  </si>
  <si>
    <t>Capacitar A Caficultores  En Buenas Prácticas Agrícolas Sostenible Y Aseguramiento De La Calidad De Café</t>
  </si>
  <si>
    <t>MAURICIO RUIZ HAMBRA</t>
  </si>
  <si>
    <t>SECRETARIO DE DESPACHO Y MAURICIO RUIZ HAMBRA</t>
  </si>
  <si>
    <t>Capacitar A Caficultores En Catación, Tostión Y Barísmo</t>
  </si>
  <si>
    <t>Crear (6) seis grupos multiplicadores de conocimiento en emprendimiento y calidad del café  para jóvenes y mujeres rurales, campesinas y cafeteras</t>
  </si>
  <si>
    <t>Número de grupos multiplicadores creados</t>
  </si>
  <si>
    <t>Fortalecimiento A Asociaciones De Café De Jóvenes Y Mujeres Rurales En Buenas Prácticas Agrícolas Y Aseguramiento De La Calidad Del Café A Traves De Asistencia Técnica Y Talleres</t>
  </si>
  <si>
    <t xml:space="preserve">Capacitación  A Jóvenes Y Mujeres Rurales En Asociatividad, Emprendimiento,  En Mejoramiento Y Aseguramiento De La Calidad  </t>
  </si>
  <si>
    <t xml:space="preserve"> Crear (1) portafolio de café origen Quindío a través de la valoración de 6000 predios</t>
  </si>
  <si>
    <t>Portafolio de café origen Quindío creado</t>
  </si>
  <si>
    <t>Bajo  nivel de conocimiento de los productores en producción limpia y sostenible con énfasis en calidad sensorial del café</t>
  </si>
  <si>
    <t>Visitas De Asistencia Técnicas De Caracterización A Predios Productores De Café Del Departamento Del Quindío</t>
  </si>
  <si>
    <t>Toma De Muestras De Café Y Análisis De Catación Y Perfilación A Través De Convenios Interadministrativos Y/O Interinstitucionales</t>
  </si>
  <si>
    <t>Promoción Y Divulgación Del Portafolio De Café Origen Quindío</t>
  </si>
  <si>
    <t>Formalizar (1) un convenio interinstitucional para la inserción de los cafés de origen Quindío en los mercados nacionales e internacionales</t>
  </si>
  <si>
    <t>Convenio interinstitucional formalizado</t>
  </si>
  <si>
    <t>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</si>
  <si>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</si>
  <si>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</si>
  <si>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Núcleos de asistencia creados e implementados</t>
  </si>
  <si>
    <t>0312 - 5 - 3 1 2 2 5 8 176 - 20
0312 - 5 - 3 1 2 2 5 8 176 - 46
0312 - 5 - 3 1 2 5 8 176 - 88</t>
  </si>
  <si>
    <t>201663000-0176</t>
  </si>
  <si>
    <t>CREACIÓN E IMPLEMENTACIÓN DE LOS CENTROS AGROINDUSTRIALES REGIONALES PARA LA PAZ"CARPAZ" EN EL DEPARTAMENTO DEL QUINDIO</t>
  </si>
  <si>
    <t xml:space="preserve">Equiparar el crecimiento del PIB del departamento del Quindío al PIB nacional
</t>
  </si>
  <si>
    <t>Mejorar  la productividad primaria agropecuaria</t>
  </si>
  <si>
    <t>Crear Un Núcleo De Asistencia Agrícola</t>
  </si>
  <si>
    <t>MAURICIO RUIZ HAMBRA Y JORGE IVAN LOAIZA BONILLA</t>
  </si>
  <si>
    <t>SECRETARIO DE DESPACHO, MAURICIO RUIZ HAMBRA Y JORGE IVAN LOAIZA BONiLLA</t>
  </si>
  <si>
    <t>Crear Un Núcleo De Asistencia Pecuaria</t>
  </si>
  <si>
    <t>Apoyar cinco (5) sectores productivos agropecuarios del departamento en métodos de mercadeo que propicien innovación en los aspectos comerciales de los productos del Quindío</t>
  </si>
  <si>
    <t>Sectores productivos apoyados</t>
  </si>
  <si>
    <t>Realizar Eventos De Educomunicación (Agrícola Y Pecuario)</t>
  </si>
  <si>
    <t>Crear  seis (6) centros logísticos  para la transformación agroindustrial - CARPAZ</t>
  </si>
  <si>
    <t>Centros logísticos creados</t>
  </si>
  <si>
    <t>Articular la demanda existente y la oferta efectiva</t>
  </si>
  <si>
    <t>Crear Centros Logísticos Agroindustriales</t>
  </si>
  <si>
    <t>RECURSO DEL CREDITO</t>
  </si>
  <si>
    <t>Capacitar seis (6) unidades agro empresariales de jóvenes y mujeres rurales</t>
  </si>
  <si>
    <t>Unidades agro empresariales capacitadas</t>
  </si>
  <si>
    <t>Brindar un sistema eficiente de prestación de servicios públicos</t>
  </si>
  <si>
    <t>Capacitación En Estrategias De Mercadeo A Diferentes   Grupos Asociativos De Productores Agrícolas Y Agroindustriales</t>
  </si>
  <si>
    <t>Crear E Implementar El Fondo De Financiamiento De Desarrollo Rural Fider</t>
  </si>
  <si>
    <t>Fondo de financiamiento creado e implementado</t>
  </si>
  <si>
    <t>0312 - 5 - 3 1 2 2 5 8 177 - 20</t>
  </si>
  <si>
    <t>201663000-0177</t>
  </si>
  <si>
    <t>CREACION E IMPLEMENTACION DEL FONDO DE FINANCIAMIENTO DE DESARROLLO RURAL - FIDER</t>
  </si>
  <si>
    <t>Mejoramiento de las condiciones de acceso al financiamiento de los productores agropecuarios, mediante la creacion de un fondo financiero para el desarrollo rural en el departamento del Quindío</t>
  </si>
  <si>
    <t>Generación de procesos de  apoyo financiero de facil acceso para desarrolo del sector productivo rural.</t>
  </si>
  <si>
    <t>Asistencia Técnica En La Creación Y Elaboración De Un Fondo De Financiamiento Para El Desarrollo Rural</t>
  </si>
  <si>
    <t>JORGA IVAN LOAIZA BONILLA</t>
  </si>
  <si>
    <t>SECRETARIO DE DESPACHO Y JORGE IVAN LOAIZA BONILLA</t>
  </si>
  <si>
    <t>0312 - 5 - 3 1 2 2 5 8 177 - 88</t>
  </si>
  <si>
    <t>Financiamiento Al Pequeño Productor Rural</t>
  </si>
  <si>
    <t>Reactivar un instrumento de prevención por eventos naturales para productos agrícolas.</t>
  </si>
  <si>
    <t>Instrumento de prevención por eventos naturales para productos agrícolas reactivado</t>
  </si>
  <si>
    <t>0312 - 5 - 3 1 2 2 5 8 175 - 20</t>
  </si>
  <si>
    <t>2016663000-0175</t>
  </si>
  <si>
    <t>IMPLEMENTACIÓN DE UN INSTRUMENTO PARA LA PREVENCIÓN DE EVENTOS NATURALES PRODUCTOS AGRICOLAS EN E DEPARTAMENTO DEL QUINDÍO</t>
  </si>
  <si>
    <t>Mejoramiento En El Rendimiento Productivo, Mediante Estrategias De Mitigación, Para Contrarrestar Eventos Y Riesgos Naturales En El Sector Agropecuario</t>
  </si>
  <si>
    <t xml:space="preserve">Fortalecimiento de los  programas de prevención en el sector rural, para mejorar la capacidad de respuesta ante posibles eventos y riesgos naturales </t>
  </si>
  <si>
    <t>Acompañamiento Técnico Y Promoción De El Plan Integral De Gestión De Cambio Climático Como Instrumento  Prevención  Y Adaptación En Eventos Climáticos</t>
  </si>
  <si>
    <t xml:space="preserve">Generación de espacios de articulación institucional en apoyo de asistencia técnica rural ante eventos y riesgos naturales  </t>
  </si>
  <si>
    <t>Emprendimiento y empleo rural</t>
  </si>
  <si>
    <t>Apoyo En La Formalización De Empresas En (4)  Sectores Productivos Agropecuarios Del Departamento</t>
  </si>
  <si>
    <t>Número de sectores productivos apoyados</t>
  </si>
  <si>
    <t>0312 - 5 - 3 1 2 2 6 13 75 - 20</t>
  </si>
  <si>
    <t>201663000-0075</t>
  </si>
  <si>
    <t xml:space="preserve">FOMENTO AL EMPRENDIMIENTO Y  AL EMPLEO RURAL EN EL DEPARTAMENTO DEL QUINDÍO  </t>
  </si>
  <si>
    <t xml:space="preserve">Aumetar crecimiento del PIB del departamento  del Quindio a frente al PIB Nacional </t>
  </si>
  <si>
    <t xml:space="preserve">Apoyar la formalización de empresas en los sectores productivos  del departamenato, a tarvés de la identificación , analisis y priorización  de los  potenciales empredimientos  rurales, con el fin de contribuir a generar condiciones para  aumentar   producto interno bruto  el departamento   durante la vigencia 2016 </t>
  </si>
  <si>
    <t>Apoyo En La Formalización De Empresas En Los Sectores Productivos</t>
  </si>
  <si>
    <t>Generar Un Apalancamiento A 100 Iniciativas Rurales</t>
  </si>
  <si>
    <t>Número de iniciativas productivas apalancadas</t>
  </si>
  <si>
    <t xml:space="preserve">Realizar apálacamiento a las iniciativas productivas rurales, a través  de  procesos de acompañamiento  a la consolidación de  ideas de negocio e  implementación de garantias complementarias para el facilitar el acceso a la diferentes fuentes financiación con el fin de contribuir a generar condiciones para  aumentar   producto interno bruto  el departamento   durante la vigencia 2016 , 
</t>
  </si>
  <si>
    <t>Identificación Y Caracterización De Las Nuevas Iniciativas Productivas Rurales</t>
  </si>
  <si>
    <t>Capacitar A (1.200) Jóvenes Y Mujeres Rurales En Actividades  Agrícolas Y No Agrícolas</t>
  </si>
  <si>
    <t>Número de jóvenes y mujeres rurales capacitados</t>
  </si>
  <si>
    <t xml:space="preserve">Capacitar a jóvenes y mujeres en actividadeas agricolas y no agricolas con procesois de seguimiento y evaluación  en la generación de ideas y/o consolidación de negocios con el fin de contribuir a generar condiciones para  aumentar   producto interno bruto  el departamento   durante la vigencia 2016 </t>
  </si>
  <si>
    <t>Capacitación A Jóvenes Y Mujeres Rurales En Actividades Agrícolas Y No Agrícolas</t>
  </si>
  <si>
    <t>Beneficiar A 2.400 Mujeres Rurales Campesinas, Personas En Condición De Vulnerabilidad Y Con Enfoque Diferencial En Formación Para El Trabajo Y Desarrollo Humano</t>
  </si>
  <si>
    <t>Número de mujeres rurales campesinas, personas en condición de vulnerabilidad y con enfoque diferencial beneficiados</t>
  </si>
  <si>
    <t>Formación Para El Trabajo Y El Desarrollo Humano</t>
  </si>
  <si>
    <t>Impulso a la competitividad productiva y empresarial del sector Rural</t>
  </si>
  <si>
    <t>Apoyar a 5 Sectores Productivos Del Departamento En Ruedas De Negocio</t>
  </si>
  <si>
    <t>0312 - 5 - 3 1 2 2 7 13 78 - 20</t>
  </si>
  <si>
    <t>201663000-0078</t>
  </si>
  <si>
    <t>FORTALECIMIENTO A LA COMPETITIVIDAD PRODUCTIVA Y EMPRESARIAL DEL SECTOR RURAL EN EL DEPARTAMENTO DEL QUINDIO</t>
  </si>
  <si>
    <t>Crecimiento del PIB del departamento  del Quindio frente al PIB Nacional</t>
  </si>
  <si>
    <t xml:space="preserve">Conocimiento de metodos no tradicionales de comercialización </t>
  </si>
  <si>
    <t>Impulsar la competitivdad productiva y empresarial  mediante ruedas de negocio</t>
  </si>
  <si>
    <t>JORGE IVAN LOAIZA BONILLA</t>
  </si>
  <si>
    <t>Diseñar e implementar (1) un instrumento de planificación e información rural para la comercialización de productos transables</t>
  </si>
  <si>
    <t>Instrumento de planificación e información diseñado e implementado</t>
  </si>
  <si>
    <t xml:space="preserve">Aumentar la  divulgacion de eventos especializados para acceder a mercados internacionales
</t>
  </si>
  <si>
    <t>Puesta en marcha de los instrumentos de planificación e información rural</t>
  </si>
  <si>
    <t>Fomento a la Agricultura Familiar Campesina, agricultura urbana y mercados campesinos para la soberanía y  Seguridad alimentaria</t>
  </si>
  <si>
    <t>Diseñar E Implementar El Programa De Agricultura Familiar Y Campesina</t>
  </si>
  <si>
    <t>Programa de agricultura familiar campesina diseñado e implementado</t>
  </si>
  <si>
    <t>0312 - 5 - 3 1 3 11 34 8 79 - 20</t>
  </si>
  <si>
    <t>201663000-0079</t>
  </si>
  <si>
    <t>FOMENTO A LA AGRICULTURA FAMILIAR CAMPESINA, AGRICULTURA URBANA Y MERCADOS CAMPESINOS PARA LA SOBERANÍA Y SEGURIDAD ALIMENTARIA</t>
  </si>
  <si>
    <t xml:space="preserve">Aumentar La Producción De Frutas Y Verduras Para El Autoconsumo Del Departamento Del Quindío A Través De La Implementación De Un Sistema De Parcelas Campesinas Y Comercio De Excedentes </t>
  </si>
  <si>
    <t>Diseñar e implementar un (1) programa de agricultura familiar campesina</t>
  </si>
  <si>
    <t>Asistencia Técnica A Beneficiarios Del Programa Soberanía Y Seguridad Alimentaria Y Nutricional</t>
  </si>
  <si>
    <t>Apoyar La Conformación De Cuatro Alianzas Para Contratos De Compra Anticipada De Productos De La Agricultura Familiar En El Departamento Del Quindío</t>
  </si>
  <si>
    <t>Numero de alianzas para contratos de compra anticipada apoyados</t>
  </si>
  <si>
    <t>Apoyar la conformación de cuatro (4) alianzas para contratos de compra anticipada de productos de la agricultura familiar en el departamento del Quindío</t>
  </si>
  <si>
    <t>Acompañamiento Y Asistencia Técnica A Productores Agropecuarios En La Productividad Primaria Y Alistamiento De La Oferta, Permitiendo Así El Aseguramiento De La Cadena Agroalimentaria En La Productividad Primaria</t>
  </si>
  <si>
    <t>Sembrar Quinientas (500) Ha De Productos De La Canasta Básica Familiar Para Aumentar La Disponibilidad De Alimentos</t>
  </si>
  <si>
    <t>Número de hectáreas sembradas</t>
  </si>
  <si>
    <t>Sembrar 150 Ha De Productos De La Canasta Básica Familiar</t>
  </si>
  <si>
    <t>Beneficiar A 2.400 Familias Urbanas Y Periurbanas Con Parcelas De Agricultura Familiar Para Autoconsumo Y Comercio De Excedentes</t>
  </si>
  <si>
    <t>Numero de familias beneficiadas</t>
  </si>
  <si>
    <t>Beneficiar a 2400 familias urbanas y periurbanas con parcelas de agricultura familiar para autoconsumo y comercio de excedentes</t>
  </si>
  <si>
    <t>Acompañamiento A Familias Urbanas Y Periurbanas En El Establecimiento De Parcelas De Agricultura Familiar</t>
  </si>
  <si>
    <t>Mejorar El Estado Nutricional De 1795 Niños Menor De 5 Años Y De 1531 Niños De 6 A 18 Años  En Riesgo De Desnutrición En El Departamento</t>
  </si>
  <si>
    <t>Numero de población infantil en riesgo con estado nutricional de 0 a 5 años y de 6 a 18 años mejorado</t>
  </si>
  <si>
    <t>Mejorar el estado nutricional de 1795 niños menor de 5 años y de 1531 niños de 6 a 18 años  en riesgo de desnutrición en el departamento</t>
  </si>
  <si>
    <t>Talleres De Capacitación En El Mejoramiento De La Dieta Alimenticia A Partir De Productos De La Canasta Básica Familiar</t>
  </si>
  <si>
    <t>ALVARO ARIAS YOUNG</t>
  </si>
  <si>
    <t>Secretario de Agricultura, medio Ambiente y Desarrollo Rural</t>
  </si>
  <si>
    <t xml:space="preserve">HOMBRE </t>
  </si>
  <si>
    <t>Mestiza</t>
  </si>
  <si>
    <t>Victimas</t>
  </si>
  <si>
    <t xml:space="preserve">PRESUPUESTADO </t>
  </si>
  <si>
    <t xml:space="preserve">P </t>
  </si>
  <si>
    <t>Inclusion Social</t>
  </si>
  <si>
    <t>Educacion Para la Paz</t>
  </si>
  <si>
    <t>Arte para todos</t>
  </si>
  <si>
    <t xml:space="preserve">Apoyar treinta (30) proyectos y/o actividades de formacion,difusion, circulacion, creacion e investigacion, planeacion y de espacios para el disdfrute de las artes </t>
  </si>
  <si>
    <t>Nro. de artistas y gestores en base de datos  / Cantidad de artistas y gestores incluidos en seguridad social</t>
  </si>
  <si>
    <t>0310 - 5 - 3 1 3 9 29 5 45 - 33
0310 - 5 - 3 1 3 9 29 5 45 - 83</t>
  </si>
  <si>
    <t>201663000-0045</t>
  </si>
  <si>
    <t xml:space="preserve">Apoyo a seguridad social del creador y gestor cultural del Departamento del Quindio </t>
  </si>
  <si>
    <t xml:space="preserve">Garantizar de seguridad social integral a gestores culturales y artistas </t>
  </si>
  <si>
    <t xml:space="preserve">Garantizar la seguridad social  para artistas y gestores culturales </t>
  </si>
  <si>
    <t xml:space="preserve">Reconocimiento de la calidad de artista y gestor cultural por el consejo Departamental de cultura </t>
  </si>
  <si>
    <t>Estampilla Procultura 10% Seguridad Social</t>
  </si>
  <si>
    <t>James Gonzalez Mata
Secretaria de Cultura</t>
  </si>
  <si>
    <t>Superávit Estampilla Procultura 10% Seguridad Social</t>
  </si>
  <si>
    <t xml:space="preserve">Aportes para la seguridad social de artistas reconocidos por el consejo Departamental de Cultura </t>
  </si>
  <si>
    <t>Apoyar  treinta (30) proyectos y/o actividades de formación, difusión, circulación, creación e investigación, planeación y de espacios para el disfrute de las artes</t>
  </si>
  <si>
    <t>Nro de proyectos o actividades programdas  /  Proyectos o actividades ejecutados</t>
  </si>
  <si>
    <t xml:space="preserve">
0310 - 5 - 3 1 3 9 29 5 46 - 88
0310 - 5 - 3 1 3 9 29 5 46 - 20
0310 - 5 - 3 1 3 9 29 5 46 - 39
0310 - 5 - 3 1 3 9 29 5 46 - 41
0310 - 5 - 3 1 3 9 29 5 46 - 83</t>
  </si>
  <si>
    <t>201663000-0046</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</si>
  <si>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</si>
  <si>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</si>
  <si>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 Ampliación de las oportunidades de acceso de la ciudadania al arte y la cultura </t>
  </si>
  <si>
    <t>Escuelas de formación</t>
  </si>
  <si>
    <t>Secretario de Cultura
Directora de Cultura Arte y Patrimonio
Asesora de Despacho
Profesional Universitario</t>
  </si>
  <si>
    <t xml:space="preserve"> Difusión y Circulación Artística</t>
  </si>
  <si>
    <t>Apoyo técnico y logístico</t>
  </si>
  <si>
    <t>Apoyar  ciento veinte (120) proyectos del programa de concertación cultural del departamento</t>
  </si>
  <si>
    <t>Alta concertación de proyectos con la institucionalidad cultural</t>
  </si>
  <si>
    <t>Convocatoria y apoyo logístico</t>
  </si>
  <si>
    <t>Estampilla Procultura 50% Concertación</t>
  </si>
  <si>
    <t xml:space="preserve">Evaluación y Seguimiento </t>
  </si>
  <si>
    <t>Cofinanciación de proyectos</t>
  </si>
  <si>
    <t>Superavit E.P.C</t>
  </si>
  <si>
    <t>Apoyar treinta y seis (36) proyectos mediante estímulos artísticos y culturales</t>
  </si>
  <si>
    <t>Mayor apoyo a la creación investigación y producción artistica</t>
  </si>
  <si>
    <t>Estampilla Procultura 10% Estímulos</t>
  </si>
  <si>
    <t xml:space="preserve"> Evaluación y Seguimiento </t>
  </si>
  <si>
    <t xml:space="preserve">Estampilla Procultura 10% EStímulos
</t>
  </si>
  <si>
    <t xml:space="preserve">Emprendimiento Cultural </t>
  </si>
  <si>
    <t>Fortalecer cinco (5) procesos de emprendimiento cultural y de desarrollo de industrias creativas</t>
  </si>
  <si>
    <t>0310 - 5 - 3 1 3 9 30 5 47 - 20</t>
  </si>
  <si>
    <t>201663000-0047</t>
  </si>
  <si>
    <t xml:space="preserve">Fortalecimiento y promoción del  emprendimiento cultural y las industrias creativas en el Departamento </t>
  </si>
  <si>
    <t xml:space="preserve">Disminución en la tasa de desempleo del departamento </t>
  </si>
  <si>
    <t>Fortalecimiento de los  procesos de emprendimiento cultural y de desarrollo de industrias creativas en el departamento</t>
  </si>
  <si>
    <t>Identificación y apoyo económico a organizaciones con proyectos de emprendimiento cultural</t>
  </si>
  <si>
    <t xml:space="preserve">Asesora de Despacho, Jefe de Patrimonio y Artes                                             Directora de Cultura Arte y Patrimonio 
</t>
  </si>
  <si>
    <t xml:space="preserve"> Seguimiento y evaluación del proceso de apoyo a emprendedores</t>
  </si>
  <si>
    <t>Lectura, escritura y bibliotecas</t>
  </si>
  <si>
    <t>Apoyar  veinte (20) proyectos y/o actividades en investigación, capacitación y difusión de la lectura y escritura para fortalecer la Red Departamental de Bibliotecas</t>
  </si>
  <si>
    <t>0310 - 5 - 3 1 3 9 31 5 48 - 34
0310 - 5 - 3 1 3 9 31 5 48 - 83 
0310 - 5 - 3 1 3 9 31 5 48 - 56</t>
  </si>
  <si>
    <t>201663000-0048</t>
  </si>
  <si>
    <t>Fortalecimiento al  Plan Departamental  de lectura, escritura y bibliotecas en el Departamento del Quindio .</t>
  </si>
  <si>
    <t xml:space="preserve">Disminuir la proporción de niños que desertan en educación básica secundaria y media   </t>
  </si>
  <si>
    <t>Aprovechamiento de la Red Departamental de Bibliotecas Públicas para la formación en lectura y escritura</t>
  </si>
  <si>
    <t>Realización de procesos formativos para promotores de lectura y escritura</t>
  </si>
  <si>
    <t>Estampilla Procultura 10% Bibliotecas</t>
  </si>
  <si>
    <t xml:space="preserve">
Profesional Universitario,    Secretario de Cultura 
Jefe de Patrimonio y Artes</t>
  </si>
  <si>
    <t>Encuentros para el intercambio, formación y retroalimentación de la Red de Bibliotecas</t>
  </si>
  <si>
    <t>Dotación y adecuación bibliotecaria</t>
  </si>
  <si>
    <t xml:space="preserve">Coordinación de actividades para el fortalecimiento de la Red </t>
  </si>
  <si>
    <t>Coordinación de actividades para el fortalecimiento de la Red según aceptacion de ayuda economica en el programa iberoamericano de bibliotecas publicas, VI convocatoria de ayudas 2018</t>
  </si>
  <si>
    <t>Superávit Cofinanciación Nacional</t>
  </si>
  <si>
    <t xml:space="preserve">Ampliación de espacios y acciones para la difusión de la lectura y escritura </t>
  </si>
  <si>
    <t>Apoyo al proyecto editorial Biblioteca de Autores Quindianos</t>
  </si>
  <si>
    <t xml:space="preserve">Estampilla Procultura 10% Bibliotecas
</t>
  </si>
  <si>
    <t>Superavit Estampilla Procultura</t>
  </si>
  <si>
    <t>Apoyo a actividades de difusión, promoción y circulación literaria</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</si>
  <si>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</si>
  <si>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</si>
  <si>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</si>
  <si>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0310 - 5 - 3 1 3 10 32 5 49 - 20
0310 - 5 - 3 1 3 10 32 5 49 - 47
0310 - 5 - 3 1 3 10 32 5 49 - 93</t>
  </si>
  <si>
    <t>201663000-0049</t>
  </si>
  <si>
    <t>Apoyo al reconocimiento, apropiación,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</si>
  <si>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</si>
  <si>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t>
  </si>
  <si>
    <t>Difusión y salvaguardia del patrimonio cultural</t>
  </si>
  <si>
    <t>IVA Telefonia movil Cultura</t>
  </si>
  <si>
    <t xml:space="preserve">Jefe de Patrimonio y Arte, Secretario de Cultura </t>
  </si>
  <si>
    <t>Recurso Ordinaro</t>
  </si>
  <si>
    <t>Superavit IVA Telefonia movil Cultura</t>
  </si>
  <si>
    <t>Investigaciones</t>
  </si>
  <si>
    <t>Apoyo a procesos, evaluación y seguimiento</t>
  </si>
  <si>
    <t>Mayor reconocimiento y valoración de la diversidad poblacional presente en el Quindío</t>
  </si>
  <si>
    <t>Apoyo a  proyectos y/o actividades de poblaciones especiales</t>
  </si>
  <si>
    <t xml:space="preserve">IVA Telefonia movil Cultura     
</t>
  </si>
  <si>
    <t xml:space="preserve">Apoyar diez (10) proyectos y/o actividades orientados a fortalecer la articulación comunicación y cultura </t>
  </si>
  <si>
    <t>0310 - 5 - 3 1 3 10 33 5 50 - 20
0310 - 5 - 3 1 3 10 33 5 50 - 88</t>
  </si>
  <si>
    <t>201663000-0050</t>
  </si>
  <si>
    <t>Fortalecimiento de la comunicación, la ciudadanía  y el sistema departamental de cultura  en el Quindio.</t>
  </si>
  <si>
    <t xml:space="preserve">Incremento en iniciativas que integren comunicación y cultura que contribuyan fortalecimiento del Sistema Departamental de Cultura  </t>
  </si>
  <si>
    <t>Mayor articulación entre la institucionalidad cultural y los gestores culturales para ampliar el acceso a la cultura y las artes.</t>
  </si>
  <si>
    <t>Apoyo a medios ciudadanos y comunitarios</t>
  </si>
  <si>
    <t xml:space="preserve">Directora de Cultura arte y Patrimonio
</t>
  </si>
  <si>
    <t>Implementación de una emisora de interés público del departamento del Quindío</t>
  </si>
  <si>
    <t>Apoyar  dieciséis (16) actividades y/o proyectos  para el afianzamiento del Sistema Departamental de Cultura</t>
  </si>
  <si>
    <t>Participación y  apoyo por parte de la Gobernación del Quindío a medios ciudadanos, comunitarios y de interés público</t>
  </si>
  <si>
    <t>Formación para la gestión cultural</t>
  </si>
  <si>
    <t>Fortalecimiento del Sistema de Información Cultural</t>
  </si>
  <si>
    <t>Apoyo a Consejos de las artes y la cultura</t>
  </si>
  <si>
    <t>JAMES GONZALEZ MATA</t>
  </si>
  <si>
    <t xml:space="preserve"> SECRETARIO DE CULTURA</t>
  </si>
  <si>
    <t>SEGUIMIENTO  PLAN DE ACCIÓN
SECRETARIA DE HACIENDA Y FINANZAS PUBLICAS
II TRIMESTRE 2019</t>
  </si>
  <si>
    <t xml:space="preserve">                                                               </t>
  </si>
  <si>
    <t>GESTIÓN TERRIITORIAL</t>
  </si>
  <si>
    <t>Implementar 4 procesos de fiscalización de las Rentas Departamentales</t>
  </si>
  <si>
    <t>Procesos de fiscalización implementados</t>
  </si>
  <si>
    <t>0307 - 5 - 3 1 5 28 88 17 16 - 20
0307 - 5 - 3 1 5 28 88 17 16 - 56
0307 - 5 - 3 1 5 28 88 17 16 - 88</t>
  </si>
  <si>
    <t>201663000-0016</t>
  </si>
  <si>
    <t xml:space="preserve"> Mejoramiento de la sostenibilidad de los procesos de fiscalización liquidación control y cobranza de los tributos en el Departamento del Quindío</t>
  </si>
  <si>
    <t xml:space="preserve"> Aumentar los  porcentajes de crecimiento de los ingresos en el Departamento del Quindio, a través de procesos de fiscalización, procedimientos administrativos de cobro coactivo de la cartera morosa y cumplimiento del  Programa Anticontrabando 
</t>
  </si>
  <si>
    <t xml:space="preserve">Realizar procesos de fiscalizaciòn de las rentas Departamentales, a través de la realización de controles en la
liquidación y cobranza  en los tributos con el fin de aumentar los ingresos consolidar la cultura tributaria y
aumentar la inversion. 
</t>
  </si>
  <si>
    <t>Procesos de Fiscalizaciòn sobre  LAS RENTAS DEPARTAMENTALES</t>
  </si>
  <si>
    <t xml:space="preserve">
Recurso Ordinario
</t>
  </si>
  <si>
    <t xml:space="preserve">
Recurso Ordinario-    Superavit Ordinario-   Convenio Anticontrabando
</t>
  </si>
  <si>
    <t>Maria Yaneth Salcedo Solano</t>
  </si>
  <si>
    <t xml:space="preserve"> Secretaría de Hacienda</t>
  </si>
  <si>
    <t>Implementar una estrategia de cobro coactivo sobre la cartera morosa de las Rentas Departamentales.</t>
  </si>
  <si>
    <t>Estrategia de cobro coactivo implementada</t>
  </si>
  <si>
    <t>Llevar a cabo la implementaciòn de los diferentes Procesos Administrativos de Cobro Coactivo sobre aquellos contribuyentes que se encuentran en mora de cancelar sus obligaciones tributarias</t>
  </si>
  <si>
    <t xml:space="preserve">Procedimiento Administrativo de cobro coactivo frente a la cartera de las diferentes Rentas del Departamento del Quindío </t>
  </si>
  <si>
    <t xml:space="preserve">
Recurso Ordinario</t>
  </si>
  <si>
    <t xml:space="preserve">Ejecutar el programa anti contrabando suscrito con la Federación Nacional de Departamentos.                               </t>
  </si>
  <si>
    <t>Programa anticontrabando ejecutado</t>
  </si>
  <si>
    <t>Ejecutar el Programa Anticontrabando en el Departamento del Quindìo con ocasion de la suscripcion del Convenio entre el Departamento del Quindìo y la Federaciòn Nacional de Departamentos</t>
  </si>
  <si>
    <t xml:space="preserve">Programa Anticontrabando de licores, Cerveza y Cigarrillos.
</t>
  </si>
  <si>
    <t>Convenio Anticontrabando</t>
  </si>
  <si>
    <t>Elaborar el diagnóstico del sistema de Información tributario y financiero</t>
  </si>
  <si>
    <t>Diagnostico del sistema de información tributario y financiero elaborado</t>
  </si>
  <si>
    <t xml:space="preserve">0307 - 5 - 3 1 5 28 88 17 17 - 20
0307 - 5 - 3 1 5 28 88 17 17 - 88
</t>
  </si>
  <si>
    <t>201663000-0017</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</si>
  <si>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</si>
  <si>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t>
  </si>
  <si>
    <t>Elaborar el diagnóstico del sistema de información tributario y financiero, consolidando los sistemas de información y optimizando los procesos en el área de tesoreria, presupuesto y contabilidad en el Departamento del Quindío</t>
  </si>
  <si>
    <t>consolidación de los sistemas de información</t>
  </si>
  <si>
    <t>Recurso Ordinario-    Superavit Ordinario</t>
  </si>
  <si>
    <t>Edwin Leonardo Acevedo Lozano</t>
  </si>
  <si>
    <t xml:space="preserve">  Secretarría de Hacienda</t>
  </si>
  <si>
    <t xml:space="preserve">Implementar un programa para el cumplimiento de las políticas y prácticas contables para la administración departamental         </t>
  </si>
  <si>
    <t>Programa para el cumplimiento de políticas contables implementado</t>
  </si>
  <si>
    <t xml:space="preserve">Adoptar el nuevo modelo de informaciòn Financiera determinado por las Normas Internacionales de Contabilidad de información financiera NIIF, a fin de garantizar la confiabilidad de la información financiera.
</t>
  </si>
  <si>
    <t xml:space="preserve"> Implementaciòn de Normas Internacionales de Informaciòn Financiera (NIIF) y fortalecimiento institucional ara el cumplimiento de de las politicas y practicas contables en el área de tesorería, Presupuesto y Contabilidad</t>
  </si>
  <si>
    <t>                         </t>
  </si>
  <si>
    <t xml:space="preserve">LUZ HELENA MEJIA  CARDONA </t>
  </si>
  <si>
    <t>Secretaria de Hacienda Y Finanzas Públicas</t>
  </si>
  <si>
    <t xml:space="preserve">SEGUIMIENTO PLAN DE ACCIÓN 
PROMOTORA DE VIVIENDA DEL QUINDIO "PROVIQUINDIO"
II TRIMESTRE 2019
</t>
  </si>
  <si>
    <t>POBLACION</t>
  </si>
  <si>
    <t>ESTRATEGIA</t>
  </si>
  <si>
    <t>PROGRAMA</t>
  </si>
  <si>
    <t>SUBPROGRAMA</t>
  </si>
  <si>
    <t>META PRODUCTO PLAN DE DESARROLLO</t>
  </si>
  <si>
    <t>NO</t>
  </si>
  <si>
    <t>VALOR EN PESOS</t>
  </si>
  <si>
    <t>Infraestructura Sostenible para la Paz</t>
  </si>
  <si>
    <t>Mejora de la Infraestructura Vial del Departamento del Quindío</t>
  </si>
  <si>
    <t>Mantener, mejorar y/o rehabilitar ciento treinta (130) km de vías del Departamento para la implementación del Plan Vial Departamental.</t>
  </si>
  <si>
    <t>Km de vías del departamento mantenidas, mejoradas y/o rehabilitadas</t>
  </si>
  <si>
    <t>0211101_4
0211102_3</t>
  </si>
  <si>
    <t>201663000-0171</t>
  </si>
  <si>
    <t xml:space="preserve">Apoyo en la formulación y ejecucion de proyectos de vivienda, infraestructura y equipamientos colectivos y comunitarios en el Departamento del Quindio </t>
  </si>
  <si>
    <t xml:space="preserve">Disminuir el porcentaje de personas en situación de pobreza en el Departamento del Quindio.
</t>
  </si>
  <si>
    <t>Aumento de la cobertura  en los componentes de vivienda, infraestructura y equipamiento colectivo y comunitario Aumento de la cobertura  en los componentes de vivienda, infraestructura y equipamiento colectivo y comunitario.</t>
  </si>
  <si>
    <t>Mantener, mejorar y/o rehabilitar la infraestructura y vial del departamento</t>
  </si>
  <si>
    <t>IMPUESTO AL REGISTRO</t>
  </si>
  <si>
    <t>IR</t>
  </si>
  <si>
    <t>Leonardo Rodriguez Ospina</t>
  </si>
  <si>
    <t>Gerente General</t>
  </si>
  <si>
    <t>SUPERAVIT IMPUESTO AL REGISTRO</t>
  </si>
  <si>
    <t>Mejora de la Infraestructura  Social del Departamento del Quindío</t>
  </si>
  <si>
    <t>Apoyar la construcción, mejoramiento y/o  rehabilitación de la infraestructura de doce (12) escenarios deportivos y/o recreativos en el departamento del Quindío</t>
  </si>
  <si>
    <t>Número de escenarios deportivo o recreativo  apoyado</t>
  </si>
  <si>
    <t xml:space="preserve">Desarrollo de Programas y Proyectos, en los componentes de vivienda, infraestructura, equipamiento colectivo y comunitario.
</t>
  </si>
  <si>
    <t>Construcción, mejoramiento y/o rehabilitación de la infraestructura de escenarios deportivos y/o recreativos.</t>
  </si>
  <si>
    <t>04</t>
  </si>
  <si>
    <t>EPD</t>
  </si>
  <si>
    <t xml:space="preserve">IR.
EPD.
</t>
  </si>
  <si>
    <t>Leonardo Rodriguez Ospina.
Claudia Andrea Londoño Celis</t>
  </si>
  <si>
    <t>Mantener, mejorar y/o rehabilitar la Infraestructura de cuarenta y ocho (48) instituciones educativas en el departamento del Quindío.</t>
  </si>
  <si>
    <t>Numero de instituciones educativas mantenidas, mejoradas y/o rehabilitadas</t>
  </si>
  <si>
    <t>Mantener, mejorar y/o rehabilitar la Infraestructura instituciones educativas en el departamento del Quindío.</t>
  </si>
  <si>
    <t>Apoyar la construcción, el mantenimiento, el mejoramiento y/o la rehabilitación de la infraestructura de dos (2) equipamientos públicos y colectivos del Departamento del Quindío.</t>
  </si>
  <si>
    <t>Numero de equipamientos públicos y colectivos apoyados</t>
  </si>
  <si>
    <t>Construcción, mantenimiento, mejoramiento y/o la rehabilitación de la infraestructura de equipamientos públicos y colectivos.</t>
  </si>
  <si>
    <t>53</t>
  </si>
  <si>
    <t>Apoyar la construcción y  el mejoramiento de mil (1000) viviendas urbana y rural priorizada en el departamento del Quindío.</t>
  </si>
  <si>
    <t>Número de viviendas apoyadas</t>
  </si>
  <si>
    <t>0211101_4
0211102_3
0211103_7</t>
  </si>
  <si>
    <t>Mejoramiento y/o construcción de vivienda urbana y rural.</t>
  </si>
  <si>
    <t>TOTAL:</t>
  </si>
  <si>
    <t>LEONARDO RODRIGUEZ OSPINA</t>
  </si>
  <si>
    <t>Gerente General - ProviQuindío.</t>
  </si>
  <si>
    <t>Proyectó: Diego Fernando Ramirez Restrepo</t>
  </si>
  <si>
    <t>Profesional Universitario - Contratista.</t>
  </si>
  <si>
    <t>SEGUIMIENTO PLAN DE ACCIÓN
SECRETARIA DEL INTERIOR
II TRIMESTRE 2019</t>
  </si>
  <si>
    <t xml:space="preserve">META FISICA </t>
  </si>
  <si>
    <t>CÓDIGO</t>
  </si>
  <si>
    <t>FUENTE DE RECURSO</t>
  </si>
  <si>
    <t>Edad Económicamente
Activa (20-59 años)</t>
  </si>
  <si>
    <t>FECHA DE TERMINACIÓN</t>
  </si>
  <si>
    <t>SEGURIDAD HUMANA</t>
  </si>
  <si>
    <t>SEGURIDAD HUMANA COMO DINAMIZADOR DE LA VIDA, DIGNIDAD Y LIBERTAD EN EL QUINDÍO</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</si>
  <si>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</si>
  <si>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</si>
  <si>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</si>
  <si>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201663000-0028</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</si>
  <si>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</si>
  <si>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</si>
  <si>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</si>
  <si>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para iniciativas,actividades y/o proyectos productivos</t>
  </si>
  <si>
    <t xml:space="preserve">
Recurso Ordinario
</t>
  </si>
  <si>
    <t>SECRETARIO DEL INTERIOR</t>
  </si>
  <si>
    <t>Superavit
Fondos de seguridad 5%</t>
  </si>
  <si>
    <t>Fortalecer 10 programas de prevención y superación del Sistema de responsabilidad penal para adolescentes</t>
  </si>
  <si>
    <t>Número de programas de prevención y superación fortalecidos</t>
  </si>
  <si>
    <t>Apoyo para iniciativas,actividades y/o proyectos productivos dirigidoa a población de infancia y adolescencia</t>
  </si>
  <si>
    <t xml:space="preserve">
Recurso Ordinario
</t>
  </si>
  <si>
    <t>Apoyar la construcción, refacción o adecuación de  seis (6) estaciones de policía y/o guarniciones militares y/o instituciones carcelarias</t>
  </si>
  <si>
    <t>Número de estaciones de policía y/o guarniciones militares y/o instituciones carcelarias apoyadas</t>
  </si>
  <si>
    <t xml:space="preserve">Adquisición de materiales para la construcción </t>
  </si>
  <si>
    <t>Adquisición de terrenos para construcción  de UBICAR (Unidad Básica de carabineros)</t>
  </si>
  <si>
    <t>Adecuación y modernización sistema Circuito Cerrado de TV  (CCTV) Centro de Atención Especializa Especializada (CAE)</t>
  </si>
  <si>
    <t xml:space="preserve">Intervención en obras menores </t>
  </si>
  <si>
    <t>Dotar cinco (5) organismos de seguridad de del departamento con elementos tecnológicos y logísticos que faciliten su operatividad y capacidad de respuesta</t>
  </si>
  <si>
    <t>Número de organismos de seguridad y/o de régimen carcelario dotados</t>
  </si>
  <si>
    <t>Financiación del proyecto de tecnología en seguridad</t>
  </si>
  <si>
    <t>Fondos de seguridad 5%</t>
  </si>
  <si>
    <t xml:space="preserve">Financiación y/o coofinaciación de proyectos de móvilidad </t>
  </si>
  <si>
    <t>Suministro de combustible</t>
  </si>
  <si>
    <t>Arrendamientos de oficinas para organismos de seguridad</t>
  </si>
  <si>
    <t>0309 - 5 - 3 1 4 23 75 18 28 - 20</t>
  </si>
  <si>
    <t xml:space="preserve">Adecuación de tecnología en salas de organismos de seguridad </t>
  </si>
  <si>
    <t xml:space="preserve">Juliana
 Hénandez </t>
  </si>
  <si>
    <t>Suministro de alimentación</t>
  </si>
  <si>
    <t>Alejandro Agudelo</t>
  </si>
  <si>
    <t>0309 - 5 - 3 1 4 23 75 18 28 - 42</t>
  </si>
  <si>
    <t>Pago a fuentes humanas</t>
  </si>
  <si>
    <t>Adquisición de bienes muebles necesarios para el funcionamiento de la diferentes iniciativas o programas de los oraganismos de seguridad del departamento</t>
  </si>
  <si>
    <t>0309 - 5 - 3 1 4 23 75 18 28 - 92</t>
  </si>
  <si>
    <t>Adquisición de bienes inmuebles para los organismos de seguridad</t>
  </si>
  <si>
    <t>Adquisición de bienes y suministro, para material de intendencia y logística</t>
  </si>
  <si>
    <t>Impresos y publicidad.</t>
  </si>
  <si>
    <t>Servicios de apoyo en procesos tecnológicos de seguridad en el departamento</t>
  </si>
  <si>
    <t>Servicios de apoyo en estudios financieros y ecónomicos de los diferentes procesos para los organismos de seguridad</t>
  </si>
  <si>
    <t>Servicios de apoyo para los procesos de adquisición de bienes y servicios con cargo a los organismos de seguridad del departamento</t>
  </si>
  <si>
    <t xml:space="preserve">Prestación de Servicios y/o suministro de logística, material de intendencia o demás programas y/o estrategias relacionados con los organismos de seguridad </t>
  </si>
  <si>
    <t>Apoyar 3 observatorios locales del delito</t>
  </si>
  <si>
    <t>Número de observatorios del delito apoyados</t>
  </si>
  <si>
    <t>Levantamiento de información, investigación y análisis de hechos y conductas delicitas en el departamento del Quindío</t>
  </si>
  <si>
    <t>Dotación tecnologíca, de comunicaciones   y/o logistica para los programas, proyectos  o estrategías de pevención y seguridad en el departamento del Quindío</t>
  </si>
  <si>
    <t>CONVIVENCIA, JUSTICIA Y CULTURA DE PAZ</t>
  </si>
  <si>
    <t>Apoyar la implementación de treinta y seis (36) programas de prevención del delito y mediación de conflictos en comunidades focalizadas del departamento</t>
  </si>
  <si>
    <t>Programas de prevención del delito y mediación de conflictos apoyados</t>
  </si>
  <si>
    <t>201663000-0029</t>
  </si>
  <si>
    <t xml:space="preserve">Apoyo a la convivencia, justicia y cultura de paz en el Departamento del Quindío </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</si>
  <si>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</si>
  <si>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</si>
  <si>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 xml:space="preserve">Intervenciones psicosocilales, y/o de formación productiva integrales en los 11 barrios focalizados </t>
  </si>
  <si>
    <t xml:space="preserve">
20
</t>
  </si>
  <si>
    <t xml:space="preserve">
Recurso 
ordinario
</t>
  </si>
  <si>
    <t xml:space="preserve">SECRETARIO DEL INTERIOR
</t>
  </si>
  <si>
    <t xml:space="preserve">
92</t>
  </si>
  <si>
    <t>Implementación de programas ludicos,culturales y/o deportivos  para población vulnerable en areas focalizadas</t>
  </si>
  <si>
    <t xml:space="preserve">
Recurso 
ordinario
</t>
  </si>
  <si>
    <t xml:space="preserve">Generación y/o apoyo a programas de intervención social y/o de seguridad </t>
  </si>
  <si>
    <t>0309 - 5 - 3 1 4 23 76 18 29 - 20</t>
  </si>
  <si>
    <t>Logística, refrigerios,transporte y/o combustible</t>
  </si>
  <si>
    <t>Atencion integral de Barrios con situacion critica de convivencia en los 12 Municipios  del Departamento</t>
  </si>
  <si>
    <t>Municipios con atencion integral</t>
  </si>
  <si>
    <t xml:space="preserve">Intervenciones Psicosociales y/o de formación productiva integrales en los cinco municipios focalizados </t>
  </si>
  <si>
    <t>0309 - 5 - 3 1 4 23 76 18 29 - 92</t>
  </si>
  <si>
    <t>Elaboración y/o difusión de campañas de intervención social y prevención del delito en los municipios del departamento</t>
  </si>
  <si>
    <t xml:space="preserve">
Superavit
Fondos de seguridad 5%</t>
  </si>
  <si>
    <t xml:space="preserve">Recurso 
ordinario
</t>
  </si>
  <si>
    <t>Actualizar e implementar el Plan Integral de Seguridad y Convivencia Ciudadana (PISCC)</t>
  </si>
  <si>
    <t>Plan integral de seguridad y convivencia ciudadana actualizado e implementado</t>
  </si>
  <si>
    <t>Seguimiento y ejecución de los objetivos del PISCC</t>
  </si>
  <si>
    <t>CONSTRUCCION DE PAZ Y RECONCILIACION EN EL QUINDÍO</t>
  </si>
  <si>
    <t>PLAN DE ACCIÓN TERRITORIAL PARA LAS VICTIMAS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</si>
  <si>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</si>
  <si>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</si>
  <si>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201663000-0030</t>
  </si>
  <si>
    <t>Implementación del plan de acción territorial para la prevención, protección, asistencia, atención, y reparación integral en el Departamento del Quindío</t>
  </si>
  <si>
    <t xml:space="preserve">Incremento del porcentaje de cumplimiento de ley  1448 de 2011 atención a víctimas, que garantice  el goce efectivo de derechos
</t>
  </si>
  <si>
    <t xml:space="preserve">1.Entidades territoriales con asignación presupuestal por necesidad identificada 
2.Procesos de paz en ejecución  para el fin del conflicto 
3.Articulación institucional.
</t>
  </si>
  <si>
    <t>Socialización de rutas de protección a las organizaciones de victimas de los 12 municipios del Departamento</t>
  </si>
  <si>
    <t>Recurso ordinario</t>
  </si>
  <si>
    <t xml:space="preserve">598
</t>
  </si>
  <si>
    <t xml:space="preserve">
167</t>
  </si>
  <si>
    <t xml:space="preserve">
150</t>
  </si>
  <si>
    <t xml:space="preserve">
200</t>
  </si>
  <si>
    <t xml:space="preserve">
658</t>
  </si>
  <si>
    <t>Apoyo a municipios priorizados para reparacion colectiva</t>
  </si>
  <si>
    <t>Brindar informacion y orientación a las victimas del conflicto de los 12 municipios del departamento</t>
  </si>
  <si>
    <t>Brindar asistencia y capacitacion a las organizaciones con enfoque diferencial y mesas de participación efectiva de victimas en los 12 municipios del Departamento en la ley de victimas y restitución de tierras y sus enfoques reglamentarios</t>
  </si>
  <si>
    <t xml:space="preserve">Apoyo a iniciativas que aportan a la Memoria Historica en el Departamento </t>
  </si>
  <si>
    <t>Realizar jornadas de prevencion a vulneraciones de DDHH y DIH a las mesas de participación efectiva de victimas en los 12 municipios del Departamento</t>
  </si>
  <si>
    <t>Apoyo a proyectos productivos población víctima</t>
  </si>
  <si>
    <t>Superavit ordinario</t>
  </si>
  <si>
    <t>Logística y/o refrigerios</t>
  </si>
  <si>
    <t>Apoyar  la atención humanitaria inmediata a la población víctima del conflicto en los 12 municipios</t>
  </si>
  <si>
    <t>Número de municipios apoyados en la atención humanitaria inmediata</t>
  </si>
  <si>
    <t>Concurrir, complementar y subsidiar los kits de ayuda  humanitaria inmediata en los 12 municipios del Quindio</t>
  </si>
  <si>
    <t xml:space="preserve">Apoyar los procesos de retorno y reubicación de las victimas del conflicto armado, en caso de ser requerido </t>
  </si>
  <si>
    <t>Iván Aguirre Franco</t>
  </si>
  <si>
    <t xml:space="preserve">Fortalecer el Comité departamental de justicia transicional y la mesa de participación efectiva de las víctimas del conflicto </t>
  </si>
  <si>
    <t>Número de instancias de participación fortalecidas</t>
  </si>
  <si>
    <t>0309 - 5 - 3 1 4 24 78 14 30 - 20</t>
  </si>
  <si>
    <t xml:space="preserve">Garantias para Sesiones comité ejecutivo y ética mesa de victimas </t>
  </si>
  <si>
    <t>María A. Berrio</t>
  </si>
  <si>
    <t>Garantias para Sesiones plenario mesa departamental de  victimas</t>
  </si>
  <si>
    <t>0309 - 5 - 3 1 4 24 78 14 30 - 88</t>
  </si>
  <si>
    <t xml:space="preserve">Apoyo al Plan de Trabajo de la mesa Departamental de Victimas </t>
  </si>
  <si>
    <t xml:space="preserve">Garantias para representates de la mesa departamental de victimas para asistir a las Sesiones del  Comité Departamental de Justicia Transicional </t>
  </si>
  <si>
    <t>Garantias para representates de la mesa departamental de victimas para asistir a las Sesiones de los subcomites departamentales de justicia transcional</t>
  </si>
  <si>
    <t xml:space="preserve">Apoyar la construcción y la actualización de los Planes de Acción Territorial de victimas PAT municipales y  el PAT departamental </t>
  </si>
  <si>
    <t>Número de Planes acción territorial de víctimas apoyados</t>
  </si>
  <si>
    <t>Procesos de articulación asistencia y atención a los municipios y su población víctima Sesiones de Comites y Subcomites</t>
  </si>
  <si>
    <t xml:space="preserve">Brindar asistencia a los 12 municipios del Departamento para las actualizaciones de los PAT municipales de manera armonica con el PAT departamental. </t>
  </si>
  <si>
    <t xml:space="preserve">
Diseñar e implementar el sistema de información para la prevención, atención, asistencia y reparación integral a las víctimas del conflicto armado interno </t>
  </si>
  <si>
    <t>Sistema de información diseñado e implementado</t>
  </si>
  <si>
    <t>Seguimiento a implementación  de la Herramienta de Gestión Local en los 12 municipios del Departamento</t>
  </si>
  <si>
    <t>Implementación del Plan Operativo de Sistemas de Información POSI</t>
  </si>
  <si>
    <t>Apoyo a procesos de caracterización de los municipios, cuando sea requerido por estos</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</si>
  <si>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</si>
  <si>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</si>
  <si>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</si>
  <si>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201663000-0032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</si>
  <si>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</si>
  <si>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</si>
  <si>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</si>
  <si>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 xml:space="preserve">Actualización e implementación del plan integral de prevención de vulneración de DDHH  </t>
  </si>
  <si>
    <t xml:space="preserve">
437</t>
  </si>
  <si>
    <t xml:space="preserve">
325</t>
  </si>
  <si>
    <t xml:space="preserve">
212</t>
  </si>
  <si>
    <t xml:space="preserve">
180</t>
  </si>
  <si>
    <t xml:space="preserve">
120</t>
  </si>
  <si>
    <t xml:space="preserve">
762</t>
  </si>
  <si>
    <t>Realizar jornadas de socialización en rutas de protección a Juntas de Acción Comunal en los 12 municipios del Departamento</t>
  </si>
  <si>
    <t xml:space="preserve">Apoyar en los doce (12) municipios la articulación institucional para la prevención a las violaciones DDHH  e infracciones al DIH </t>
  </si>
  <si>
    <t xml:space="preserve">Número de municipios apoyados </t>
  </si>
  <si>
    <t>0309 - 5 - 3 1 4 24 79 14 32 - 20</t>
  </si>
  <si>
    <t>Foro de Derechos Humanos</t>
  </si>
  <si>
    <t>Superavít ordinario</t>
  </si>
  <si>
    <t>Realizar jornadas de capacitación para la  prevencion y sensibilizacion de los Derechos Humanos en los 12 municipios del Departamento</t>
  </si>
  <si>
    <t xml:space="preserve">Actualizar e Implementar el plan lucha contra la trata de personas
</t>
  </si>
  <si>
    <t>Programa de atención integral a victimas de trata de personas actualizado e  implementado</t>
  </si>
  <si>
    <t>0309 - 5 - 3 1 4 24 79 14 32 - 88</t>
  </si>
  <si>
    <t xml:space="preserve">Jornadas de prevención del delito de trata de personas  en los 12 municipios del Departamento </t>
  </si>
  <si>
    <t>Ayuda Humanitaria para victimas de trata de personas</t>
  </si>
  <si>
    <t>PREPARADOS PARA LA PAZ</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</si>
  <si>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</si>
  <si>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</si>
  <si>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201663000-0034</t>
  </si>
  <si>
    <t>Construcción de la Paz Territorial en el Departamento del Quindio</t>
  </si>
  <si>
    <t xml:space="preserve">Promoción de sociedades pacíficas e inclusivas para el desarrollo sostenible,facilitar el acceso a la justicia para todos y crear instituciones eficaces, responsables e inclusivas a toodos los niveles (ODS 16). 
</t>
  </si>
  <si>
    <t xml:space="preserve">1. Factores generadores  de expresión de valores,actidudes,tradiciones y patrones de comporatmiento de respeto a la vida,los DDHH y la libertad de expresón 
2. Creación de una cultura en DDHH e igualdad y no discriminación 
</t>
  </si>
  <si>
    <t>Apoyar el seguimiento de los planes de DDHH de los 12 municipios del Departamento.</t>
  </si>
  <si>
    <t>Acompañamiento a Comites Municipales de Derechos Humanos que estén creados y funcionando.</t>
  </si>
  <si>
    <t xml:space="preserve">Apoyar y articular en los doce (12) municipios  del departamento las actuaciones institucionales en procura de la garantía de la construcción de paz </t>
  </si>
  <si>
    <t>Número de municipios apoyados y articulados</t>
  </si>
  <si>
    <t>0309 - 5 - 3 1 4 24 80 14 34 - 20</t>
  </si>
  <si>
    <t>Fortalecer Consejo Departamental de Paz, Reconciliación, Convivencia, DDHH y DIH.</t>
  </si>
  <si>
    <t>Foro DDHH.</t>
  </si>
  <si>
    <t>0309 - 5 - 3 1 4 24 80 14 34 - 88</t>
  </si>
  <si>
    <t>Socialización de implementación de los acuerdos en el Departamento.</t>
  </si>
  <si>
    <t>Logistica y Refrigerios</t>
  </si>
  <si>
    <t>Papeleria</t>
  </si>
  <si>
    <t>Apoyo para la Politica de Reintegrados</t>
  </si>
  <si>
    <t>Superavít Ordinario</t>
  </si>
  <si>
    <t>Acciones en pro de la construcción de paz</t>
  </si>
  <si>
    <t>EL QUINDIO DEPARTAMENTO RESILIENTE</t>
  </si>
  <si>
    <t>}</t>
  </si>
  <si>
    <t>QUINDIO PROTEGIENDO EL FUTURO</t>
  </si>
  <si>
    <t xml:space="preserve">Realizar catorce (14) estudios de riesgo y análisis de vulnerabilidad en  los municipios del departamento </t>
  </si>
  <si>
    <t>Número de estudios de riesgo analizados</t>
  </si>
  <si>
    <t>201663000-0036</t>
  </si>
  <si>
    <t xml:space="preserve">Administración del  riesgo mediante el conocimiento, la reducción y el manejo del desastre  en el Departamento del Quindio. </t>
  </si>
  <si>
    <t xml:space="preserve">Lograr que las ciudadaes y los asentamientos humanos sean inclusivos,resilientes y sostenibles (ODS-objetivo 11)
</t>
  </si>
  <si>
    <t xml:space="preserve">1. Conocimiento de los riesgos en el departamento.
2. Diseñar modelos de reducción del riesgo en el departamento.
3. Fortalecer las instituciones  para el adecuado manejo de los desastres.  
</t>
  </si>
  <si>
    <t xml:space="preserve">Realizar estudios de riesgo y análisis de vulnerabilidad en  los municipios del departamento </t>
  </si>
  <si>
    <t xml:space="preserve">
5326</t>
  </si>
  <si>
    <t xml:space="preserve">
3615</t>
  </si>
  <si>
    <t>Faber Mosquera Alvarez</t>
  </si>
  <si>
    <t xml:space="preserve">Apoyar a ciento cincuenta (150) instituciones educativas del departamento en la formulación de Planes Escolares de Gestión del Riesgo (PGERD) </t>
  </si>
  <si>
    <t xml:space="preserve">Número de instituciones educativas apoyadas en la formulación de los PGERD  </t>
  </si>
  <si>
    <t>Conocimiento manejo y reducción del riesgo en el departamento</t>
  </si>
  <si>
    <t xml:space="preserve">Formulación de los planes escolares de gestión del riesgo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</si>
  <si>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</si>
  <si>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</si>
  <si>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Apoyo en formacion y capacitación de gestión del riesgo</t>
  </si>
  <si>
    <t>Fortalecimiento instituciones de socorro</t>
  </si>
  <si>
    <t xml:space="preserve">Adquisición tecnología (cámara térmica, Dron)
</t>
  </si>
  <si>
    <t xml:space="preserve">
1956</t>
  </si>
  <si>
    <t>Material didáctico</t>
  </si>
  <si>
    <t xml:space="preserve">
2700</t>
  </si>
  <si>
    <t xml:space="preserve">
950</t>
  </si>
  <si>
    <t>0309 - 5 - 3 1 4 25 81 12 36 - 20</t>
  </si>
  <si>
    <t>Organización de foros, talleres, eventos, y/o actividades</t>
  </si>
  <si>
    <t xml:space="preserve">Realizar 10 intervenciones en  áreas vulnerables del departamento </t>
  </si>
  <si>
    <t>Número de intervenciones en áreas vulnerables realizadas</t>
  </si>
  <si>
    <t xml:space="preserve">Intervenciones, obras de ingenieria y/o análisis vulnerabilidad </t>
  </si>
  <si>
    <t>Orden Nacional (UNGRD)</t>
  </si>
  <si>
    <t xml:space="preserve">Fortalecer el comité departamental de gestión del riesgo de desastres </t>
  </si>
  <si>
    <t>Comité departamental de gestión del riesgo de desastres fortalecido</t>
  </si>
  <si>
    <t>Mantenimiento red de comunicaciones</t>
  </si>
  <si>
    <t>Procesos de atención a PQRS y servicios demandados por la de la comunidad</t>
  </si>
  <si>
    <t xml:space="preserve">Actualización y desarrollo de  tecnologías en gestión del riesgo </t>
  </si>
  <si>
    <t>Formacion y capacitacion en el manejo del riesgo</t>
  </si>
  <si>
    <t>Servicios y atención  de manejo de riesgos</t>
  </si>
  <si>
    <t xml:space="preserve">Fortalecimiento  a las instituciones del comité de manejo
</t>
  </si>
  <si>
    <t>FORTALECIMIENTO INSTITUCIONAL PARA LA GESTIÓN DEL RIESGO DE DESASTRES COMO UNA ESTRATEGIA DE DESARROLLO</t>
  </si>
  <si>
    <t>Poner en funcionamiento operativo la sala de crisis del Departamento</t>
  </si>
  <si>
    <t>Sala de crisis del departamento funcionando</t>
  </si>
  <si>
    <t>0309 - 5 - 3 1 4 25 82 12 38 - 20</t>
  </si>
  <si>
    <t>201663000-0038</t>
  </si>
  <si>
    <t>Apoyo institucional en la gestión del riesgo  en el Departamento del Quindio</t>
  </si>
  <si>
    <t xml:space="preserve">Lograr que las ciudadaes y los asentamientos humanos sean inclusivos, resilientes y sostenibles (ODS-objetivo 11)
</t>
  </si>
  <si>
    <t xml:space="preserve">1. Cumplimiento de los protocolos para la preparación y manejo de la emergencia.
2. Destinación de recursos en el ambito local para la atención de las emergencias.
</t>
  </si>
  <si>
    <t xml:space="preserve">Adquisición y/o mantenimiento  de equipos de  comunicación y/o tecnología   </t>
  </si>
  <si>
    <t xml:space="preserve">Articulación y coordinación para el manejo de  desastres en la sala de crisis del departamento </t>
  </si>
  <si>
    <t>Fortalecer  la dotación de la bodega estratégica de la Unidad Departamental de la Gestión del Riesgo de Desastres UDEGER</t>
  </si>
  <si>
    <t>Unidad Departamental de la Gestión del Riesgo de Desastre UDEGER dotada</t>
  </si>
  <si>
    <t xml:space="preserve">Apoyo para la entrega de ayuda humanitaria </t>
  </si>
  <si>
    <t>Suministro de ayudas  Humanitaria</t>
  </si>
  <si>
    <t>PODER CIUDADANO</t>
  </si>
  <si>
    <t>QUINDIO SI A LA PARTICIPACIÓN</t>
  </si>
  <si>
    <t>Desarrollar estrategias tendientes a promover la participación ciudadana en el departamento</t>
  </si>
  <si>
    <t>Estrategias de participación desarrolladas</t>
  </si>
  <si>
    <t>0309 - 5 - 3 1 5 27 85 16 39 - 20
0309 - 5 - 3 1 5 27 85 16 39 - 88</t>
  </si>
  <si>
    <t>201663000-0039</t>
  </si>
  <si>
    <t>Construcción de la participación ciudadana y control social en el Departamento del Quindio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</si>
  <si>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</si>
  <si>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 Convicción de la comunidad  en los programas encaminados a brindar el acercamiento a las instituciones públicas
3.  Fortalecimeinto en la estructuración de políticas, programas ,legislación, proyectos sociales y desarrollo comunitario.
</t>
  </si>
  <si>
    <t>Servicios como apoyo a estrategías de participación</t>
  </si>
  <si>
    <t xml:space="preserve">Celebración de la semana de participación </t>
  </si>
  <si>
    <t>Realización de eventos para el  fortalecimiento a la participación ciudadana y control social</t>
  </si>
  <si>
    <t xml:space="preserve">Logística, transporte y/o refrigerios </t>
  </si>
  <si>
    <t>Material y piezas promocionales como estrategías de participación</t>
  </si>
  <si>
    <t>Servicios de Apoyo para eventos de formación,capacitación</t>
  </si>
  <si>
    <t xml:space="preserve">Apoyo a estrategías y/o programas de promoción y fortalecimiento de la participación ciudadana </t>
  </si>
  <si>
    <t xml:space="preserve">Adquisición de equipos tecnológicos y/o muebles logísticos para el mejoramiento de la atención al ciudadano
</t>
  </si>
  <si>
    <t>Creación y puesta en funcionamiento  del Consejo departamental de participación Ciudadana</t>
  </si>
  <si>
    <t xml:space="preserve">Consejo departamental creado y funcionando </t>
  </si>
  <si>
    <t>Servicios de apoyo a la operatividad del consejo de participación ciudadana</t>
  </si>
  <si>
    <t>Material pedagogíco y/o promocional relacionado con el consejo de participación</t>
  </si>
  <si>
    <t>Juliana Hénandez</t>
  </si>
  <si>
    <t xml:space="preserve">Servicios de Apoyo para eventos de formación, capacitación y/o formulación de políticas publicas 
</t>
  </si>
  <si>
    <t>Sandra Gaviria</t>
  </si>
  <si>
    <t>Prestación de servicio de transporte</t>
  </si>
  <si>
    <t xml:space="preserve">Logística y/o refrigerios </t>
  </si>
  <si>
    <t>Apoyar  la comisión para la Coordinación y Seguimiento de los procesos electorales del departamento del Quindío  según el numero de eventos que se presenten</t>
  </si>
  <si>
    <t xml:space="preserve">N° de procesos electorales apoyados </t>
  </si>
  <si>
    <t xml:space="preserve">Apoyo insumos logísticos, transporte,suminsitro de combustible y/o alimentación para la celebración de los comicios electorales </t>
  </si>
  <si>
    <t>Diseñar e implementar la Escuela de Liderazgo democrático</t>
  </si>
  <si>
    <t>Escuela de liderazgo diseñada e implementada</t>
  </si>
  <si>
    <t xml:space="preserve">Estructuración e implementación   de la escuela de liderazgo </t>
  </si>
  <si>
    <t xml:space="preserve">Logística, transporte, impresos y/o refrigerios </t>
  </si>
  <si>
    <t>Formular e implementar la política pública departamental de libertad religiosa en desarrollo  del árticulo 244 de la ley  1753 "por medio de la cual  se expide  el Plan Nacional de Desarrollo 2014-2018 TODOS POR UN NUIEVO PAÍS"</t>
  </si>
  <si>
    <t xml:space="preserve">Politica pública formulada e implementada </t>
  </si>
  <si>
    <t>Servicios de apoyo para la operatividad  del comité de libertad religiosa</t>
  </si>
  <si>
    <t xml:space="preserve">Realización de eventos y/o encuentros de libertad religiosa </t>
  </si>
  <si>
    <t>Materíal pedagógico y/o promocional relacionado</t>
  </si>
  <si>
    <t xml:space="preserve">Comunales comprometidos con el desarrollo </t>
  </si>
  <si>
    <t xml:space="preserve">Fortalecer  organismos comunales en los  12 municipios del departamento en el mejoramiento organizacional y participativo </t>
  </si>
  <si>
    <t xml:space="preserve">Organismos comunales  municipales fortalecidos </t>
  </si>
  <si>
    <t>0309 - 5 - 3 1 5 27 86 16 40 - 20</t>
  </si>
  <si>
    <t>201663000-0040</t>
  </si>
  <si>
    <t xml:space="preserve">Desarrollo de los Organismos Comunales en el Departamento del Quindio </t>
  </si>
  <si>
    <t xml:space="preserve">Consolidar mecanismos  de integración  regional y municipal 
</t>
  </si>
  <si>
    <t xml:space="preserve">1.  Fortalecer la estructuración deprogramas de capacitación en legislación, proyectos sociales y desarrollo comunitario. Mejoramiento en  los procesos de inspección, vigilancia y control realizados a los organismos comunales.
</t>
  </si>
  <si>
    <t>Servicios como apoyo al fortalecimiento de los organismos  comunales</t>
  </si>
  <si>
    <t xml:space="preserve">Celebración día comunal
</t>
  </si>
  <si>
    <t>20</t>
  </si>
  <si>
    <t>Recurso Ordianrio</t>
  </si>
  <si>
    <t>Apoyo a eventos de carácter municipal, departamental y/o  nacional</t>
  </si>
  <si>
    <t>Apoyo para fortalecimiento de programas de los organismos comunales</t>
  </si>
  <si>
    <t>VEEDURIAS Y RENDICIÓN DE CUENTAS</t>
  </si>
  <si>
    <t>Implementar un (1) programa de fortalecimiento de las veedurías ciudadanas del departamento</t>
  </si>
  <si>
    <t>Programa de fortalecimiento implementado</t>
  </si>
  <si>
    <t>0309 - 5 - 3 1 5 26 84 16 42 - 20</t>
  </si>
  <si>
    <t>201663000-0042</t>
  </si>
  <si>
    <t xml:space="preserve">Fortalecimiento de las veedurias ciudadanas en el Departamento del Quindio </t>
  </si>
  <si>
    <t xml:space="preserve">Consolidar mecanismos  de integración  regional y municipal 
</t>
  </si>
  <si>
    <t xml:space="preserve">1.  Conocimiento de la legislación que permite el ejercicio  del control social 
2.  Difusión masiva sobre  el ejercicio del control social 
</t>
  </si>
  <si>
    <t>Servicio como apoyo a las estrategías de fortalecimiento a las veedurias ciudadanas</t>
  </si>
  <si>
    <t xml:space="preserve">Suministro de logística  y/o refrigerios </t>
  </si>
  <si>
    <t xml:space="preserve">Organización de eventos, foros, actividades entre otros  para la promoción y el fortalecimiento del control social y las veedurías ciudadanas. 
</t>
  </si>
  <si>
    <t xml:space="preserve">Difusión en medios masivos  de comunicación (radio impresos entre otros) para la promoción y el fortalecimiento del control social y las  veedurias ciudadanas  </t>
  </si>
  <si>
    <t>Prestación de servicios de transporte</t>
  </si>
  <si>
    <t>JORGE ANDRÉS BUITRAGO MONCALEANO</t>
  </si>
  <si>
    <t>Secretario del Interior</t>
  </si>
  <si>
    <t>SEGUIMIENTO PLAN DE ACCIÓN
SECRETARIA DE TURISMO INDUSTRIA Y COMERCIO
II TRIMESTRE 2019</t>
  </si>
  <si>
    <t>META FISICA</t>
  </si>
  <si>
    <t>Quindío Prospero y productivo</t>
  </si>
  <si>
    <t xml:space="preserve">Crear (1) y fortalecer (3) rutas competitivas </t>
  </si>
  <si>
    <t>Ruta competitiva creada y rutas fortalecidas</t>
  </si>
  <si>
    <t>0311 - 5 - 3 1 2 2 8 13 51 - 20
0311 - 5 - 3 1 2 2 8 13 51 - 88</t>
  </si>
  <si>
    <t>201663000-0051</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</si>
  <si>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</si>
  <si>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</si>
  <si>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Incremento de las empresas competitivas en el departamento.</t>
  </si>
  <si>
    <t>Fortalecimiento de la competitividad del Departamento del Quindio y los sectores econòmicos priorizados.</t>
  </si>
  <si>
    <t>Ordinario</t>
  </si>
  <si>
    <t>Ordinario (20)</t>
  </si>
  <si>
    <t>Jovanny Villegas Castaño / Claudia Lorena Arias Agudelo</t>
  </si>
  <si>
    <t>Secretario de Turismo Industria y Comercio</t>
  </si>
  <si>
    <t xml:space="preserve">Superavit Recurso Ordinario </t>
  </si>
  <si>
    <t>Fortalecimiento de las rutas Kaldia, Tumbaga y Artemis.</t>
  </si>
  <si>
    <t>Conformar e implementar (3) tres clúster priorizados en el Plan de Competitividad</t>
  </si>
  <si>
    <t>Clúster conformados e implementados</t>
  </si>
  <si>
    <t>Brindar apoyo y seguimiento a los planes de acciòn de los clùsters, y fortalecer sus estrategias de crecimiento y promociòn comercial para la apertura de nuevos mercados</t>
  </si>
  <si>
    <t xml:space="preserve">Diseño, formulación y puesta en marcha del Centro  para el desarrollo y el  fortalecimiento de la investigación, tecnología,  Ciencia e Innovación .   </t>
  </si>
  <si>
    <t>Centro  para el desarrollo y el  fortalecimiento de la investigación, tecnología,  ciencia e innovación diseñado, formulado e implementado</t>
  </si>
  <si>
    <t>0311 - 5 - 3 1 2 2 8 13 52 - 20
0311 - 5 - 3 1 2 2 8 13 52 - 88</t>
  </si>
  <si>
    <t>201663000-0052</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</si>
  <si>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</si>
  <si>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</si>
  <si>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Suficiente infraestructura y equipamiento para el Centro de gestión de la innovación y la tecnología</t>
  </si>
  <si>
    <t>Fortalecer un Centro de Investigaciòn, Tecnologìa, Ciencia e innovaciòn a travès del apoyo en la investigaciòn aplicada al PCC.</t>
  </si>
  <si>
    <t>Ordinario (20)
Superavit Recurso Ordinario (88)</t>
  </si>
  <si>
    <t>Jovanny Villegas Castaño</t>
  </si>
  <si>
    <t xml:space="preserve">Apoyar la formulación del proyecto: Red de conocimiento de agro negocios del departamento </t>
  </si>
  <si>
    <t>Proyecto Red de conocimiento agroindustrial apoyado</t>
  </si>
  <si>
    <t>Gestión tecnológica y de capital humano pertinente, para incrementar la competitividad de sectores estratégicos</t>
  </si>
  <si>
    <t xml:space="preserve">Fortalecimiento al Plan de Acciòn la Red de conocimiento de Agronegocios </t>
  </si>
  <si>
    <t xml:space="preserve">Diseñar y fortalecer un proyecto de I+D+I </t>
  </si>
  <si>
    <t>Proyecto de I+D+I diseñado y fortalecido</t>
  </si>
  <si>
    <t>Apoyo y acompañamiento tècnico a los procesos para la aprobaciòn de un proyecto en materia de I+D+I</t>
  </si>
  <si>
    <t>Hacia el Emprendimiento, Empresarismo, asociatividad y generación de empleo en el Departamento del Quindío</t>
  </si>
  <si>
    <t xml:space="preserve">Diseñar un ecosistema Regional de Emprendimiento y Asociatividad  </t>
  </si>
  <si>
    <t>Ecosistema regional de emprendimiento y asociatividad diseñado</t>
  </si>
  <si>
    <t>0311 - 5 - 3 1 2 2 9 13 53 - 20
0311 - 5 - 3 1 2 2 9 13 53 - 88</t>
  </si>
  <si>
    <t>201663000-0053</t>
  </si>
  <si>
    <t>Apoyo al emprendimiento, empresarismo, asociatividad y generación de empleo en el departamento del Quindio</t>
  </si>
  <si>
    <t>Mejoramiento de los niveles de emprendimiento, empresarismo y asociatividad en el departamento del quindio</t>
  </si>
  <si>
    <t>Eficiente interacción y articulación del sector empresarial y demás actores para el fomento del emprendimiento, empresarismo y
asociatividad en el Departamento del Quindio</t>
  </si>
  <si>
    <t xml:space="preserve">Puesta en marcha y seguimiento a la operatividad de un ecosistema Regional de Emprendimiento y Asociatividad.   </t>
  </si>
  <si>
    <t>Jovanny Villegas Castaño / Claudia Lorena Arias Agudelo
Claudia Lorena Arias Agudelo</t>
  </si>
  <si>
    <t>Participación en una convocatoria para proyectos de emprenderismo en conjunto con la Red Regional de Emprendimiento.</t>
  </si>
  <si>
    <t>Apoyar a doce (12) unidades de emprendimiento para jóvenes emprendedores.</t>
  </si>
  <si>
    <t>Unidades de emprendimiento apoyadas</t>
  </si>
  <si>
    <t>Eficiente estimulo con recursos financieros para el emprendimiento, empresarismo y asociatividad en el departamento del quindío</t>
  </si>
  <si>
    <t>Apoyar tres unidades de emprendimiento de jovenes emprendedores.</t>
  </si>
  <si>
    <t xml:space="preserve">Apoyar estrategias de promoción de productos de emprendedores y empresarios quindianos en la temporada de fin de año </t>
  </si>
  <si>
    <t>Apoyar   doce (12) Unidades de emprendimiento de grupos poblacionales con enfoque diferencial.</t>
  </si>
  <si>
    <t>Apoyar tres unidades de emprendimiento de poblaciòn con enfoque diferencial</t>
  </si>
  <si>
    <t>Implementar un programa de gesiton financiera para el desarrollo de emprendimiento, empresarismo y asociatividad</t>
  </si>
  <si>
    <t>Programa de gestión finaciera implementado</t>
  </si>
  <si>
    <t>Puesta en marcha y seguimiento a la operatividad del Programa de Gestión Financiera para el Desarrollo de Emprendimiento, Empresarismo y Asociatividad.</t>
  </si>
  <si>
    <t>Quindío Sin Fronteras</t>
  </si>
  <si>
    <t>Fortalecer  doce (12) empresas en procesos internos y externos para la apertura a mercados regionales, nacionales e internacionales</t>
  </si>
  <si>
    <t>Empresas fortalecidas</t>
  </si>
  <si>
    <t>0311 - 5 - 3 1 2 2 10 13 56 - 20
0311 - 5 - 3 1 2 2 10 13 56 - 88</t>
  </si>
  <si>
    <t>201663000-0056</t>
  </si>
  <si>
    <t xml:space="preserve">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</si>
  <si>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</si>
  <si>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</si>
  <si>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Fortalecimiento de empresas en sus procesos de apertura de mercados</t>
  </si>
  <si>
    <t>31/31/2019</t>
  </si>
  <si>
    <t>Constituir e implementar una agencia de inversión empresarial</t>
  </si>
  <si>
    <t>Agencia de inversión constituida e implementada</t>
  </si>
  <si>
    <t>Fortalecimiento de mecanismos de inversión y de herramientas tecnológicas de servicios logisticos en el sector empresarial para su
conexión a mercados global</t>
  </si>
  <si>
    <t>Fortalecimiento de la Agencia de Inversión Empresarial y seguimiento  a su Plan de Acción.</t>
  </si>
  <si>
    <t>Diseñar la  plataforma de servicios logísticos nacionales e internacionales tendiente a lograr del departamento un centro de articulación de occidente</t>
  </si>
  <si>
    <t>Plataforma de servicios logísticos diseñada</t>
  </si>
  <si>
    <t>Operaciòn y seguimiento de la plataforma de servicios logisticos nacionales e internacionales</t>
  </si>
  <si>
    <t>QUINDIO POTENCIA TURISTICA DE NATURALEZA Y DIVERSION</t>
  </si>
  <si>
    <t xml:space="preserve">Fortalecimiento de la oferta de productos y atractivos turísticos </t>
  </si>
  <si>
    <t>Diseñar, crear y/o fortalecer 15 Productos turísticos para ser ofertados</t>
  </si>
  <si>
    <t>Productos turísticos diseñados, creados y/o fortalecidos</t>
  </si>
  <si>
    <t>0311 - 5 - 3 1 2 3 11 13 59 - 20</t>
  </si>
  <si>
    <t>201663000-0059</t>
  </si>
  <si>
    <t>Fortalecimiento de la oferta de prestadores de servicos, productos y atractivos turísticos en el Departamento del Quindío.</t>
  </si>
  <si>
    <t xml:space="preserve">Mejoramiento del posicionamiento del departamento del Quindío como destino turistico en Colombia. </t>
  </si>
  <si>
    <t>Fortalecimiento de los factores que hacen competitivo el turismo.</t>
  </si>
  <si>
    <t>Diseñar, crear y/o fortalecer 5 Productos turísticos para ser ofertados</t>
  </si>
  <si>
    <t>ordinario (20)</t>
  </si>
  <si>
    <t>Nora Isabel Bravo Baeza
Carlos Eduardo Montaño Figueroa</t>
  </si>
  <si>
    <t>Elaborar e implementar  un Plan de Calidad Turística del Destino</t>
  </si>
  <si>
    <t>Plan de Calidad elaborado e implementado</t>
  </si>
  <si>
    <t>Ejecución del Plan de Calidad Turistica</t>
  </si>
  <si>
    <t>Mejoramiento de la competitividad del Quindío como destino turístico</t>
  </si>
  <si>
    <t>Gestionar y ejecutar (3) proyectos para mejorar la competitividad del Quindío como destino turístico</t>
  </si>
  <si>
    <t>Proyectos gestionados y ejecutados</t>
  </si>
  <si>
    <t>0311 - 5 - 3 1 2 3 12 13 60 - 20</t>
  </si>
  <si>
    <t>201663000-0060</t>
  </si>
  <si>
    <t>Apoyo a la competitividad  como destino turístico en el Departamento del Quindío.</t>
  </si>
  <si>
    <t xml:space="preserve">Mejorar el nivel de competitividad de las empresas prestadoras de servicios turisticos en el departamento del Quindio </t>
  </si>
  <si>
    <t>Mejoramiento del nivel de gestion de recursos para proyectos y acciones que mejoren la competitividad del destino turistico</t>
  </si>
  <si>
    <t>Apoyo a la conformación de los cluster de Turismo de Naturaleza, MICE y Salud</t>
  </si>
  <si>
    <t xml:space="preserve">Ordinario
</t>
  </si>
  <si>
    <t xml:space="preserve">Nora Isabel Bravo Baeza
Carlos Eduardo Montaño Figueroa
</t>
  </si>
  <si>
    <t>Apoyo al mejoramiento de la infraestructura turística.</t>
  </si>
  <si>
    <t>Ejecución del Plan Decenal de Turismo.</t>
  </si>
  <si>
    <t>Fortalecimiento al programa Club de Producto y actualización de actores.</t>
  </si>
  <si>
    <t>Apoyo para la capacitación a prestadores de servicios turísticos.</t>
  </si>
  <si>
    <t>Ejecución del  programa de turismo responsable.</t>
  </si>
  <si>
    <t>Promoción nacional e internacional del departamento como destino turístico</t>
  </si>
  <si>
    <t>Construcción del Plan de Mercadeo Turístico</t>
  </si>
  <si>
    <t>Plan de Mercadeo construido</t>
  </si>
  <si>
    <t>0311 - 5 - 3 1 2 3 13 13 62 - 20
0311 - 5 - 3 1 2 3 13 13 62 - 52
0311 - 5 - 3 1 2 3 13 13 62 - 88
0311 - 5 - 3 1 2 3 13 13 62 - 94</t>
  </si>
  <si>
    <t>201663000-0062</t>
  </si>
  <si>
    <t>Apoyo a la promoción nacional e internacional como destino  turístico del Departamento del Quindío.</t>
  </si>
  <si>
    <t>Mejoramiento del nivel de impacto de las acciones de "Promocion del destino turistico del departamento del Quindio"</t>
  </si>
  <si>
    <t>Eficiente identificacion de los mercados prioritarios para productos turisticos</t>
  </si>
  <si>
    <t>Ejecución del Plan de Mercadeo para la  Promoción del departamento como destino turística nivel nacional.</t>
  </si>
  <si>
    <t xml:space="preserve">Ordinario (20)
Impuesto al Registro (52)
Superavit Ordinario (88)
IR/TURISMO (94) </t>
  </si>
  <si>
    <t xml:space="preserve">Nora Isabel Bravo Baeza      
Carlos Eduardo Montaño Figueroa
</t>
  </si>
  <si>
    <t>Impuesto al Registro</t>
  </si>
  <si>
    <t>IR/TURISMO</t>
  </si>
  <si>
    <t>Ejecución del Plan de Mercadeo para la  Promoción del departamento como destino turística nivel internacional.</t>
  </si>
  <si>
    <t xml:space="preserve">NATALIA ANDREA RODRIGUEZ LONDOÑO </t>
  </si>
  <si>
    <t>SECRETARIA DE TURISMO,INDUSTRIA Y COMERCIO</t>
  </si>
  <si>
    <t>Directora</t>
  </si>
  <si>
    <t>GLORIA MERCEDES BUITRAGO SALAZAR</t>
  </si>
  <si>
    <t>Recurso Propio IDTQ</t>
  </si>
  <si>
    <t>Recurso Ordinario Departamento</t>
  </si>
  <si>
    <t>Campañas de difusión y sensibilización a la población del Programa Nacional de ciclorutas</t>
  </si>
  <si>
    <t>Generear oportunidadesinstitucionales a través de procesos de gestion orientados a insentivar programas de movilidad sostenible en la jurisdiccion del I.D.T.Q</t>
  </si>
  <si>
    <t>Programa: Ciclorutas en el departamento del Quindío apoyado</t>
  </si>
  <si>
    <t xml:space="preserve">Apoyar la implementación del programa: Ciclorutas en el departamento del Quindío </t>
  </si>
  <si>
    <t>Formulación del Plan de Seguridad Vial</t>
  </si>
  <si>
    <t>Plan departamental de seguridad vial elaborado e implementado</t>
  </si>
  <si>
    <t xml:space="preserve">Formular e implementar el Plan de Seguridad Vial del Departamento </t>
  </si>
  <si>
    <t>Gloria Mercedes Buitrago Salazar, Directora</t>
  </si>
  <si>
    <t>Gloria Mercedes Buitrago
Raul Augusto Perez</t>
  </si>
  <si>
    <t>Implementar el programa orientado a disminución de la accidentalidad en las vias</t>
  </si>
  <si>
    <t>Disminuir los riesgos de accidentes en las vias mediante la formulación e implementación de planes y programas de seguridad vial para el mejoramiento de las ocndiciones de vida de la población en la jurisdicción del I.D.T.Q</t>
  </si>
  <si>
    <t>Disminuir  el numero de lesiones fatales y graves por accidentes de transito, en la poblacion, a traves de planes y programas institucionales para mejorar las condiciones de vida de la poblacion de los municipios de la jurisdicción del instituto departamental de transito del quindio</t>
  </si>
  <si>
    <t>Fortalecimiento de la seguridad vial  en el Departamento del Quindío</t>
  </si>
  <si>
    <t>201663000-172</t>
  </si>
  <si>
    <t>Programa para disminuir la accidentalidad implementado</t>
  </si>
  <si>
    <t>Implementar un programa para disminuir la accidentalidad en las vías del departamento</t>
  </si>
  <si>
    <t>Fortalecimiento de la seguridad vial en el Departamentol del Quindío</t>
  </si>
  <si>
    <t>Seguridad humana como dinamizador de la vida, dignidad y libertad en el Qundío</t>
  </si>
  <si>
    <t xml:space="preserve">SEGURIDAD HUMANA </t>
  </si>
  <si>
    <t>SEGUIMIENTO PLAN DE ACCIÓN 
 INSTITUTO DEPARTAMENTAL DE TRANSITO DEL QUINDIODIO  I.D.T.Q.
II TRIMESTRE 2019</t>
  </si>
  <si>
    <t>SEGUIMIENTO PLAN DE ACCIÓN 
 SECRETARIA DE FAMILIA
JUNIO 30 DE  2019</t>
  </si>
  <si>
    <t xml:space="preserve">PLAN DE DESARROLLO DEPARTAMENTAL  SECRETARIA DE FAMILIA </t>
  </si>
  <si>
    <t>Discapacitados</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</si>
  <si>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</si>
  <si>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</si>
  <si>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</si>
  <si>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</si>
  <si>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201663000-0102</t>
  </si>
  <si>
    <t>Implementación de un modelo de atención integral a niños y niñas en entornos protectores en el Departamento del Quindío</t>
  </si>
  <si>
    <t>Atención integral a los niños, niñas de primera infancia desde la gestación hasta los 4 años y 11 meses con un modelo integral y diferencial, que permita mejorar sus condiciones de vida.</t>
  </si>
  <si>
    <t xml:space="preserve">Incrementar los índices de apoyo y acompañamiento en el desarrollo infantil en  ambientes familiares y grupales,  alimentación adecuada y seguimiento al desarrollo.
</t>
  </si>
  <si>
    <t>Implementar un programa de atención integral a menores de 5 años y madres gestantes en entornos familiares</t>
  </si>
  <si>
    <t>NATALIA ÁLVAREZ RÚALES- JEFE OFICINA DE FAMILIA</t>
  </si>
  <si>
    <t xml:space="preserve">
 SECRETARIA DE FAMILIA</t>
  </si>
  <si>
    <t>Realizar talleres de sensibilización en entorno Institucional a la primera infancia</t>
  </si>
  <si>
    <t>Apoyo en la realización de actividades y seguimiento del modelo intersectorial de atención integral a los municipios del departamento</t>
  </si>
  <si>
    <t>Realizar seguimiento a las acciones que garanticen la atención integral a la primera infancia</t>
  </si>
  <si>
    <t>Apoyar la creación y/o implementación de Rutas integrales de Atención a la primera infancia.</t>
  </si>
  <si>
    <t>Numero de rutas integrales de atención  a al a primera infancia implementadas y/o creadas</t>
  </si>
  <si>
    <t>Mejorar el acompañamiento en el desarrollo gestacional y  complemento nutricional, pautas de crianza y desarrollo infantil</t>
  </si>
  <si>
    <t>Seguimiento a las 6 rutas implementadas en los municipios priorizados por la nación (Armenia, Buenavista, Circasia, Pijao, Quimbaya y La Tebaida)</t>
  </si>
  <si>
    <t>Prestar asistencia técnica en el proceso de documentación para la creación de las rutas integrales de atención en los municipios de Córdoba, Salento, Montenegro, Génova, Calarcá y Filandia.</t>
  </si>
  <si>
    <t xml:space="preserve">Apoyar la socialización de las rutas integrales de atención, en marco de los comités y consejos que así lo requieran, del orden Departamental y municipal. </t>
  </si>
  <si>
    <t>Apoyo en el seguimiento de la Implementación de la ruta integral de  atención departamental.</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</si>
  <si>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</si>
  <si>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</si>
  <si>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</si>
  <si>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</si>
  <si>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</si>
  <si>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201663000-0103</t>
  </si>
  <si>
    <t xml:space="preserve"> Formulación e implementación de  la política pública  de la familia en el departamento del Quindío</t>
  </si>
  <si>
    <t>Implementar la política pública que garantice los derechos de las familias del departamento del Quindío.</t>
  </si>
  <si>
    <t>Aumentar espacios de atención, formación y reflexión, orientados al fortalecimiento de los entornos familiares, sociales y educativos.</t>
  </si>
  <si>
    <t>Apoyar con el seguimiento,  monitoreo y evaluación de la política publica de familia</t>
  </si>
  <si>
    <t>Desarrollar estrategias, programas y/o proyectos que promuevan la garantía de derechos de las familias del departamento y fomenten la prevención de riesgo, a través de mejorar las conductas al interior de las mismas</t>
  </si>
  <si>
    <t>Apoyo  al  seguimiento de  la  ejecución presupuestal  de los recursos destinados   a la  política pública de familia</t>
  </si>
  <si>
    <t>Apoyo y acompañamiento jurídico en el marco de la implementación de la política publica de familia</t>
  </si>
  <si>
    <t>Realizar acciones tendientes a la implementación de la política publica de familia</t>
  </si>
  <si>
    <t xml:space="preserve">Alto grado de tolerancia ante la diversidad de pensamientos y comportamientos al interior de las familias </t>
  </si>
  <si>
    <t xml:space="preserve">Campañas, publicidad y promoción </t>
  </si>
  <si>
    <t>Refrigerios, logística y sonido</t>
  </si>
  <si>
    <t xml:space="preserve">Quindío departamento de derechos  de niñas, niños y adolescentes </t>
  </si>
  <si>
    <t>Implementar la política pública de primera infancia, infancia y adolescencia</t>
  </si>
  <si>
    <t>Política publica de primera infancia, infancia y adolescencia implementada</t>
  </si>
  <si>
    <t>0316 - 5 - 3 1 3 17 59 14 109 - 20</t>
  </si>
  <si>
    <t>201663000-0109</t>
  </si>
  <si>
    <t>Implementación de la  política de primera infancia, infancia y adolescencia en el Departamento del Quindío</t>
  </si>
  <si>
    <t xml:space="preserve">Implementar la política pública que garantice los derechos de los niños, niñas y adolescentes del depto. del Quindío. </t>
  </si>
  <si>
    <t>Eficiencia en la articulación Interinstitucional que garantice un seguimiento efectivo del cumplimiento del plan de acción de la política publica de infancia y adolescencia</t>
  </si>
  <si>
    <t>Apoyar con el seguimiento al Plan de Acción de la Política Publica  de primera infancia, infancia y adolescencia del departamento</t>
  </si>
  <si>
    <t>Apoyo al Comité de  Primera Infancia, Infancia y Adolescencia y al Consejo de Política Social</t>
  </si>
  <si>
    <t>Apoyo a programas que conlleven a la  implementación de la Política publica de primera infancia, infancia y adolescencia en el Departamento del Quindío</t>
  </si>
  <si>
    <t>Apoyo en la revisión jurídica en los temas relacionados con la implementación de la política publica de primera infancia, infancia y adolescencia del departamento</t>
  </si>
  <si>
    <t>Brindar asistencia técnica a los municipios del departamento, que así lo requieran en temas relacionados con el seguimiento e implementación de la política publica de primera infancia, infancia y adolescencia del departamento</t>
  </si>
  <si>
    <t>Promover prácticas deportivas, recreativas, lúdicas y culturales, como generadora y potenciadora en el desarrollo integral de los niños, niñas y adolescentes vulnerables del departamento del Quindío.</t>
  </si>
  <si>
    <t>Logística operativa, sonido, refrigerios.</t>
  </si>
  <si>
    <t>Implementar  una estrategia de prevención y atención de embarazos y segundos embarazos a temprana edad.</t>
  </si>
  <si>
    <t>Estrategia de prevención  y atención de embarazos a temprana edad implementada</t>
  </si>
  <si>
    <t xml:space="preserve">Disminuir los factores de vulneración de los derechos de niños, niñas y adolescentes (maltrato, abuso, abandono, explotación sexual) </t>
  </si>
  <si>
    <t xml:space="preserve">Apoyar la Implementación de una estrategia de prevención de embarazos y segundos embarazos a temprana edad
</t>
  </si>
  <si>
    <t>Realizar jornadas pedagógicas de prevención en las Instituciones educativas del depto.</t>
  </si>
  <si>
    <t>Apoyar la articulación intersectorial, a través de mesas de trabajo en pro de la prevención de los embarazos en adolescentes y segundos embarazos a temprana edad.</t>
  </si>
  <si>
    <t xml:space="preserve">Implementar una  estrategia  de prevención y atención de la erradicación del abuso, explotación sexual comercial, trabajo infantil y peores formas de trabajo, y actividades delictivas. </t>
  </si>
  <si>
    <t>Estrategia  de prevención y atención de la erradicación del abuso implementada</t>
  </si>
  <si>
    <t>Formular estrategias de prevención de y atención en la erradicación del abuso, explotación sexual, comercial, actividades delictivas</t>
  </si>
  <si>
    <t xml:space="preserve">Apoyar la implementación de una  estrategia  de prevención y atención de la erradicación del abuso, explotación sexual comercial, trabajo infantil y peores formas de trabajo, y actividades delictivas
</t>
  </si>
  <si>
    <t>Apoyar la implementación del Plan integral de prevención y erradicación del trabajo infantil "PIPETI", las peores formas de trabajo y apoyar al CIETI</t>
  </si>
  <si>
    <t>Brindar asistencia técnica y Apoyo a las la diferentes iniciativas  en los doce municipios orientados a la prevención de la vulneración de los derechos de los niños, niñas y adolescentes</t>
  </si>
  <si>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</si>
  <si>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</si>
  <si>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</si>
  <si>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</si>
  <si>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201663000-0110</t>
  </si>
  <si>
    <t>Desarrollar  acciones encaminadas a la atención integral  de los adolescentes y jóvenes del Departamento del Quindío</t>
  </si>
  <si>
    <t>Desarrollar procesos efectivos de atención, generación de impacto, oferta pública y garantía de derechos.</t>
  </si>
  <si>
    <t xml:space="preserve">Alta articulación entre los entes gubernamentales y privados para realizar el seguimiento de la matriz de planificación de la política publica de juventud del depto.
</t>
  </si>
  <si>
    <t xml:space="preserve">Apoyo y seguimiento a los indicadores de cumplimiento del plan de acción de la política publica de juventud </t>
  </si>
  <si>
    <t>SEBASTIÁN GÓMEZ HENAO- JEFE OFICINA DE JUVENTUD</t>
  </si>
  <si>
    <t>fortalecer los proyectos productivos de organizaciones juveniles legalmente constituidas</t>
  </si>
  <si>
    <t xml:space="preserve">Capacitaciones, socialización y conformación de espacios de participación juvenil </t>
  </si>
  <si>
    <t>Desarrollo de acciones dispuestas a la implementación de la política de juventud, en los componentes de responsabilidad de la oficina de juventud</t>
  </si>
  <si>
    <t>ADQUISICION DE BIENES Y SERVICIOS: Logística operativa,  refrigerios, sonido, ferretería, etc.</t>
  </si>
  <si>
    <t>Volantes, pendones, afiches, manillas, etc.</t>
  </si>
  <si>
    <t>Implementar  dos (2) estrategias de prevención para adolescentes y jóvenes en riesgo social y/o vinculados a la Ley de responsabilidad  penal</t>
  </si>
  <si>
    <t>Número  de estrategias  de prevención  para adolescentes y jóvenes implementadas</t>
  </si>
  <si>
    <t xml:space="preserve">Actividades pedagógicas y Jornadas de movilización social  sobre el concepto de la práctica barrista como expresión cultural, dirigidas a los jóvenes que son líderes y miembros  de las barras futboleras del Departamento del Quindío. </t>
  </si>
  <si>
    <t>Realizar actividades de prevención para adolescentes y jóvenes en riesgo social y/o vinculados a la Ley de responsabilidad  penal</t>
  </si>
  <si>
    <t>Apoyo y seguimiento a los procesos de coordinación del sistema de responsabilidad penal</t>
  </si>
  <si>
    <t>Desarrollar e implementar una estrategia de prevención del consumo de sustancias psico activas  (SPA)  dirigida a adolescentes y jóvenes del departamento.</t>
  </si>
  <si>
    <t>Estrategia   de  prevención del consumo de sustancias psico activas  (SPA) , implementada.</t>
  </si>
  <si>
    <t>Desarrollar  e implementar  estrategias  de prevención  del consumo de sustancias psico activas  (SPA)  en  adolescentes y jóvenes del departamento, Con el fin de  sensibilizar  la población frente  a  los daños colaterales generados por  el consumo.</t>
  </si>
  <si>
    <t>Implementar una estrategia de prevención del consumo de SPA en el departamento del Quindío</t>
  </si>
  <si>
    <t>Apoyar  en temas de prevención del consumo de sustancias psicoactivas, a través de talleres de sensibilización.</t>
  </si>
  <si>
    <t xml:space="preserve">Seguimiento a la implementación de la estrategia de prevención de consumo de SPA </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</si>
  <si>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</si>
  <si>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</si>
  <si>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</si>
  <si>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</si>
  <si>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201663000-0114</t>
  </si>
  <si>
    <t>Actualización e implementación  de   la política pública departamental de discapacidad  "Capacidad sin limites" en el Quindío</t>
  </si>
  <si>
    <t xml:space="preserve">Aumentar los niveles de representatividad e incidencia de las personas con discapacidad en escenarios de participación social y política en el Departamento. </t>
  </si>
  <si>
    <t xml:space="preserve">Realizar acciones para  el  seguimiento al Plan de Acción de los CMD – Ejes de la Política Publica
</t>
  </si>
  <si>
    <t xml:space="preserve">Apoyar la elaboración de diagnósticos comunitarios sobre la situación de personas con discapacidad en comunidades focalizadas. 
</t>
  </si>
  <si>
    <t>LUZ MARINA MARTÍNEZ OSSA- DIRECTORA ADULTO MAYOR Y DISCAPACIDAD</t>
  </si>
  <si>
    <t xml:space="preserve">Apoyar la Implementación de programas para la creación de empresas </t>
  </si>
  <si>
    <t xml:space="preserve">Promover  y  fortalecer la creación de organizaciones que trabajan con y para las personas con discapacidad y sus familias 
</t>
  </si>
  <si>
    <t>Apoyar la Formación a líderes y al Comité Departamental de Discapacidad en gestión y formulación de proyectos</t>
  </si>
  <si>
    <t>Procesos de  fortalecimiento en la cultura organizacional  del sector público y privado</t>
  </si>
  <si>
    <t>Apoyar la Formación de la población con discapacidad, cuidadores , cuidadoras y sus familias, en talleres de formación en maderas, pintura, muralismo, escultura y artes plásticas, etc., con el fin de realizar inclusión social y mejoramiento de su calidad de vida.</t>
  </si>
  <si>
    <t>Apoyo  al  seguimiento del  plan de acción, presupuesto e indicadores de la  política pública de discapacidad</t>
  </si>
  <si>
    <t>Apoyar la Implementación de  una estrategia gerencial integral  que permita la funcionalidad y operatividad del Comité Departamental de Discapacidad, como la asesoría a los comités municipales de discapacidad en su fortalecimiento y sostenimiento</t>
  </si>
  <si>
    <t>Fomentar y fortalecer la inclusión laboral y productiva de cuidadores, cuidadoras, PCD y sus Familias</t>
  </si>
  <si>
    <t xml:space="preserve">Capacitar en el cuidado y manejo de la Discapacidad a Cuidadoras, Cuidadores y Familias </t>
  </si>
  <si>
    <t xml:space="preserve">Apoyar la elaboración ,seguimiento y evaluación de los planes de acción de los municipios y depto. de la Política Publica de discapacidad.
</t>
  </si>
  <si>
    <t xml:space="preserve">Diseñar , construir  y difundir  de manera concertada la malla de oferta institucional con los diferentes actores
</t>
  </si>
  <si>
    <t>Acompañamiento a  las personas con discapacidad,  familias y comunidad en la implementación del programa RBC</t>
  </si>
  <si>
    <t>Realizar  capacitaciones en agentes comunitarios en RBC</t>
  </si>
  <si>
    <t>Servicio permanente de intérpretes de lengua de señas en servicios de urgencia y de información pública.</t>
  </si>
  <si>
    <t>Conformación y fortalecimiento a las redes de apoyo de la estrategia RBC</t>
  </si>
  <si>
    <t>Eventos de participación e integración de la población con discapacidad</t>
  </si>
  <si>
    <t xml:space="preserve">LOGISTICA OPERATIVA: Refrigerios, sonido, logística en general, elementos y/o materia prima </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</si>
  <si>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</si>
  <si>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</si>
  <si>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</si>
  <si>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</si>
  <si>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0316 - 5 - 3 1 3 18 62 14 117 - 20</t>
  </si>
  <si>
    <t>201663000-0117</t>
  </si>
  <si>
    <t xml:space="preserve">Diseño e implementación  de la estratégica para la atención de la  población  en vulnerabilidad extrema  en el Departamento del Quindío  </t>
  </si>
  <si>
    <t>Diseño e implementación de una estrategia para la atención de la población en situación de vulnerabilidad extrema del departamento. (Habitantes de calle, trabajo sexual, reincidencia delictiva, drogadicción, bandas delincuenciales, entre otras.</t>
  </si>
  <si>
    <t>Implementar una estrategia integral necesariamente articulada en red que asegure contar con los recursos suficientes mediante una  efectiva sinergia y  coordinación entre instituciones públicas y privadas.</t>
  </si>
  <si>
    <t>Apoyar el seguimiento a los planes de acción participativos  para atención de la población en alta vulnerabilidad</t>
  </si>
  <si>
    <t>ANDRÉS MAURICIO MORALES DUQUE- ASESOR DE DESPACHO CON FUNCIONES EN SECRETARÍA DE FAMILIA</t>
  </si>
  <si>
    <t>SECRETARIA DE FAMILIA
 SECRETARIA DE FAMILIA</t>
  </si>
  <si>
    <t>Apoyar el seguimiento a los programas, proyectos y/o actividades que beneficien la población Habitantes en Calle y  personas en alta  vulnerabilidad y alto riesgo social</t>
  </si>
  <si>
    <t>Brindar asistencia técnica a las poblaciones en estado de vulnerabilidad en procesos de emprendimiento, creación  y formalización de empresas.</t>
  </si>
  <si>
    <t>Fomentar los procesos de emprendimiento y empleabilidad de las poblaciones en estado de vulnerabilidad del departamento del Quindío</t>
  </si>
  <si>
    <t>Implementar  programas, proyectos y/o actividades para la atención a habitantes de calle  del departamento del Quindío así como, acciones encaminadas a garantizar los derechos de la población en estado  de  vulnerabilidad  extrema  en el departamento del Quindío.</t>
  </si>
  <si>
    <t>Apoyar la implementación una  estrategia para la atención de la  población  en  situación  de  vulnerabilidad  extrema  en el Departamento del Quindío (habitantes de  calle, trabajo  sexual, reincidencia delictiva, drogadicción, bandas delincuenciales, entre otros).</t>
  </si>
  <si>
    <t>Apoyo  al  seguimiento de  la  ejecución presupuestal  de los recursos destinados  a la Implementación de la estrategia de atención de la población en situación de vulnerabilidad del departamento</t>
  </si>
  <si>
    <t>Brindar apoyo a la Secretaría de Familia en las diferentes jornadas, actividades o acciones  realizadas  con  población vulnerable del departamento el Quindío.</t>
  </si>
  <si>
    <t>Apoyar a la Secretaría de Familia en la realización de convocatorias, acompañamiento logístico y asistencia operativa tendientes a la atención de la población vulnerable del departamento.</t>
  </si>
  <si>
    <t>Apoyar con la realización de informes relacionados con el cumplimiento de la meta: 191: Diseñar  e   implementar una  estrategia para la atención de la  población  en  situación  de  vulnerabilidad  extrema  en el Departamento del Quindío (habitantes de  calle, trabajo  sexual, reincidencia delictiva, drogadicción, bandas delincuenciales, entre otros).</t>
  </si>
  <si>
    <t>Apoyar la coordinación entre las diferentes Secretarías del orden departamental  y/o demás instituciones para la atención integral de la población vulnerable</t>
  </si>
  <si>
    <t>Apoyar  con  programas específicos, dirigido  a grupos  que viven en entornos de alto riesgo: Extrema pobreza, desarraigo social,  drogadicción, delincuencia, prostitución, o pertenecen a familias    multiproblemáticas  y de alto riesgo social</t>
  </si>
  <si>
    <t>Generar alianzas técnicas, financieros y/o humanas para la realización de estrategias orientadas a  permitir la  garantía de  derechos de las comunidades en situación de riesgo social focalizadas en los municipios  del departamento”.</t>
  </si>
  <si>
    <t>Desarrollar estrategias, programas y/o proyectos que promuevan la garantía de derechos de las familias de población vulnerable del departamento y fomenten la prevención de los riesgos psicosociales a través de intervenciones educativas</t>
  </si>
  <si>
    <t xml:space="preserve">Realizar actividades tendientes a la implementación de estrategias, programas o proyectos que conlleven al bienestar de las familias, los niños y niñas, jóvenes y mujeres del departamento del Quindío en situación de vulnerabilidad </t>
  </si>
  <si>
    <t xml:space="preserve">Implementar con la comunidad  de los sectores de mayor vulnerabilidad programas, proyectos y / o estrategias de prevención al consumo de drogas </t>
  </si>
  <si>
    <t>Logística operativa, refrigerios, sonido, ferretería</t>
  </si>
  <si>
    <t xml:space="preserve">Campañas  de difusión, socialización  y participación  ciudadana para la prevención del  riesgo social en el depto.
</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</si>
  <si>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</si>
  <si>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</si>
  <si>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</si>
  <si>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201663000-0118</t>
  </si>
  <si>
    <t xml:space="preserve"> Implementación del programa  para la atención y acompañamiento  del ciudadano migrante  y de reparación en el Departamento del Quindío.</t>
  </si>
  <si>
    <t>Implementar el plan de acompañamiento al ciudadano migrante (el que sale y el que retorna).</t>
  </si>
  <si>
    <t>Existencia de planes de acompañamiento al ciudadano migrante del depto. del Quindío</t>
  </si>
  <si>
    <t>Procesos  de capacitación, asistencia técnica, seguimiento y evaluación en cuanto a la garantía de derechos de la población migrante del Departamento</t>
  </si>
  <si>
    <t xml:space="preserve">GUILLERMO ANDRÉS MURILLO LADINO- DIRECTOR DE POBLACIONES </t>
  </si>
  <si>
    <t xml:space="preserve">Asistencias técnicas  personales y grupales para la creación de rutas de atención al ciudadano migrante </t>
  </si>
  <si>
    <t>Capacitación secretarias sectoriales en cuanto la atención al ciudadano migrante</t>
  </si>
  <si>
    <t xml:space="preserve"> Apoyar el programa de asistencia social y de repatriación de Quindianos fallecidos en el exterior</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</si>
  <si>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</si>
  <si>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</si>
  <si>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</si>
  <si>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</si>
  <si>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201663000-0121</t>
  </si>
  <si>
    <t>Fortalecimiento resguardo  indígena DACHI AGORE DRUA del municipio de Calarcá del Departamento del Quindío.</t>
  </si>
  <si>
    <t>Garantizar el apoyo y fortalecimiento del plan de vida del Resguardo Dachi Agore Drua del municipio de Calarcá en el Departamento del Quindío.</t>
  </si>
  <si>
    <t xml:space="preserve">Altos índices de seguridad alimentaria,
emprendimiento, cultura, educación, género, familia, identidad, gobernabilidad, salud y justicia propia 
</t>
  </si>
  <si>
    <t>Asistencia Social: Procesos de apoyo, gestión, asesoría y acompañamiento al Resguardo Dachi Agore Drua del Departamento para garantizar los derechos fundamentales y Especiales.</t>
  </si>
  <si>
    <t>31/12/0219</t>
  </si>
  <si>
    <t xml:space="preserve">Apoyo, acompañamiento y fortalecimiento en cuanto procesos de seguridad alimentaria, saneamiento básico, educación, salud, justicia, gobernabilidad y territorio </t>
  </si>
  <si>
    <t>Apoyar con unidades productivas al plan de vida del Resguardo Indígena</t>
  </si>
  <si>
    <t>Compra de herramientas, materiales, insumos, etc. Para beneficiar a la población indígena DACHI AGORE DRUA</t>
  </si>
  <si>
    <t>Apoyar   y fortalecer  la elaboración y puesta en marcha  de  planes de vida de los pueblos indígenas asentados en el Departamento del Quindío.</t>
  </si>
  <si>
    <t>Planes de vida apoyados y fortalecidos</t>
  </si>
  <si>
    <t>0316 - 5 - 3 1 3 18 63 14 122 - 20</t>
  </si>
  <si>
    <t>201663000-0122</t>
  </si>
  <si>
    <t xml:space="preserve">Apoyo  a la elaboración y puesta marcha de Planes de Vida  de los cabildos indígenas en el departamento del Quindío  </t>
  </si>
  <si>
    <t>Apoyar la elaboración y puesta en marcha de planes de vida de los cabildos indígenas en el depto. del Quindío.</t>
  </si>
  <si>
    <t>Elaborar un diagnóstico real de las condiciones de vida de las comunidades indígenas del depto.</t>
  </si>
  <si>
    <t xml:space="preserve"> Garantizar la atención integral y con enfoque diferencial de las comunidades indígenas asentadas en el Departamento del Quindío</t>
  </si>
  <si>
    <t xml:space="preserve">GUILLERMO ANDRÉS MURILLO LADINO -DIRECTOR DE POBLACIONES / EDWI GIOVANNY MONTOYA-  JEFE DE OFICINA DE POBLACIONES </t>
  </si>
  <si>
    <t>Articulación institucional para la atención diferencial de los indígenas del depto.</t>
  </si>
  <si>
    <t>Adquisición de bienes y servicios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</si>
  <si>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</si>
  <si>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</si>
  <si>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</si>
  <si>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0316 - 5 - 3 1 3 18 64 14 124 - 20</t>
  </si>
  <si>
    <t>201663000-0124</t>
  </si>
  <si>
    <t xml:space="preserve">Implementación de un  programa de atención integral a la población  afrodescendiente en el Departamento del Quindío </t>
  </si>
  <si>
    <t>Garantizar la protección de derechos y la atención integral con enfoque diferencial de las comunidades afrodescendientes asentadas en el
Departamento del Quindío.</t>
  </si>
  <si>
    <t>Implementar un programa articulado interinstitucional para la atención integral con enfoque diferencial a la población afro del departamento</t>
  </si>
  <si>
    <t>Capacitaciones dirigidas a comunidades Afros del Departamento</t>
  </si>
  <si>
    <t>Asistencia Social</t>
  </si>
  <si>
    <t xml:space="preserve">Alto interés en apoyar y fortalecer la formulación de planes de etnodesarrollo en los municipios con presencia de comunidades afrodescendientes 
</t>
  </si>
  <si>
    <t>Sí a la diversidad sexual e identidad de género y su familia.</t>
  </si>
  <si>
    <t>Formular  la política pública departamental de diversidad sexual e identidad de género</t>
  </si>
  <si>
    <t>Política pública formulada e implementada</t>
  </si>
  <si>
    <t xml:space="preserve">0316 - 5 - 3 1 3 18 65 14 125 - 20
</t>
  </si>
  <si>
    <t>201663000-0125</t>
  </si>
  <si>
    <t>Formulación e implementación de la política pública  de diversidad sexual en el Departamento del Quindío</t>
  </si>
  <si>
    <t>Implementación de la política pública que garantice los derechos de las personas con diversidad sexual e identidad de género en el dpto. del Quindío.</t>
  </si>
  <si>
    <t>Establecer políticas claras para la inclusión social de la población LGTBI</t>
  </si>
  <si>
    <t>Implementación del plan de acción  de la política publica de diversidad sexual e identidad de genero</t>
  </si>
  <si>
    <t xml:space="preserve">Recurso Ordinario
</t>
  </si>
  <si>
    <t>NICOLÁS ECHEVERRI MARÍN- JEFE OFICINA DE EQUIDAD DE GÉNERO Y MUJER</t>
  </si>
  <si>
    <t>Desarrollo de campañas talleres y proyectos relacionados con la promoción de derechos de población LGTBI</t>
  </si>
  <si>
    <t>Altos espacios de atención, formación y reflexión, orientados al fortalecimiento de los entornos  sociales y educativos respecto a las personas con diversidad sexual</t>
  </si>
  <si>
    <t>Pendón, plegables. Folletos, manillas, etc.</t>
  </si>
  <si>
    <t>Logística operativa, refrigerios, sonido para celebración de eventos relacionados con la equidad</t>
  </si>
  <si>
    <t>Mujeres constructoras de Familia y de paz.</t>
  </si>
  <si>
    <t>Revisar, ajustar  e  implementar  la política publica de equidad de género para la  mujer del departamento</t>
  </si>
  <si>
    <t>Política pública  de equidad de genero revisada, ajustada e implementada.</t>
  </si>
  <si>
    <t>201663000-0128</t>
  </si>
  <si>
    <t>Implementación de la política pública de equidad de género para la mujer en el Departamento del Quindío</t>
  </si>
  <si>
    <t xml:space="preserve">Implementación de programas y proyectos institucionales para el acceso a las oportunidades Económicas sociales y culturales de mujeres en el departamento del Quindío 
</t>
  </si>
  <si>
    <t>Apropiación jurídica  por parte de la población e institucionalidad sobre las rutas de atención existentes</t>
  </si>
  <si>
    <t xml:space="preserve">Seguimiento al cumplimiento de los planes de acción de la Política Publica de  Equidad de Género para la mujer
</t>
  </si>
  <si>
    <t>Apoyo en la consolidación de espacios de participación a través de la socialización de la normatividad existente</t>
  </si>
  <si>
    <t xml:space="preserve">Capacitación  y concientización  para lograr la igualdad de género y empoderar a las mujeres 
</t>
  </si>
  <si>
    <t>0316 - 5 - 3 1 3 19 67 14 128 - 20</t>
  </si>
  <si>
    <t>Mejorar la articulación frente a la implementación de las políticas públicas de equidad y género</t>
  </si>
  <si>
    <t>Fortalecimiento y/o apoyo a unidades productivas y/o proyectos de emprendimiento de mujeres</t>
  </si>
  <si>
    <t xml:space="preserve">Desarrollo de actividades de impacto para la promoción de derechos y movilización social
</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</si>
  <si>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</si>
  <si>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</si>
  <si>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</si>
  <si>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</si>
  <si>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 xml:space="preserve">0316 - 5 - 3 1 3 19 67 14 129 - 20
</t>
  </si>
  <si>
    <t>201663000-0129</t>
  </si>
  <si>
    <t xml:space="preserve">Apoyo y bienestar integral a las personas mayores del Departamento del Quindío </t>
  </si>
  <si>
    <t>Altos índices de atención a los adultos mayores en el departamento del Quindío.</t>
  </si>
  <si>
    <t xml:space="preserve">                                                                                    Apoyar la elaboración ,seguimiento y evaluación de los planes de acción de los municipios y depto. de la Política Publica de envejecimiento y vejez
                                                                                                                                                                                                                                  </t>
  </si>
  <si>
    <t>Apoyo  al  seguimiento de  la  ejecución presupuestal  de los recursos destinados   a la  política pública de Envejecimiento y vejez</t>
  </si>
  <si>
    <t>DIRECTORLUZ MARINA MARTÍNEZ OSSA- DIRECTORA ADULTO MAYOR Y DISCAPACIDAD</t>
  </si>
  <si>
    <t xml:space="preserve">Apoyar el seguimiento y evaluación de los planes de acción de los municipios y depto. de la Política Publica de envejecimiento y vejez
</t>
  </si>
  <si>
    <t xml:space="preserve">
Desarrollar estrategias de vigilancia y control que permitan garantizar el cumplimiento y reconocimiento de los derechos de las personas mayores</t>
  </si>
  <si>
    <t xml:space="preserve">
Apoyar asistencias técnicas grupales a los grupos de adultos mayores del depto., en deporte, cultura, recreación y motivación </t>
  </si>
  <si>
    <t xml:space="preserve">Realizar motivación e infundir  sentido de pertenencia y compromiso de parte del Consejo Departamental del  adulto mayor_x000D_
</t>
  </si>
  <si>
    <t>Logística Operativa: Sonido, logística, refrigerios</t>
  </si>
  <si>
    <t>Apoyo a  eventos programados por la Secretaría día de la celebración de las personas de la tercera edad y el pensionado</t>
  </si>
  <si>
    <t>Crear el cabildo de adulto mayor del Departamento y apoyar la creación en once municipios del Quindío</t>
  </si>
  <si>
    <t>Número de Cabildos de Adulto Mayor creados.</t>
  </si>
  <si>
    <t>0316 - 5 - 3 1 3 19 67 14 129 - 20</t>
  </si>
  <si>
    <t xml:space="preserve">
Apoyar con actividades para la  creación del cabildo de adulto mayor en en 6 municipios del Quindío
</t>
  </si>
  <si>
    <t xml:space="preserve">Apoyar 12 Centros de Bienestar del Departamento </t>
  </si>
  <si>
    <t>Centro de bienestar apoyados</t>
  </si>
  <si>
    <t>0316 - 5 - 3 1 3 19 67 14 129 - 06
0316 - 5 - 3 1 3 19 67 14 129 - 84</t>
  </si>
  <si>
    <t xml:space="preserve">Apoyar acciones que conlleven al conocimiento de la Ley 1276 del 2009: Nuevos Criterios de Atención Integral del Adulto  Mayor en los Centros Vida
</t>
  </si>
  <si>
    <t>Centros de Bienestar del Adulto Mayor (CBA)</t>
  </si>
  <si>
    <t>Estampilla adulto mayor</t>
  </si>
  <si>
    <t>Superávit Adulto mayor</t>
  </si>
  <si>
    <t xml:space="preserve">Apoyar 14 Centros Vida del Departamento </t>
  </si>
  <si>
    <t>Centros vida apoyados</t>
  </si>
  <si>
    <t>CENTROS VIDA (DV)</t>
  </si>
  <si>
    <t xml:space="preserve">PROYECTO Y ELABORO: CARLOS EDIVER TUFINO PALECHOR- CONTRATISTA PRESUPUESTO                                               </t>
  </si>
  <si>
    <t>VALENTINA GALLEGO GARCÍA- P.U</t>
  </si>
  <si>
    <t>REVISÓ: IVETTE FRANCIOSA JAIMES PARADA- DIRECTORA DE DESARROLLO HUMANO Y FAMILIA</t>
  </si>
  <si>
    <t>Buen Gobierno</t>
  </si>
  <si>
    <t>Establecer y socializar veinte (20)  políticas desde la cultura de la legalidad y  la prevención de daño antijurídico en  el Departamento.</t>
  </si>
  <si>
    <t>Número de políticas establecidas</t>
  </si>
  <si>
    <t>0317 - 5 - 3 1 5 26 83 17 131 - 20</t>
  </si>
  <si>
    <t>201663000-0131</t>
  </si>
  <si>
    <t xml:space="preserve">Formulación, adopción e implementación de políticas de prevención del daño antijurídico en el Departamento del Quindío. </t>
  </si>
  <si>
    <t>Fortalecer los procesos, procedimienros y actuaciones de la administración para el cumplimiento de su misisón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</si>
  <si>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</si>
  <si>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</si>
  <si>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Jaime Alberto Gonzalez Mejia</t>
  </si>
  <si>
    <t>Jamer Chaquip Giraldo Molina Secretario de Representación Judicial y Defensa</t>
  </si>
  <si>
    <t>Diseño de las propuestas dirigidas a la adopción de medidas de indole preventivo y correctivo  que permitan reducir la incidencia de daños antijurídicos en el Departamento.</t>
  </si>
  <si>
    <t>Adoptar e implementar políticas de prevención de daños antijurídicos y socializarlas al interior de la administración departamental, propendiendo por la salvaguarda de los bienes e intereses jurídicos de terceros legalmente protegidos.</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</si>
  <si>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</si>
  <si>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</si>
  <si>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SEGUIMIENTO PLAN DE ACCIÓN
SECRETARIA DE REPRESENTACION JUDICIAL
II TRIMESTRE 2019</t>
  </si>
  <si>
    <t>SEGUIMIENTO PLAN DE ACCIÓN
SECRETARIA DE AGUAS E INFRAESTRUCTURA
II TRIMESTRE 2019</t>
  </si>
  <si>
    <t>Territorio Vital</t>
  </si>
  <si>
    <t>Manejo Integral del Agua y Saneamiento Basico</t>
  </si>
  <si>
    <t>Formular y ejecutar veinte (20) proyectos de infraestructura de agua potable y saneamiento básico.</t>
  </si>
  <si>
    <t>No de proyectos de infraestructura formulados y/o ejecutados.</t>
  </si>
  <si>
    <t>0308 - 5 - 3 1 1 1 2 3 22 -04
0308 - 5 - 3 1 1 1 2 3 22 - 27
0308 - 5 - 3 1 1 1 2 3 22 - 82
0308 - 5 - 3 1 1 1 2 3 22 - 90</t>
  </si>
  <si>
    <t>201663000-0022</t>
  </si>
  <si>
    <t>Apoyo en atenciones prioritarias en Agua Potable y/o Saneamiento Básico en el Departamento del Quindío.</t>
  </si>
  <si>
    <t>Formular proyectos de infraestructura para la prestacion de servicios de agua potable y saneamiento basico a la poblacion vulnerable del Departamento.</t>
  </si>
  <si>
    <t>Generar intervenciones prioritaria para la adecuacion y optimizacion de sistemas de APSB.</t>
  </si>
  <si>
    <t>Construcción y/o mantenimiento y/o optimizacion de obras de  Agua Potable y/o Saneamiento Básico en el Departamento del Quindío.</t>
  </si>
  <si>
    <t xml:space="preserve">Estampilla Prodesarrollo </t>
  </si>
  <si>
    <t>Angela Maria Agudelo Rodriguez  Directora Plan Departamental de Aguas</t>
  </si>
  <si>
    <t>Juan Antonio Osorio Alvarez - Secretario de Aguas e Infraestructura</t>
  </si>
  <si>
    <t>SGP Agua Potable y Saneamineto Básico</t>
  </si>
  <si>
    <t>Formular proyectos para ejecutar diferentes proyectos con el fin de brindar un buen servicio de Agua potable y Saneamiento basico.</t>
  </si>
  <si>
    <t>82</t>
  </si>
  <si>
    <t>Superávit Estampilla Prodesarrollo (82)</t>
  </si>
  <si>
    <t>Superávit SGP Agua Potable y Saneamineto Básico (90)</t>
  </si>
  <si>
    <t>0308 - 5 - 3 1 1 1 2 3 23 - 27</t>
  </si>
  <si>
    <t>201663000-0023</t>
  </si>
  <si>
    <t>Construcción y mejoramiento de la infraestructura de agua potable y saneamiento básico del Departamento del Quindio.</t>
  </si>
  <si>
    <t>Infraestructura eficiente para la prestación del servicio de agua potable y saneamiento basico</t>
  </si>
  <si>
    <t>Realizar estudios y diseños enfocados a las necesidades en cuanto a la construccion y mejoramiento de la infraestructura de agua potable y saneamiento basico</t>
  </si>
  <si>
    <t>Construcción y/o mantenimiento y/o optimizacion de obras de  Agua Potable y/o Saneamiento Básico en el Departamento del Quindío</t>
  </si>
  <si>
    <t>SGP Agua Potable y Saneamiento Básico</t>
  </si>
  <si>
    <t>Formular,priorizar, viabilizar y ejecutar proyectos de infraestructura de Agua Potable y Saneamiento Basico</t>
  </si>
  <si>
    <t>Apoyar  veinte (20) proyectos de agua potable y saneamiento básico de acuerdo al plan de acompañamiento social</t>
  </si>
  <si>
    <t xml:space="preserve">No de proyectos acompañados </t>
  </si>
  <si>
    <t>0308 - 5 - 3 1 1 1 2 3 24 - 27</t>
  </si>
  <si>
    <t>201663000-0024</t>
  </si>
  <si>
    <t>Ejecución del plan de acompañamiento social a los proyectos y obras de infraestructura de agua potable y saneamiento básico en el Departamento del Quindío</t>
  </si>
  <si>
    <t xml:space="preserve">Ejecutar el plan de aseguramiento social para los proyectos de agua potable y saneamiento básico Aguas del Departamento del Quindío
</t>
  </si>
  <si>
    <t>Seguimiento a la socializacion de proyectos de Agua potable y Saneamiento Basico.</t>
  </si>
  <si>
    <t>Campañas de Socialización de proyectos de agua potable y saneamiento básico</t>
  </si>
  <si>
    <t xml:space="preserve"> Diseño de estrategias de participacion de la comunidad en los proyectos de agua potable y saneamiento basico.</t>
  </si>
  <si>
    <t>Actualizar e implementar el plan ambiental para el sector de agua potable y saneamiento básico</t>
  </si>
  <si>
    <t>Plan ambiental actualizado e implementado</t>
  </si>
  <si>
    <t>0308 - 5 - 3 1 1 1 2 3 25 - 27</t>
  </si>
  <si>
    <t>201663000-0025</t>
  </si>
  <si>
    <t>Actualización e implementación del  Plan Ambiental para el sector de agua potable y saneamiento básico en el Departamento del Quindío</t>
  </si>
  <si>
    <t>Ejecutar el Plan Ambiental para el sector agua potable y saneamiento básico deacuerdo al decreto 1077 de 2015 para la vigencia 2016 - 2019</t>
  </si>
  <si>
    <t>Descripción actual de la oferta y la demanda de los recursos naturales asociados a la prestación de los servicios públicos de acueducto, alcantarillado y aseo. 
Prever las fuentes de financiación de ley asociadas a est componente de los entes territoriales y la Corporación Autónoma Regional del Quindío, las Empresas Prestadoras de servicios públicos, exenciones tributarias, recursos de cooperación internacional, mecanismos de crédito y financiación, recursos de banca multilateral, entre otros. 
Definir el cumplimiento de los mínimos ambientales para los proyectos de acueducto, alcantarillado y aseo en el Plan ambiental para el sector de agua potable y saneamiento básico.
Definir citerios para la priorización de proyectos de saneamiento y articularlos con los instrumentos de planificación de las entidades territoriales y Corporación Autónoma Regional del Quindío CRQ para garantizar la prestación de los servicios de acueducto, alcantarillado y aseo de los 11 municipios del departamento del Quindío.  
Concertar obras e inversines entre el departamento, el gestor y la Corporación Autónoma Regional del Quindío on base en el diagnóstico del sector, la priorización de proyectos y las inversiones disponibles.</t>
  </si>
  <si>
    <t>Actualización e implementacion del Plan Ambiental para el Sector de Agua Potable y Saneamiento Básico</t>
  </si>
  <si>
    <t>Ejecutar tres (3) proyectos para el aseguramiento de la prestación de los servicios públicos de agua potable y saneamiento básico urbano y rural</t>
  </si>
  <si>
    <t xml:space="preserve">No de proyectos ejecutados para el aseguramiento de la prestación de servicios </t>
  </si>
  <si>
    <t>0308 - 5 - 3 1 1 1 2 3 26 - 27</t>
  </si>
  <si>
    <t>201663000-0026</t>
  </si>
  <si>
    <t>Ejecución del plan de aseguramiento de la prestación de los servicios públicos de agua potable y saneamiento básico urbano y rural en el Departamento del Quindío</t>
  </si>
  <si>
    <t xml:space="preserve">Ejecución del Plan de asegurameinto de la prestación de servicios públicos de agua potable y saneamiento básico urbano y rural en el departamento del Quindío </t>
  </si>
  <si>
    <t xml:space="preserve">Promover esquemas empresariales sostenibles en el corto, mediano y largo plazo </t>
  </si>
  <si>
    <t>Actualizacion y/o  ejecucion del plan de Aseguramiento de la prestación de servicios</t>
  </si>
  <si>
    <t xml:space="preserve">Contratar el grupo gestor del PAP-PDA Quindío  </t>
  </si>
  <si>
    <t>Estructurar el equipo operativo de apoyo al gestor del PAP PDA</t>
  </si>
  <si>
    <t xml:space="preserve">2. </t>
  </si>
  <si>
    <t xml:space="preserve">PROSPERIDAD CON EQUIDAD </t>
  </si>
  <si>
    <t xml:space="preserve">4. </t>
  </si>
  <si>
    <t>INFRAESTRUCTURA SOSTENIBLE PARA LA PAZ</t>
  </si>
  <si>
    <t>14.</t>
  </si>
  <si>
    <t>MEJORA DE LA INFRAESTRUCTURA VIAL DEL DEPARTAMENTO DEL QUINDIO</t>
  </si>
  <si>
    <t>201663000-0019</t>
  </si>
  <si>
    <t>Mantener, mejorar, rehabilitar y/o atender las vias y sus emergencias, en cumplimiento del plan vial del Departamento del quindio</t>
  </si>
  <si>
    <t>Mantener, mejorar y/o rehabilitar la infraestructura vial del departamento del quindío.</t>
  </si>
  <si>
    <t xml:space="preserve">Atender oportunamente y con calidad la infraestructura vial del departamento con mantenimiento y rehabilitación </t>
  </si>
  <si>
    <t>Insumos para operación y mantenimiento preventivo y correctivo de la maquinaria amarilla</t>
  </si>
  <si>
    <t xml:space="preserve">SOBRETASA AL ACPM (23)
</t>
  </si>
  <si>
    <t>SOBRETASA ACPM  
RECURSOS DEL CREDITO</t>
  </si>
  <si>
    <t>Marco Aurelio Forero Patiño Director Infraestructura Vial y Social</t>
  </si>
  <si>
    <t>12/31/19</t>
  </si>
  <si>
    <t>Asistencia profesional y tecnica para el mejoramiento vial del Departamento del Quindio.</t>
  </si>
  <si>
    <t>0308 - 5 - 3 1 2 4 14 9 19 - 23</t>
  </si>
  <si>
    <t>Mantener, mejorar y/o rehabilitar la Infraestructura Vial del Departamento del Quindio</t>
  </si>
  <si>
    <t>RECURSO DEL CREDITO (46)</t>
  </si>
  <si>
    <t>0308 - 5 - 3 1 2 4 14 9 19 - 157</t>
  </si>
  <si>
    <t>Superávit Recursos del Crédito (157)</t>
  </si>
  <si>
    <t>0308 - 5 - 3 1 2 4 14 9 19 - 46</t>
  </si>
  <si>
    <t>Asistencia externa para el control y seguimiento de la correcta ejecucion de los contratos de Infraestructura Vial.</t>
  </si>
  <si>
    <t>Apoyar la atención de emergencias viales en los doce (12) Municipios del Departamento del Quindío.</t>
  </si>
  <si>
    <t>Numero de municipios con emergencias viales apoyados</t>
  </si>
  <si>
    <t>Atención oportuna y eficiente de las emergencias viales en el departamento del Quindìo.</t>
  </si>
  <si>
    <t>Transporte, materiales y equipos.</t>
  </si>
  <si>
    <t xml:space="preserve">SOBRETASA AL ACPM (23)-
</t>
  </si>
  <si>
    <t>RECURSOS DEL CREDITO (46)</t>
  </si>
  <si>
    <t xml:space="preserve">0308 - 5 - 3 1 2 4 14 9 19 - 89    </t>
  </si>
  <si>
    <t>Recurso humano necesarios para la atencion de emergencias viales</t>
  </si>
  <si>
    <t>0308 - 5 - 3 1 2 4 14 9 19 - 89</t>
  </si>
  <si>
    <t xml:space="preserve">SUPERÁVIT SOBRETASA AL ACPM (89)
</t>
  </si>
  <si>
    <t>Obra Fisica requerida para la atencion de emergencias viales</t>
  </si>
  <si>
    <t xml:space="preserve">15. </t>
  </si>
  <si>
    <t>MEJORA DE LA INFRAESTRUCTURA SOCIAL DEL DEPARTAMENTO DEL QUINDIO</t>
  </si>
  <si>
    <t>0308 - 5 - 3 1 2 4 15 1 21 - 04
0308 - 5 - 3 1 2 4 15 1 21 - 82
0308 - 5 - 3 1 2 4 15 15 21 - 20
0308 - 5 - 3 1 2 4 15 1 21 - 04
0308 - 5 - 3 1 2 4 15 1 21 - 82
0308 - 5 - 3 1 2 4 15 7 21 - 46
0308 - 5 - 3 1 2 4 15 15 2 - 56
0308 - 5 - 3 1 2 4 15 15 21 - 82</t>
  </si>
  <si>
    <t>201663000-0021</t>
  </si>
  <si>
    <t>Construir, mantener, mejorar y/o rehabilitar la infraestructura social del Departamento del quindio</t>
  </si>
  <si>
    <t>Construir, mantener, mejorar y/o rehabilitar la infraestructura social del departamento del Quindío.</t>
  </si>
  <si>
    <t>Mantener en buen estado la infraestructura y asequible la infraestructura social del departamento del Quindío</t>
  </si>
  <si>
    <t>1.1 Transporte, elementos, materiales, equipos e insumos infraestructura educativa</t>
  </si>
  <si>
    <t>ESTAMPILLA PRO - DESARROLLO (04)</t>
  </si>
  <si>
    <t>Estampilla Prodesarrollo
Recursos del Credito
Recursos Nacionales</t>
  </si>
  <si>
    <t>Marco Aurelio Forero Patiño Director Infraestructura Vial y Social 
Carlos Andres Baena - Jefe Infraestructura Social</t>
  </si>
  <si>
    <t>Juan Antonio Osorio Alvarez Secretario de Aguas e Infraestructura</t>
  </si>
  <si>
    <t>1.2 Asistencia profesional- tecnica y mano de obra Infraestructura educativa</t>
  </si>
  <si>
    <t>1.3 Mantener, mejorar y/o rehabilitar la Infraestructura educativa del Departamento del Quindio.</t>
  </si>
  <si>
    <t>SUPERÁVIT ESTAMPILLA PRO - DESARROLLO (82)</t>
  </si>
  <si>
    <t>1.4 Asistencia externa para el control y seguimiento de la correcta ejecucion de los contratos en Infraestructura educativa</t>
  </si>
  <si>
    <t>Apoyar la construcción, mejoramiento y/o rehabilitación de cuatro (4) obras de infraestructura de salud del departamento del Quindío</t>
  </si>
  <si>
    <t>Numero de instituciones de salud mejoradas y/o apoyadas</t>
  </si>
  <si>
    <t>2.1 Obra Fisica Infraestructura de Salud</t>
  </si>
  <si>
    <t>2.2 Asistencia externa para el control y seguimiento de la correcta ejecucion de los contratos en Infraestructura de Salud</t>
  </si>
  <si>
    <t>3.1 Transporte, elementos, materiales, equipos e insumos Infraestructura deportiva</t>
  </si>
  <si>
    <t xml:space="preserve">ESTAMPILLA PRO - DESARROLLO (04)
</t>
  </si>
  <si>
    <t>3.2 Asistencia profesional - tecnica y mano de obra de Infraestructura deportiva</t>
  </si>
  <si>
    <t>3.3 Mantener, mejorar y/o rehabilitar la Infraestructura deportiva del Departamento del Quindio.</t>
  </si>
  <si>
    <t>3.4 Asistencia externa para el control y seguimiento de la correcta ejecucion de los contratos en infraestructura deportiva</t>
  </si>
  <si>
    <t>Apoyar la construcción, el mantenimiento, el mejoramiento y/o la rehabilitación de la infraestructura de doce (12) equipamientos públicos y colectivos del Departamento del Quindío.</t>
  </si>
  <si>
    <t>Número de  equipamientos públcos  y colectivos rehabilitados</t>
  </si>
  <si>
    <t>4.1 Transporte, elementos, materiales, equipos e insumos Infraestructura Equipamientos publicos y colectivos</t>
  </si>
  <si>
    <t xml:space="preserve">RECURSO ORDINARIO (20)
</t>
  </si>
  <si>
    <t>4.2 Construir, mantener, mejorar y/o rehabilitar la infraestructura Social del Departamento del Quindio</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</si>
  <si>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</si>
  <si>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</si>
  <si>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5.1 Construir, mantener, mejorar y/o rehabilitar la Infraestructura Institucional o de edificios publicos del Departamento del Quindio.</t>
  </si>
  <si>
    <t>5.2 Asistencia externa para el control y seguimiento de la correcta ejecucion de los contratos en Infraestructura Institucional o de edificios publicos en el departamento del Quindio.</t>
  </si>
  <si>
    <t>6.1 Mejoramiento de vivienda</t>
  </si>
  <si>
    <t xml:space="preserve">Desarrollar tres (3) ejercicios de presupuesto participativo con la ciudadanía, para la priorización de recursos de infraestructura física en el Departamento </t>
  </si>
  <si>
    <t xml:space="preserve">Desarrollar tres (3) ejercicios de presupuesto participativo con la ciudadanía, para la priorización de recursos de infraestructura física en el departamento </t>
  </si>
  <si>
    <t xml:space="preserve">7.1 Evento Socializacion ejercicio participativo </t>
  </si>
  <si>
    <t>RECURSO ORDINARIO (20)</t>
  </si>
  <si>
    <t>0308 - 5 - 3 1 2 4 15 15 2 - 56</t>
  </si>
  <si>
    <t>2018003630- 002</t>
  </si>
  <si>
    <t xml:space="preserve">Contrucción Cancha Sintetica y Adecuación del Polideportivo en el Sector el Naranjal, Quimbaya Quindio </t>
  </si>
  <si>
    <t>Incrementar los niveles de práctica deportiva</t>
  </si>
  <si>
    <t>Aumentar los espacios para la prácticas deportivas</t>
  </si>
  <si>
    <t>Construcion Cancha Sintetica y Adecuacion del Polideportivo en el Sector de Naranjal, Quimbaya Quindio</t>
  </si>
  <si>
    <t>RECURSOS NACIONALES</t>
  </si>
  <si>
    <t>Juan Antonio Osorio Alvarez</t>
  </si>
  <si>
    <t xml:space="preserve">Secretario de Aguas e Infraestructura </t>
  </si>
  <si>
    <t>Departamento del Quindio</t>
  </si>
  <si>
    <t>SEGUIMIENTO PLAN DE ACCIÓN
SECRETARIA DE CULTURA
II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</si>
</sst>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_ [$€-2]\ * #,##0.00_ ;_ [$€-2]\ * \-#,##0.00_ ;_ [$€-2]\ * &quot;-&quot;??_ "/>
    <numFmt numFmtId="166" formatCode="dd/mm/yy;@"/>
    <numFmt numFmtId="167" formatCode="dd/mm/yyyy;@"/>
    <numFmt numFmtId="168" formatCode="_(* #,##0_);_(* \(#,##0\);_(* &quot;-&quot;??_);_(@_)"/>
    <numFmt numFmtId="169" formatCode="&quot;$&quot;\ #,##0"/>
    <numFmt numFmtId="170" formatCode="0.0"/>
    <numFmt numFmtId="171" formatCode="0.0%"/>
    <numFmt numFmtId="172" formatCode="d/mm/yyyy;@"/>
    <numFmt numFmtId="173" formatCode="_(* #,##0.00_);_(* \(#,##0.00\);_(* &quot;-&quot;_);_(@_)"/>
    <numFmt numFmtId="174" formatCode="_-&quot;$&quot;* #,##0_-;\-&quot;$&quot;* #,##0_-;_-&quot;$&quot;* &quot;-&quot;_-;_-@_-"/>
    <numFmt numFmtId="175" formatCode="_-* #,##0.00_-;\-* #,##0.00_-;_-* &quot;-&quot;??_-;_-@_-"/>
    <numFmt numFmtId="176" formatCode="_-* #,##0.00\ _€_-;\-* #,##0.00\ _€_-;_-* &quot;-&quot;??\ _€_-;_-@_-"/>
    <numFmt numFmtId="177" formatCode="&quot;$&quot;\ #,##0.00"/>
    <numFmt numFmtId="178" formatCode="#,##0.0"/>
    <numFmt numFmtId="179" formatCode="&quot;$&quot;#,##0.00"/>
    <numFmt numFmtId="180" formatCode="&quot;$&quot;#,##0"/>
    <numFmt numFmtId="181" formatCode="0_ ;\-0\ "/>
    <numFmt numFmtId="182" formatCode="_-* #,##0_-;\-* #,##0_-;_-* &quot;-&quot;_-;_-@_-"/>
    <numFmt numFmtId="183" formatCode="_(&quot;$&quot;\ * #,##0_);_(&quot;$&quot;\ * \(#,##0\);_(&quot;$&quot;\ * &quot;-&quot;??_);_(@_)"/>
    <numFmt numFmtId="184" formatCode="_-* #,##0_-;\-* #,##0_-;_-* &quot;-&quot;??_-;_-@_-"/>
    <numFmt numFmtId="185" formatCode="_-[$$-240A]* #,##0.00_-;\-[$$-240A]* #,##0.00_-;_-[$$-240A]* &quot;-&quot;??_-;_-@_-"/>
    <numFmt numFmtId="186" formatCode="_-[$$-240A]* #,##0.00_-;\-[$$-240A]* #,##0.00_-;_-[$$-240A]* &quot;-&quot;_-;_-@_-"/>
    <numFmt numFmtId="187" formatCode="#,##0.000"/>
    <numFmt numFmtId="188" formatCode="_-&quot;$&quot;* #,##0_-;\-&quot;$&quot;* #,##0_-;_-&quot;$&quot;* &quot;-&quot;??_-;_-@_-"/>
    <numFmt numFmtId="189" formatCode="_-* #,##0.00_-;\-* #,##0.00_-;_-* &quot;-&quot;_-;_-@_-"/>
    <numFmt numFmtId="190" formatCode="#,##0.00;[Red]#,##0.00"/>
    <numFmt numFmtId="191" formatCode="#,##0;[Red]#,##0"/>
    <numFmt numFmtId="192" formatCode="0;[Red]0"/>
  </numFmts>
  <fonts count="27" x14ac:knownFonts="1">
    <font>
      <sz val="11"/>
      <color theme="1"/>
      <name val="Calibri"/>
      <family val="2"/>
      <scheme val="minor"/>
    </font>
    <font>
      <sz val="11"/>
      <color theme="1"/>
      <name val="Calibri"/>
      <family val="2"/>
      <scheme val="minor"/>
    </font>
    <font>
      <b/>
      <sz val="14"/>
      <name val="Arial"/>
      <family val="2"/>
    </font>
    <font>
      <sz val="12"/>
      <name val="Arial"/>
      <family val="2"/>
    </font>
    <font>
      <b/>
      <sz val="10"/>
      <name val="Arial"/>
      <family val="2"/>
    </font>
    <font>
      <b/>
      <sz val="11"/>
      <name val="Arial"/>
      <family val="2"/>
    </font>
    <font>
      <b/>
      <sz val="12"/>
      <name val="Arial"/>
      <family val="2"/>
    </font>
    <font>
      <b/>
      <sz val="9"/>
      <name val="Calibri"/>
      <family val="2"/>
      <scheme val="minor"/>
    </font>
    <font>
      <b/>
      <sz val="12"/>
      <name val="Calibri"/>
      <family val="2"/>
      <scheme val="minor"/>
    </font>
    <font>
      <sz val="12"/>
      <name val="Calibri"/>
      <family val="2"/>
      <scheme val="minor"/>
    </font>
    <font>
      <sz val="14"/>
      <name val="Arial"/>
      <family val="2"/>
    </font>
    <font>
      <sz val="11"/>
      <color indexed="8"/>
      <name val="Calibri"/>
      <family val="2"/>
    </font>
    <font>
      <sz val="10"/>
      <name val="Arial"/>
      <family val="2"/>
    </font>
    <font>
      <sz val="11"/>
      <name val="Arial"/>
      <family val="2"/>
    </font>
    <font>
      <sz val="11"/>
      <name val="Calibri"/>
      <family val="2"/>
      <scheme val="minor"/>
    </font>
    <font>
      <b/>
      <sz val="11"/>
      <name val="Calibri"/>
      <family val="2"/>
      <scheme val="minor"/>
    </font>
    <font>
      <sz val="11"/>
      <color theme="1"/>
      <name val="Arial"/>
      <family val="2"/>
    </font>
    <font>
      <b/>
      <sz val="11"/>
      <color theme="1"/>
      <name val="Arial"/>
      <family val="2"/>
    </font>
    <font>
      <sz val="9"/>
      <name val="Arial"/>
      <family val="2"/>
    </font>
    <font>
      <sz val="16"/>
      <name val="Arial"/>
      <family val="2"/>
    </font>
    <font>
      <sz val="8"/>
      <name val="Calibri"/>
      <family val="2"/>
      <scheme val="minor"/>
    </font>
    <font>
      <sz val="10"/>
      <color theme="1"/>
      <name val="Arial"/>
      <family val="2"/>
    </font>
    <font>
      <b/>
      <sz val="9"/>
      <name val="Arial"/>
      <family val="2"/>
    </font>
    <font>
      <i/>
      <sz val="11"/>
      <name val="Arial"/>
      <family val="2"/>
    </font>
    <font>
      <sz val="9"/>
      <name val="Calibri"/>
      <family val="2"/>
      <scheme val="minor"/>
    </font>
    <font>
      <b/>
      <sz val="9"/>
      <color indexed="81"/>
      <name val="Tahoma"/>
      <family val="2"/>
    </font>
    <font>
      <sz val="9"/>
      <color indexed="81"/>
      <name val="Tahoma"/>
      <family val="2"/>
    </font>
  </fonts>
  <fills count="30">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FFFFFF"/>
        <bgColor indexed="64"/>
      </patternFill>
    </fill>
    <fill>
      <patternFill patternType="solid">
        <fgColor theme="2"/>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D966"/>
        <bgColor indexed="64"/>
      </patternFill>
    </fill>
    <fill>
      <patternFill patternType="solid">
        <fgColor rgb="FF92D050"/>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rgb="FFE0C316"/>
        <bgColor indexed="64"/>
      </patternFill>
    </fill>
    <fill>
      <patternFill patternType="solid">
        <fgColor theme="4" tint="0.59999389629810485"/>
        <bgColor indexed="64"/>
      </patternFill>
    </fill>
    <fill>
      <patternFill patternType="solid">
        <fgColor rgb="FFACB9CA"/>
        <bgColor indexed="64"/>
      </patternFill>
    </fill>
    <fill>
      <patternFill patternType="solid">
        <fgColor rgb="FFC6E0B4"/>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bottom style="medium">
        <color indexed="64"/>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right style="thin">
        <color indexed="64"/>
      </right>
      <top/>
      <bottom style="medium">
        <color indexed="64"/>
      </bottom>
      <diagonal/>
    </border>
    <border>
      <left style="thin">
        <color auto="1"/>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style="thin">
        <color indexed="64"/>
      </left>
      <right style="thin">
        <color indexed="64"/>
      </right>
      <top style="medium">
        <color indexed="64"/>
      </top>
      <bottom/>
      <diagonal/>
    </border>
    <border>
      <left style="thin">
        <color auto="1"/>
      </left>
      <right style="thin">
        <color indexed="64"/>
      </right>
      <top style="thin">
        <color rgb="FF000000"/>
      </top>
      <bottom/>
      <diagonal/>
    </border>
    <border>
      <left style="thin">
        <color rgb="FF000000"/>
      </left>
      <right style="thin">
        <color rgb="FF000000"/>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auto="1"/>
      </left>
      <right/>
      <top style="medium">
        <color auto="1"/>
      </top>
      <bottom/>
      <diagonal/>
    </border>
    <border>
      <left/>
      <right style="thin">
        <color auto="1"/>
      </right>
      <top style="medium">
        <color auto="1"/>
      </top>
      <bottom/>
      <diagonal/>
    </border>
    <border>
      <left style="thin">
        <color rgb="FF000000"/>
      </left>
      <right/>
      <top/>
      <bottom/>
      <diagonal/>
    </border>
    <border>
      <left style="thin">
        <color auto="1"/>
      </left>
      <right style="thin">
        <color rgb="FF000000"/>
      </right>
      <top style="thin">
        <color auto="1"/>
      </top>
      <bottom/>
      <diagonal/>
    </border>
    <border>
      <left style="thin">
        <color auto="1"/>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indexed="64"/>
      </left>
      <right style="thin">
        <color rgb="FF000000"/>
      </right>
      <top style="thin">
        <color rgb="FF000000"/>
      </top>
      <bottom/>
      <diagonal/>
    </border>
    <border>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medium">
        <color indexed="64"/>
      </right>
      <top/>
      <bottom style="thin">
        <color auto="1"/>
      </bottom>
      <diagonal/>
    </border>
    <border>
      <left/>
      <right/>
      <top style="thin">
        <color rgb="FF000000"/>
      </top>
      <bottom style="thin">
        <color rgb="FF000000"/>
      </bottom>
      <diagonal/>
    </border>
    <border>
      <left style="thin">
        <color indexed="64"/>
      </left>
      <right style="thin">
        <color indexed="64"/>
      </right>
      <top/>
      <bottom style="thin">
        <color rgb="FF000000"/>
      </bottom>
      <diagonal/>
    </border>
    <border>
      <left/>
      <right style="medium">
        <color indexed="64"/>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medium">
        <color indexed="64"/>
      </left>
      <right style="thin">
        <color indexed="64"/>
      </right>
      <top style="medium">
        <color indexed="64"/>
      </top>
      <bottom/>
      <diagonal/>
    </border>
    <border>
      <left style="medium">
        <color auto="1"/>
      </left>
      <right style="thin">
        <color auto="1"/>
      </right>
      <top style="thin">
        <color auto="1"/>
      </top>
      <bottom style="medium">
        <color auto="1"/>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2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5"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1" fontId="1" fillId="0" borderId="0" applyFont="0" applyFill="0" applyBorder="0" applyAlignment="0" applyProtection="0"/>
    <xf numFmtId="0" fontId="12" fillId="0" borderId="0"/>
    <xf numFmtId="0" fontId="12" fillId="0" borderId="0"/>
    <xf numFmtId="0" fontId="1" fillId="0" borderId="0"/>
    <xf numFmtId="0" fontId="12" fillId="0" borderId="0"/>
    <xf numFmtId="0" fontId="1" fillId="0" borderId="0"/>
    <xf numFmtId="0" fontId="12" fillId="0" borderId="0"/>
    <xf numFmtId="174" fontId="12"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165" fontId="1" fillId="0" borderId="0"/>
    <xf numFmtId="43" fontId="11" fillId="0" borderId="0" applyFont="0" applyFill="0" applyBorder="0" applyAlignment="0" applyProtection="0"/>
    <xf numFmtId="0" fontId="21" fillId="0" borderId="0"/>
    <xf numFmtId="182" fontId="1" fillId="0" borderId="0" applyFont="0" applyFill="0" applyBorder="0" applyAlignment="0" applyProtection="0"/>
    <xf numFmtId="43" fontId="1" fillId="0" borderId="0" applyFont="0" applyFill="0" applyBorder="0" applyAlignment="0" applyProtection="0"/>
    <xf numFmtId="165" fontId="1" fillId="0" borderId="0"/>
    <xf numFmtId="9" fontId="11" fillId="0" borderId="0" applyFont="0" applyFill="0" applyBorder="0" applyAlignment="0" applyProtection="0"/>
    <xf numFmtId="0" fontId="1" fillId="0" borderId="0"/>
  </cellStyleXfs>
  <cellXfs count="4856">
    <xf numFmtId="0" fontId="0" fillId="0" borderId="0" xfId="0"/>
    <xf numFmtId="0" fontId="2" fillId="0" borderId="0" xfId="0" applyFont="1" applyAlignment="1">
      <alignment horizontal="center" vertical="center" wrapText="1"/>
    </xf>
    <xf numFmtId="0" fontId="3" fillId="0" borderId="0" xfId="0" applyFont="1"/>
    <xf numFmtId="0" fontId="4" fillId="0" borderId="1" xfId="0" applyFont="1" applyBorder="1" applyAlignment="1">
      <alignment vertical="center"/>
    </xf>
    <xf numFmtId="0" fontId="5" fillId="0" borderId="1" xfId="0" applyFont="1" applyBorder="1"/>
    <xf numFmtId="0" fontId="4" fillId="0" borderId="1" xfId="0" applyFont="1" applyBorder="1" applyAlignment="1">
      <alignment horizontal="left" vertical="center"/>
    </xf>
    <xf numFmtId="164" fontId="5" fillId="0" borderId="1" xfId="0" applyNumberFormat="1" applyFont="1" applyBorder="1" applyAlignment="1">
      <alignment horizontal="left"/>
    </xf>
    <xf numFmtId="17" fontId="5" fillId="0" borderId="1" xfId="0" applyNumberFormat="1" applyFont="1" applyBorder="1" applyAlignment="1">
      <alignment horizontal="left"/>
    </xf>
    <xf numFmtId="0" fontId="2" fillId="0" borderId="2" xfId="0" applyFont="1" applyBorder="1" applyAlignment="1">
      <alignment horizontal="center" vertical="center" wrapText="1"/>
    </xf>
    <xf numFmtId="0" fontId="3" fillId="0" borderId="0" xfId="0" applyFont="1" applyAlignment="1">
      <alignment wrapText="1"/>
    </xf>
    <xf numFmtId="3" fontId="5" fillId="2" borderId="1" xfId="0" applyNumberFormat="1" applyFont="1" applyFill="1" applyBorder="1" applyAlignment="1">
      <alignment horizontal="left" vertical="center" wrapText="1"/>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3" fontId="6" fillId="4" borderId="7" xfId="0" applyNumberFormat="1"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7" xfId="0" applyFont="1" applyFill="1" applyBorder="1" applyAlignment="1">
      <alignment horizontal="center" vertical="center"/>
    </xf>
    <xf numFmtId="0" fontId="6" fillId="4" borderId="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4" borderId="5" xfId="0" applyFont="1" applyFill="1" applyBorder="1" applyAlignment="1">
      <alignment horizontal="center" vertical="center" wrapText="1"/>
    </xf>
    <xf numFmtId="166" fontId="6" fillId="3" borderId="5" xfId="0" applyNumberFormat="1" applyFont="1" applyFill="1" applyBorder="1" applyAlignment="1">
      <alignment horizontal="center" vertical="center" wrapText="1"/>
    </xf>
    <xf numFmtId="1" fontId="6" fillId="6" borderId="3" xfId="0" applyNumberFormat="1" applyFont="1" applyFill="1" applyBorder="1" applyAlignment="1">
      <alignment horizontal="left" vertical="center" wrapText="1"/>
    </xf>
    <xf numFmtId="0" fontId="6" fillId="6" borderId="4" xfId="0" applyFont="1" applyFill="1" applyBorder="1" applyAlignment="1">
      <alignment vertical="center"/>
    </xf>
    <xf numFmtId="0" fontId="6" fillId="6" borderId="4" xfId="0" applyFont="1" applyFill="1" applyBorder="1" applyAlignment="1">
      <alignment horizontal="justify" vertical="center"/>
    </xf>
    <xf numFmtId="0" fontId="6" fillId="6" borderId="4" xfId="0" applyFont="1" applyFill="1" applyBorder="1" applyAlignment="1">
      <alignment horizontal="center" vertical="center"/>
    </xf>
    <xf numFmtId="9" fontId="6" fillId="6" borderId="4" xfId="5" applyFont="1" applyFill="1" applyBorder="1" applyAlignment="1">
      <alignment horizontal="center" vertical="center"/>
    </xf>
    <xf numFmtId="3" fontId="3" fillId="6" borderId="4" xfId="0" applyNumberFormat="1" applyFont="1" applyFill="1" applyBorder="1" applyAlignment="1">
      <alignment vertical="center"/>
    </xf>
    <xf numFmtId="3" fontId="6" fillId="6" borderId="4" xfId="0" applyNumberFormat="1" applyFont="1" applyFill="1" applyBorder="1" applyAlignment="1">
      <alignment horizontal="right" vertical="center"/>
    </xf>
    <xf numFmtId="0" fontId="6" fillId="6" borderId="1" xfId="0" applyFont="1" applyFill="1" applyBorder="1" applyAlignment="1">
      <alignment vertical="center"/>
    </xf>
    <xf numFmtId="0" fontId="6" fillId="6" borderId="1" xfId="0" applyFont="1" applyFill="1" applyBorder="1" applyAlignment="1">
      <alignment horizontal="justify" vertical="center"/>
    </xf>
    <xf numFmtId="0" fontId="3" fillId="7" borderId="3" xfId="0" applyFont="1" applyFill="1" applyBorder="1" applyAlignment="1">
      <alignment vertical="center" wrapText="1"/>
    </xf>
    <xf numFmtId="0" fontId="6" fillId="8" borderId="6" xfId="0" applyFont="1" applyFill="1" applyBorder="1" applyAlignment="1">
      <alignment horizontal="left" vertical="center"/>
    </xf>
    <xf numFmtId="1" fontId="6" fillId="8" borderId="7" xfId="0" applyNumberFormat="1" applyFont="1" applyFill="1" applyBorder="1" applyAlignment="1">
      <alignment horizontal="left" vertical="center"/>
    </xf>
    <xf numFmtId="0" fontId="6" fillId="8" borderId="4" xfId="0" applyFont="1" applyFill="1" applyBorder="1" applyAlignment="1">
      <alignment vertical="center"/>
    </xf>
    <xf numFmtId="0" fontId="6" fillId="8" borderId="4" xfId="0" applyFont="1" applyFill="1" applyBorder="1" applyAlignment="1">
      <alignment horizontal="justify" vertical="center"/>
    </xf>
    <xf numFmtId="0" fontId="6" fillId="8" borderId="4" xfId="0" applyFont="1" applyFill="1" applyBorder="1" applyAlignment="1">
      <alignment horizontal="center" vertical="center"/>
    </xf>
    <xf numFmtId="9" fontId="6" fillId="8" borderId="4" xfId="5" applyFont="1" applyFill="1" applyBorder="1" applyAlignment="1">
      <alignment horizontal="center" vertical="center"/>
    </xf>
    <xf numFmtId="3" fontId="3" fillId="8" borderId="4" xfId="0" applyNumberFormat="1" applyFont="1" applyFill="1" applyBorder="1" applyAlignment="1">
      <alignment vertical="center"/>
    </xf>
    <xf numFmtId="3" fontId="6" fillId="8" borderId="4" xfId="0" applyNumberFormat="1" applyFont="1" applyFill="1" applyBorder="1" applyAlignment="1">
      <alignment horizontal="right" vertical="center"/>
    </xf>
    <xf numFmtId="0" fontId="6" fillId="8" borderId="0" xfId="0" applyFont="1" applyFill="1" applyBorder="1" applyAlignment="1">
      <alignment vertical="center"/>
    </xf>
    <xf numFmtId="0" fontId="6" fillId="8" borderId="0" xfId="0" applyFont="1" applyFill="1" applyAlignment="1">
      <alignment vertical="center"/>
    </xf>
    <xf numFmtId="0" fontId="6" fillId="8" borderId="1" xfId="0" applyFont="1" applyFill="1" applyBorder="1" applyAlignment="1">
      <alignment vertical="center"/>
    </xf>
    <xf numFmtId="167" fontId="6" fillId="8" borderId="1" xfId="0" applyNumberFormat="1" applyFont="1" applyFill="1" applyBorder="1" applyAlignment="1">
      <alignment vertical="center"/>
    </xf>
    <xf numFmtId="0" fontId="6" fillId="8" borderId="1" xfId="0" applyFont="1" applyFill="1" applyBorder="1" applyAlignment="1">
      <alignment horizontal="justify" vertical="center"/>
    </xf>
    <xf numFmtId="0" fontId="3" fillId="7" borderId="0" xfId="0" applyFont="1" applyFill="1"/>
    <xf numFmtId="0" fontId="3" fillId="7" borderId="17" xfId="0" applyFont="1" applyFill="1" applyBorder="1" applyAlignment="1">
      <alignment vertical="center" wrapText="1"/>
    </xf>
    <xf numFmtId="1" fontId="6" fillId="9" borderId="6" xfId="0" applyNumberFormat="1" applyFont="1" applyFill="1" applyBorder="1" applyAlignment="1">
      <alignment horizontal="left" vertical="center" wrapText="1"/>
    </xf>
    <xf numFmtId="1" fontId="6" fillId="9" borderId="7" xfId="0" applyNumberFormat="1" applyFont="1" applyFill="1" applyBorder="1" applyAlignment="1">
      <alignment vertical="center"/>
    </xf>
    <xf numFmtId="0" fontId="6" fillId="9" borderId="8" xfId="0" applyFont="1" applyFill="1" applyBorder="1" applyAlignment="1">
      <alignment vertical="center"/>
    </xf>
    <xf numFmtId="0" fontId="6" fillId="9" borderId="1" xfId="0" applyFont="1" applyFill="1" applyBorder="1" applyAlignment="1">
      <alignment horizontal="justify" vertical="center"/>
    </xf>
    <xf numFmtId="0" fontId="6" fillId="9" borderId="1" xfId="0" applyFont="1" applyFill="1" applyBorder="1" applyAlignment="1">
      <alignment vertical="center"/>
    </xf>
    <xf numFmtId="0" fontId="6" fillId="9" borderId="1" xfId="0" applyFont="1" applyFill="1" applyBorder="1" applyAlignment="1">
      <alignment horizontal="center" vertical="center"/>
    </xf>
    <xf numFmtId="9" fontId="6" fillId="9" borderId="1" xfId="5" applyFont="1" applyFill="1" applyBorder="1" applyAlignment="1">
      <alignment horizontal="center" vertical="center"/>
    </xf>
    <xf numFmtId="3" fontId="3" fillId="9" borderId="1" xfId="0" applyNumberFormat="1" applyFont="1" applyFill="1" applyBorder="1" applyAlignment="1">
      <alignment vertical="center"/>
    </xf>
    <xf numFmtId="3" fontId="6" fillId="9" borderId="1" xfId="0" applyNumberFormat="1" applyFont="1" applyFill="1" applyBorder="1" applyAlignment="1">
      <alignment horizontal="right" vertical="center"/>
    </xf>
    <xf numFmtId="0" fontId="6" fillId="9" borderId="13" xfId="0" applyFont="1" applyFill="1" applyBorder="1" applyAlignment="1">
      <alignment vertical="center"/>
    </xf>
    <xf numFmtId="167" fontId="6" fillId="9" borderId="1" xfId="0" applyNumberFormat="1" applyFont="1" applyFill="1" applyBorder="1" applyAlignment="1">
      <alignment vertical="center"/>
    </xf>
    <xf numFmtId="43" fontId="3" fillId="7" borderId="19" xfId="1" applyFont="1" applyFill="1" applyBorder="1" applyAlignment="1">
      <alignment vertical="center" wrapText="1"/>
    </xf>
    <xf numFmtId="43" fontId="3" fillId="7" borderId="20" xfId="1" applyFont="1" applyFill="1" applyBorder="1" applyAlignment="1">
      <alignment vertical="center" wrapText="1"/>
    </xf>
    <xf numFmtId="1" fontId="3" fillId="7" borderId="20" xfId="0" applyNumberFormat="1" applyFont="1" applyFill="1" applyBorder="1" applyAlignment="1">
      <alignment horizontal="center" vertical="center" wrapText="1"/>
    </xf>
    <xf numFmtId="0" fontId="3" fillId="7" borderId="19" xfId="0" applyFont="1" applyFill="1" applyBorder="1" applyAlignment="1">
      <alignment vertical="center" wrapText="1"/>
    </xf>
    <xf numFmtId="43" fontId="3" fillId="0" borderId="21" xfId="1" applyFont="1" applyFill="1" applyBorder="1" applyAlignment="1">
      <alignment vertical="center" wrapText="1"/>
    </xf>
    <xf numFmtId="43" fontId="3" fillId="0" borderId="22" xfId="1" applyFont="1" applyFill="1" applyBorder="1" applyAlignment="1">
      <alignment vertical="center" wrapText="1"/>
    </xf>
    <xf numFmtId="1" fontId="3" fillId="7" borderId="22" xfId="0" applyNumberFormat="1" applyFont="1" applyFill="1" applyBorder="1" applyAlignment="1">
      <alignment horizontal="center" vertical="center" wrapText="1"/>
    </xf>
    <xf numFmtId="43" fontId="3" fillId="0" borderId="20" xfId="1" applyFont="1" applyFill="1" applyBorder="1" applyAlignment="1">
      <alignment vertical="center" wrapText="1"/>
    </xf>
    <xf numFmtId="1" fontId="3" fillId="7" borderId="19" xfId="0" applyNumberFormat="1" applyFont="1" applyFill="1" applyBorder="1" applyAlignment="1">
      <alignment horizontal="center" vertical="center" wrapText="1"/>
    </xf>
    <xf numFmtId="0" fontId="3" fillId="7" borderId="23" xfId="0" applyFont="1" applyFill="1" applyBorder="1" applyAlignment="1">
      <alignment vertical="center" wrapText="1"/>
    </xf>
    <xf numFmtId="0" fontId="3" fillId="7" borderId="0" xfId="0" applyFont="1" applyFill="1" applyAlignment="1">
      <alignment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justify" vertical="center" wrapText="1"/>
    </xf>
    <xf numFmtId="0" fontId="3" fillId="7" borderId="1" xfId="0" applyFont="1" applyFill="1" applyBorder="1" applyAlignment="1">
      <alignment vertical="center" wrapText="1"/>
    </xf>
    <xf numFmtId="9" fontId="3" fillId="7" borderId="1" xfId="5" applyFont="1" applyFill="1" applyBorder="1" applyAlignment="1">
      <alignment horizontal="center" vertical="center" wrapText="1"/>
    </xf>
    <xf numFmtId="3" fontId="3" fillId="7" borderId="1" xfId="0" applyNumberFormat="1" applyFont="1" applyFill="1" applyBorder="1" applyAlignment="1">
      <alignment horizontal="center" vertical="center" wrapText="1"/>
    </xf>
    <xf numFmtId="43" fontId="3" fillId="7" borderId="16" xfId="1" applyFont="1" applyFill="1" applyBorder="1" applyAlignment="1">
      <alignment horizontal="right" vertical="center" wrapText="1"/>
    </xf>
    <xf numFmtId="1" fontId="3" fillId="7" borderId="16" xfId="0" applyNumberFormat="1" applyFont="1" applyFill="1" applyBorder="1" applyAlignment="1">
      <alignment horizontal="center" vertical="center" wrapText="1"/>
    </xf>
    <xf numFmtId="0" fontId="3" fillId="7" borderId="16" xfId="0" applyFont="1" applyFill="1" applyBorder="1" applyAlignment="1">
      <alignment horizontal="justify" vertical="center" wrapText="1"/>
    </xf>
    <xf numFmtId="168"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9" fontId="3" fillId="0" borderId="1" xfId="3" applyFont="1" applyBorder="1" applyAlignment="1">
      <alignment horizontal="center" vertical="center"/>
    </xf>
    <xf numFmtId="3" fontId="3" fillId="0" borderId="1" xfId="0" applyNumberFormat="1" applyFont="1" applyBorder="1" applyAlignment="1">
      <alignment horizontal="center" vertical="center" wrapText="1"/>
    </xf>
    <xf numFmtId="3" fontId="3" fillId="0" borderId="1" xfId="0" applyNumberFormat="1" applyFont="1" applyBorder="1" applyAlignment="1">
      <alignment horizontal="justify" vertical="center" wrapText="1"/>
    </xf>
    <xf numFmtId="14" fontId="3" fillId="7" borderId="1" xfId="0" applyNumberFormat="1" applyFont="1" applyFill="1" applyBorder="1" applyAlignment="1">
      <alignment horizontal="center" vertical="center"/>
    </xf>
    <xf numFmtId="0" fontId="3" fillId="7" borderId="0" xfId="0" applyFont="1" applyFill="1" applyAlignment="1">
      <alignment horizontal="center" vertical="center" wrapText="1"/>
    </xf>
    <xf numFmtId="1" fontId="6" fillId="8" borderId="6" xfId="0" applyNumberFormat="1" applyFont="1" applyFill="1" applyBorder="1" applyAlignment="1">
      <alignment horizontal="left" vertical="center"/>
    </xf>
    <xf numFmtId="0" fontId="6" fillId="8" borderId="7" xfId="0" applyFont="1" applyFill="1" applyBorder="1" applyAlignment="1">
      <alignment vertical="center"/>
    </xf>
    <xf numFmtId="0" fontId="6" fillId="8" borderId="8" xfId="0" applyFont="1" applyFill="1" applyBorder="1" applyAlignment="1">
      <alignment vertical="center"/>
    </xf>
    <xf numFmtId="0" fontId="6" fillId="8" borderId="1" xfId="0" applyFont="1" applyFill="1" applyBorder="1" applyAlignment="1">
      <alignment horizontal="center" vertical="center"/>
    </xf>
    <xf numFmtId="9" fontId="6" fillId="8" borderId="1" xfId="5" applyFont="1" applyFill="1" applyBorder="1" applyAlignment="1">
      <alignment horizontal="center" vertical="center"/>
    </xf>
    <xf numFmtId="3" fontId="3" fillId="8" borderId="1" xfId="0" applyNumberFormat="1" applyFont="1" applyFill="1" applyBorder="1" applyAlignment="1">
      <alignment vertical="center"/>
    </xf>
    <xf numFmtId="3" fontId="6" fillId="8" borderId="6" xfId="0" applyNumberFormat="1" applyFont="1" applyFill="1" applyBorder="1" applyAlignment="1">
      <alignment horizontal="right" vertical="center"/>
    </xf>
    <xf numFmtId="43" fontId="6" fillId="8" borderId="1" xfId="1" applyFont="1" applyFill="1" applyBorder="1" applyAlignment="1">
      <alignment horizontal="center" vertical="center"/>
    </xf>
    <xf numFmtId="0" fontId="6" fillId="8" borderId="8" xfId="0" applyFont="1" applyFill="1" applyBorder="1" applyAlignment="1">
      <alignment horizontal="center" vertical="center"/>
    </xf>
    <xf numFmtId="1" fontId="6" fillId="9" borderId="6" xfId="0" applyNumberFormat="1" applyFont="1" applyFill="1" applyBorder="1" applyAlignment="1">
      <alignment horizontal="left" vertical="center" wrapText="1" indent="1"/>
    </xf>
    <xf numFmtId="1" fontId="6" fillId="9" borderId="7" xfId="0" applyNumberFormat="1" applyFont="1" applyFill="1" applyBorder="1" applyAlignment="1">
      <alignment horizontal="left" vertical="center" wrapText="1"/>
    </xf>
    <xf numFmtId="1" fontId="6" fillId="9" borderId="8" xfId="0" applyNumberFormat="1" applyFont="1" applyFill="1" applyBorder="1" applyAlignment="1">
      <alignment horizontal="left" vertical="center" wrapText="1" indent="1"/>
    </xf>
    <xf numFmtId="43" fontId="6" fillId="9" borderId="1" xfId="1" applyFont="1" applyFill="1" applyBorder="1" applyAlignment="1">
      <alignment horizontal="center" vertical="center" wrapText="1"/>
    </xf>
    <xf numFmtId="1" fontId="6" fillId="9" borderId="1" xfId="0" applyNumberFormat="1" applyFont="1" applyFill="1" applyBorder="1" applyAlignment="1">
      <alignment horizontal="left" vertical="center" wrapText="1"/>
    </xf>
    <xf numFmtId="1" fontId="6" fillId="9" borderId="1" xfId="0" applyNumberFormat="1" applyFont="1" applyFill="1" applyBorder="1" applyAlignment="1">
      <alignment horizontal="justify" vertical="center" wrapText="1"/>
    </xf>
    <xf numFmtId="43" fontId="3" fillId="7" borderId="1" xfId="1" applyFont="1" applyFill="1" applyBorder="1" applyAlignment="1">
      <alignment horizontal="center" vertical="center"/>
    </xf>
    <xf numFmtId="1" fontId="3" fillId="7" borderId="23" xfId="0" applyNumberFormat="1" applyFont="1" applyFill="1" applyBorder="1" applyAlignment="1">
      <alignment horizontal="center" vertical="center" wrapText="1"/>
    </xf>
    <xf numFmtId="0" fontId="3" fillId="7" borderId="9" xfId="0" applyFont="1" applyFill="1" applyBorder="1" applyAlignment="1">
      <alignment vertical="center" wrapText="1"/>
    </xf>
    <xf numFmtId="43" fontId="3" fillId="0" borderId="1" xfId="1" applyFont="1" applyFill="1" applyBorder="1" applyAlignment="1">
      <alignment horizontal="center" vertical="center"/>
    </xf>
    <xf numFmtId="0" fontId="3" fillId="10" borderId="6" xfId="0" applyFont="1" applyFill="1" applyBorder="1" applyAlignment="1">
      <alignment horizontal="justify" vertical="center" wrapText="1"/>
    </xf>
    <xf numFmtId="1" fontId="3" fillId="7" borderId="24" xfId="0" applyNumberFormat="1" applyFont="1" applyFill="1" applyBorder="1" applyAlignment="1">
      <alignment horizontal="center" vertical="center" wrapText="1"/>
    </xf>
    <xf numFmtId="0" fontId="3" fillId="7" borderId="21" xfId="0" applyFont="1" applyFill="1" applyBorder="1" applyAlignment="1">
      <alignment vertical="center" wrapText="1"/>
    </xf>
    <xf numFmtId="0" fontId="3" fillId="7" borderId="25" xfId="0" applyFont="1" applyFill="1" applyBorder="1" applyAlignment="1">
      <alignment vertical="center" wrapText="1"/>
    </xf>
    <xf numFmtId="43" fontId="3" fillId="0" borderId="13" xfId="1" applyFont="1" applyFill="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43" fontId="6" fillId="0" borderId="33" xfId="6" applyFont="1" applyBorder="1" applyAlignment="1">
      <alignment vertical="center"/>
    </xf>
    <xf numFmtId="0" fontId="6" fillId="0" borderId="33" xfId="0" applyFont="1" applyBorder="1" applyAlignment="1">
      <alignment horizontal="justify" vertical="center"/>
    </xf>
    <xf numFmtId="43" fontId="6" fillId="0" borderId="33" xfId="1" applyFont="1" applyBorder="1"/>
    <xf numFmtId="169" fontId="6" fillId="0" borderId="30" xfId="0" applyNumberFormat="1" applyFont="1" applyBorder="1" applyAlignment="1">
      <alignment vertical="center"/>
    </xf>
    <xf numFmtId="0" fontId="6" fillId="7" borderId="31" xfId="0" applyFont="1" applyFill="1" applyBorder="1" applyAlignment="1">
      <alignment horizontal="justify" vertical="center"/>
    </xf>
    <xf numFmtId="3" fontId="6" fillId="7" borderId="31" xfId="0" applyNumberFormat="1" applyFont="1" applyFill="1" applyBorder="1" applyAlignment="1">
      <alignment horizontal="center" vertical="center"/>
    </xf>
    <xf numFmtId="3" fontId="6" fillId="7" borderId="31" xfId="0" applyNumberFormat="1" applyFont="1" applyFill="1" applyBorder="1" applyAlignment="1">
      <alignment horizontal="justify" vertical="center"/>
    </xf>
    <xf numFmtId="0" fontId="6" fillId="0" borderId="31" xfId="0" applyFont="1" applyBorder="1" applyAlignment="1">
      <alignment horizontal="right" vertical="center"/>
    </xf>
    <xf numFmtId="166" fontId="6" fillId="0" borderId="31" xfId="0" applyNumberFormat="1" applyFont="1" applyBorder="1" applyAlignment="1">
      <alignment horizontal="center" vertical="center"/>
    </xf>
    <xf numFmtId="0" fontId="6" fillId="0" borderId="32" xfId="0" applyFont="1" applyBorder="1" applyAlignment="1">
      <alignment horizontal="left" vertical="center"/>
    </xf>
    <xf numFmtId="0" fontId="6" fillId="0" borderId="0" xfId="0" applyFont="1" applyAlignment="1">
      <alignment vertical="center"/>
    </xf>
    <xf numFmtId="3" fontId="3" fillId="0" borderId="0" xfId="0" applyNumberFormat="1" applyFont="1"/>
    <xf numFmtId="168" fontId="3" fillId="0" borderId="0" xfId="0" applyNumberFormat="1" applyFont="1" applyAlignment="1">
      <alignment horizontal="center"/>
    </xf>
    <xf numFmtId="169" fontId="3" fillId="0" borderId="0" xfId="0" applyNumberFormat="1" applyFont="1"/>
    <xf numFmtId="3" fontId="6" fillId="7" borderId="4" xfId="0" applyNumberFormat="1" applyFont="1" applyFill="1" applyBorder="1" applyAlignment="1">
      <alignment vertical="center"/>
    </xf>
    <xf numFmtId="0" fontId="6" fillId="0" borderId="4" xfId="0" applyFont="1" applyBorder="1"/>
    <xf numFmtId="0" fontId="6" fillId="0" borderId="0" xfId="0" applyFont="1"/>
    <xf numFmtId="0" fontId="5" fillId="0" borderId="1" xfId="0" applyFont="1" applyBorder="1" applyProtection="1"/>
    <xf numFmtId="0" fontId="3" fillId="0" borderId="0" xfId="0" applyFont="1" applyProtection="1"/>
    <xf numFmtId="0" fontId="5" fillId="0" borderId="1" xfId="0" applyFont="1" applyBorder="1" applyAlignment="1" applyProtection="1">
      <alignment horizontal="left"/>
    </xf>
    <xf numFmtId="164" fontId="5" fillId="0" borderId="1" xfId="0" applyNumberFormat="1" applyFont="1" applyBorder="1" applyAlignment="1" applyProtection="1">
      <alignment horizontal="left"/>
    </xf>
    <xf numFmtId="17" fontId="5" fillId="0" borderId="1" xfId="0" applyNumberFormat="1" applyFont="1" applyBorder="1" applyAlignment="1" applyProtection="1">
      <alignment horizontal="left"/>
    </xf>
    <xf numFmtId="0" fontId="5" fillId="0" borderId="1" xfId="0" applyFont="1" applyBorder="1" applyAlignment="1" applyProtection="1">
      <alignment vertical="center"/>
    </xf>
    <xf numFmtId="3" fontId="5" fillId="2" borderId="1" xfId="0" applyNumberFormat="1" applyFont="1" applyFill="1" applyBorder="1" applyAlignment="1" applyProtection="1">
      <alignment horizontal="left" vertical="center" wrapText="1"/>
    </xf>
    <xf numFmtId="0" fontId="3" fillId="0" borderId="0" xfId="0" applyFont="1" applyAlignment="1" applyProtection="1">
      <alignment wrapText="1"/>
    </xf>
    <xf numFmtId="0" fontId="6" fillId="0" borderId="1" xfId="0" applyFont="1" applyBorder="1" applyAlignment="1" applyProtection="1">
      <alignment vertical="center"/>
    </xf>
    <xf numFmtId="0" fontId="6" fillId="0" borderId="1" xfId="0" applyFont="1" applyBorder="1" applyAlignment="1" applyProtection="1">
      <alignment horizontal="center" vertical="center"/>
    </xf>
    <xf numFmtId="3" fontId="8" fillId="4" borderId="7" xfId="0" applyNumberFormat="1"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xf>
    <xf numFmtId="0" fontId="3" fillId="7" borderId="0" xfId="0" applyFont="1" applyFill="1" applyProtection="1"/>
    <xf numFmtId="0" fontId="6" fillId="3"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textRotation="255" wrapText="1"/>
    </xf>
    <xf numFmtId="49" fontId="6" fillId="3" borderId="1" xfId="0" applyNumberFormat="1" applyFont="1" applyFill="1" applyBorder="1" applyAlignment="1" applyProtection="1">
      <alignment horizontal="center" vertical="center" textRotation="255" wrapText="1"/>
    </xf>
    <xf numFmtId="3" fontId="6" fillId="3" borderId="18" xfId="0" applyNumberFormat="1" applyFont="1" applyFill="1" applyBorder="1" applyAlignment="1" applyProtection="1">
      <alignment horizontal="center" vertical="center" wrapText="1"/>
    </xf>
    <xf numFmtId="1" fontId="6" fillId="6" borderId="3" xfId="0" applyNumberFormat="1" applyFont="1" applyFill="1" applyBorder="1" applyAlignment="1" applyProtection="1">
      <alignment horizontal="left" vertical="center"/>
    </xf>
    <xf numFmtId="0" fontId="6" fillId="6" borderId="4" xfId="0" applyFont="1" applyFill="1" applyBorder="1" applyAlignment="1" applyProtection="1">
      <alignment horizontal="left" vertical="center"/>
    </xf>
    <xf numFmtId="0" fontId="6" fillId="6" borderId="4" xfId="0" applyFont="1" applyFill="1" applyBorder="1" applyAlignment="1" applyProtection="1">
      <alignment horizontal="justify" vertical="center"/>
    </xf>
    <xf numFmtId="0" fontId="6" fillId="6" borderId="4" xfId="0" applyFont="1" applyFill="1" applyBorder="1" applyAlignment="1" applyProtection="1">
      <alignment horizontal="center" vertical="center"/>
    </xf>
    <xf numFmtId="170" fontId="6" fillId="6" borderId="4" xfId="0" applyNumberFormat="1" applyFont="1" applyFill="1" applyBorder="1" applyAlignment="1" applyProtection="1">
      <alignment horizontal="left" vertical="center"/>
    </xf>
    <xf numFmtId="169" fontId="6" fillId="6" borderId="4" xfId="0" applyNumberFormat="1" applyFont="1" applyFill="1" applyBorder="1" applyAlignment="1" applyProtection="1">
      <alignment horizontal="left" vertical="center"/>
    </xf>
    <xf numFmtId="167" fontId="6" fillId="6" borderId="4" xfId="0" applyNumberFormat="1" applyFont="1" applyFill="1" applyBorder="1" applyAlignment="1" applyProtection="1">
      <alignment horizontal="left" vertical="center"/>
    </xf>
    <xf numFmtId="0" fontId="9" fillId="6" borderId="4" xfId="0" applyFont="1" applyFill="1" applyBorder="1" applyProtection="1"/>
    <xf numFmtId="0" fontId="9" fillId="6" borderId="9" xfId="0" applyFont="1" applyFill="1" applyBorder="1" applyAlignment="1" applyProtection="1">
      <alignment horizontal="justify"/>
    </xf>
    <xf numFmtId="0" fontId="9" fillId="0" borderId="0" xfId="0" applyFont="1" applyProtection="1"/>
    <xf numFmtId="1" fontId="6" fillId="7" borderId="3" xfId="0" applyNumberFormat="1" applyFont="1" applyFill="1" applyBorder="1" applyAlignment="1" applyProtection="1">
      <alignment horizontal="center" vertical="center" wrapText="1"/>
    </xf>
    <xf numFmtId="1" fontId="6" fillId="7" borderId="4" xfId="0" applyNumberFormat="1" applyFont="1" applyFill="1" applyBorder="1" applyAlignment="1" applyProtection="1">
      <alignment horizontal="center" vertical="center" wrapText="1"/>
    </xf>
    <xf numFmtId="1" fontId="6" fillId="7" borderId="9" xfId="0" applyNumberFormat="1" applyFont="1" applyFill="1" applyBorder="1" applyAlignment="1" applyProtection="1">
      <alignment horizontal="center" vertical="center" wrapText="1"/>
    </xf>
    <xf numFmtId="1" fontId="6" fillId="8" borderId="4" xfId="0" applyNumberFormat="1" applyFont="1" applyFill="1" applyBorder="1" applyAlignment="1" applyProtection="1">
      <alignment horizontal="left" vertical="center"/>
    </xf>
    <xf numFmtId="0" fontId="6" fillId="8" borderId="4" xfId="0" applyFont="1" applyFill="1" applyBorder="1" applyAlignment="1" applyProtection="1">
      <alignment horizontal="left" vertical="center"/>
    </xf>
    <xf numFmtId="0" fontId="6" fillId="8" borderId="4" xfId="0" applyFont="1" applyFill="1" applyBorder="1" applyAlignment="1" applyProtection="1">
      <alignment horizontal="justify" vertical="center"/>
    </xf>
    <xf numFmtId="0" fontId="6" fillId="8" borderId="4" xfId="0" applyFont="1" applyFill="1" applyBorder="1" applyAlignment="1" applyProtection="1">
      <alignment horizontal="center" vertical="center"/>
    </xf>
    <xf numFmtId="170" fontId="6" fillId="8" borderId="4" xfId="0" applyNumberFormat="1" applyFont="1" applyFill="1" applyBorder="1" applyAlignment="1" applyProtection="1">
      <alignment horizontal="left" vertical="center"/>
    </xf>
    <xf numFmtId="169" fontId="6" fillId="8" borderId="4" xfId="0" applyNumberFormat="1" applyFont="1" applyFill="1" applyBorder="1" applyAlignment="1" applyProtection="1">
      <alignment horizontal="left" vertical="center"/>
    </xf>
    <xf numFmtId="167" fontId="6" fillId="8" borderId="4" xfId="0" applyNumberFormat="1" applyFont="1" applyFill="1" applyBorder="1" applyAlignment="1" applyProtection="1">
      <alignment horizontal="left" vertical="center"/>
    </xf>
    <xf numFmtId="0" fontId="9" fillId="8" borderId="4" xfId="0" applyFont="1" applyFill="1" applyBorder="1" applyProtection="1"/>
    <xf numFmtId="0" fontId="9" fillId="8" borderId="9" xfId="0" applyFont="1" applyFill="1" applyBorder="1" applyAlignment="1" applyProtection="1">
      <alignment horizontal="justify"/>
    </xf>
    <xf numFmtId="1" fontId="6" fillId="7" borderId="17" xfId="0" applyNumberFormat="1" applyFont="1" applyFill="1" applyBorder="1" applyAlignment="1" applyProtection="1">
      <alignment horizontal="center" vertical="center" wrapText="1"/>
    </xf>
    <xf numFmtId="1" fontId="6" fillId="7" borderId="0" xfId="0" applyNumberFormat="1" applyFont="1" applyFill="1" applyAlignment="1" applyProtection="1">
      <alignment horizontal="center" vertical="center" wrapText="1"/>
    </xf>
    <xf numFmtId="0" fontId="6" fillId="7" borderId="3" xfId="0" applyFont="1" applyFill="1" applyBorder="1" applyAlignment="1" applyProtection="1">
      <alignment horizontal="center" vertical="center"/>
    </xf>
    <xf numFmtId="0" fontId="6" fillId="7" borderId="4" xfId="0" applyFont="1" applyFill="1" applyBorder="1" applyAlignment="1" applyProtection="1">
      <alignment horizontal="center" vertical="center"/>
    </xf>
    <xf numFmtId="0" fontId="6" fillId="7" borderId="9" xfId="0" applyFont="1" applyFill="1" applyBorder="1" applyAlignment="1" applyProtection="1">
      <alignment horizontal="center" vertical="center"/>
    </xf>
    <xf numFmtId="1" fontId="6" fillId="9" borderId="7" xfId="0" applyNumberFormat="1" applyFont="1" applyFill="1" applyBorder="1" applyAlignment="1" applyProtection="1">
      <alignment horizontal="left" vertical="center"/>
    </xf>
    <xf numFmtId="0" fontId="6" fillId="9" borderId="7" xfId="0" applyFont="1" applyFill="1" applyBorder="1" applyAlignment="1" applyProtection="1">
      <alignment horizontal="left" vertical="center"/>
    </xf>
    <xf numFmtId="0" fontId="6" fillId="9" borderId="7" xfId="0" applyFont="1" applyFill="1" applyBorder="1" applyAlignment="1" applyProtection="1">
      <alignment horizontal="justify" vertical="center"/>
    </xf>
    <xf numFmtId="0" fontId="6" fillId="9" borderId="4" xfId="0" applyFont="1" applyFill="1" applyBorder="1" applyAlignment="1" applyProtection="1">
      <alignment horizontal="left" vertical="center"/>
    </xf>
    <xf numFmtId="0" fontId="6" fillId="9" borderId="4" xfId="0" applyFont="1" applyFill="1" applyBorder="1" applyAlignment="1" applyProtection="1">
      <alignment horizontal="center" vertical="center"/>
    </xf>
    <xf numFmtId="170" fontId="6" fillId="9" borderId="7" xfId="0" applyNumberFormat="1" applyFont="1" applyFill="1" applyBorder="1" applyAlignment="1" applyProtection="1">
      <alignment horizontal="left" vertical="center"/>
    </xf>
    <xf numFmtId="169" fontId="6" fillId="9" borderId="7" xfId="0" applyNumberFormat="1" applyFont="1" applyFill="1" applyBorder="1" applyAlignment="1" applyProtection="1">
      <alignment horizontal="left" vertical="center"/>
    </xf>
    <xf numFmtId="0" fontId="6" fillId="9" borderId="19" xfId="0" applyFont="1" applyFill="1" applyBorder="1" applyAlignment="1" applyProtection="1">
      <alignment horizontal="justify" vertical="center"/>
    </xf>
    <xf numFmtId="0" fontId="6" fillId="9" borderId="19" xfId="0" applyFont="1" applyFill="1" applyBorder="1" applyAlignment="1" applyProtection="1">
      <alignment horizontal="center" vertical="center"/>
    </xf>
    <xf numFmtId="0" fontId="6" fillId="9" borderId="19" xfId="0" applyFont="1" applyFill="1" applyBorder="1" applyAlignment="1" applyProtection="1">
      <alignment horizontal="left" vertical="center"/>
    </xf>
    <xf numFmtId="1" fontId="3" fillId="9" borderId="7" xfId="0" applyNumberFormat="1" applyFont="1" applyFill="1" applyBorder="1" applyAlignment="1" applyProtection="1">
      <alignment vertical="center" wrapText="1"/>
    </xf>
    <xf numFmtId="167" fontId="6" fillId="9" borderId="7" xfId="0" applyNumberFormat="1" applyFont="1" applyFill="1" applyBorder="1" applyAlignment="1" applyProtection="1">
      <alignment horizontal="left" vertical="center"/>
    </xf>
    <xf numFmtId="0" fontId="9" fillId="9" borderId="7" xfId="0" applyFont="1" applyFill="1" applyBorder="1" applyProtection="1"/>
    <xf numFmtId="0" fontId="9" fillId="9" borderId="8" xfId="0" applyFont="1" applyFill="1" applyBorder="1" applyAlignment="1" applyProtection="1">
      <alignment horizontal="justify"/>
    </xf>
    <xf numFmtId="0" fontId="6" fillId="7" borderId="17" xfId="0" applyFont="1" applyFill="1" applyBorder="1" applyAlignment="1" applyProtection="1">
      <alignment horizontal="center" vertical="center"/>
    </xf>
    <xf numFmtId="0" fontId="6" fillId="7" borderId="0" xfId="0" applyFont="1" applyFill="1" applyAlignment="1" applyProtection="1">
      <alignment horizontal="center" vertical="center"/>
    </xf>
    <xf numFmtId="0" fontId="6" fillId="7" borderId="18" xfId="0" applyFont="1" applyFill="1" applyBorder="1" applyAlignment="1" applyProtection="1">
      <alignment horizontal="center" vertical="center"/>
    </xf>
    <xf numFmtId="0" fontId="3" fillId="7" borderId="0" xfId="0" applyFont="1" applyFill="1" applyAlignment="1" applyProtection="1">
      <alignment horizontal="center" vertical="center"/>
    </xf>
    <xf numFmtId="0" fontId="3" fillId="7" borderId="18" xfId="0" applyFont="1" applyFill="1" applyBorder="1" applyAlignment="1" applyProtection="1">
      <alignment horizontal="center" vertical="center"/>
    </xf>
    <xf numFmtId="4" fontId="3" fillId="0" borderId="19" xfId="1" applyNumberFormat="1" applyFont="1" applyFill="1" applyBorder="1" applyAlignment="1" applyProtection="1">
      <alignment horizontal="right" vertical="center"/>
    </xf>
    <xf numFmtId="4" fontId="3" fillId="0" borderId="19" xfId="1" applyNumberFormat="1" applyFont="1" applyFill="1" applyBorder="1" applyAlignment="1" applyProtection="1">
      <alignment vertical="center"/>
    </xf>
    <xf numFmtId="1" fontId="3" fillId="0" borderId="19" xfId="0" applyNumberFormat="1" applyFont="1" applyBorder="1" applyAlignment="1" applyProtection="1">
      <alignment horizontal="center" vertical="center" wrapText="1"/>
    </xf>
    <xf numFmtId="41" fontId="3" fillId="0" borderId="19" xfId="0" applyNumberFormat="1" applyFont="1" applyBorder="1" applyAlignment="1" applyProtection="1">
      <alignment horizontal="left" vertical="center" wrapText="1"/>
    </xf>
    <xf numFmtId="4" fontId="9" fillId="0" borderId="19" xfId="0" applyNumberFormat="1" applyFont="1" applyFill="1" applyBorder="1" applyAlignment="1" applyProtection="1">
      <alignment horizontal="right" vertical="center"/>
    </xf>
    <xf numFmtId="4" fontId="9" fillId="0" borderId="19" xfId="0" applyNumberFormat="1" applyFont="1" applyFill="1" applyBorder="1" applyAlignment="1" applyProtection="1">
      <alignment vertical="center"/>
    </xf>
    <xf numFmtId="41" fontId="9" fillId="0" borderId="19" xfId="0" applyNumberFormat="1" applyFont="1" applyBorder="1" applyAlignment="1" applyProtection="1">
      <alignment horizontal="left" vertical="center"/>
    </xf>
    <xf numFmtId="4" fontId="3" fillId="0" borderId="19" xfId="6" applyNumberFormat="1" applyFont="1" applyFill="1" applyBorder="1" applyAlignment="1" applyProtection="1">
      <alignment vertical="center"/>
    </xf>
    <xf numFmtId="0" fontId="3" fillId="0" borderId="19" xfId="0" applyFont="1" applyBorder="1" applyAlignment="1" applyProtection="1">
      <alignment horizontal="left" vertical="center" wrapText="1"/>
    </xf>
    <xf numFmtId="0" fontId="3" fillId="0" borderId="19" xfId="0" applyFont="1" applyBorder="1" applyAlignment="1" applyProtection="1">
      <alignment horizontal="justify" vertical="center"/>
    </xf>
    <xf numFmtId="4" fontId="3" fillId="0" borderId="19" xfId="6" applyNumberFormat="1" applyFont="1" applyFill="1" applyBorder="1" applyAlignment="1" applyProtection="1">
      <alignment horizontal="right" vertical="center"/>
    </xf>
    <xf numFmtId="4" fontId="3" fillId="0" borderId="19" xfId="6" applyNumberFormat="1" applyFont="1" applyFill="1" applyBorder="1" applyAlignment="1" applyProtection="1">
      <alignment horizontal="right" vertical="center" wrapText="1"/>
    </xf>
    <xf numFmtId="4" fontId="3" fillId="0" borderId="19" xfId="6" applyNumberFormat="1" applyFont="1" applyFill="1" applyBorder="1" applyAlignment="1" applyProtection="1">
      <alignment vertical="center" wrapText="1"/>
    </xf>
    <xf numFmtId="0" fontId="9" fillId="0" borderId="0" xfId="0" applyFont="1" applyAlignment="1" applyProtection="1">
      <alignment wrapText="1"/>
    </xf>
    <xf numFmtId="0" fontId="3" fillId="0" borderId="19" xfId="0" applyFont="1" applyBorder="1" applyAlignment="1" applyProtection="1">
      <alignment horizontal="left" vertical="center"/>
    </xf>
    <xf numFmtId="0" fontId="9" fillId="0" borderId="19" xfId="0" applyFont="1" applyBorder="1" applyAlignment="1" applyProtection="1">
      <alignment horizontal="center" vertical="center"/>
    </xf>
    <xf numFmtId="0" fontId="9" fillId="0" borderId="19" xfId="0" applyFont="1" applyBorder="1" applyAlignment="1" applyProtection="1">
      <alignment horizontal="left" vertical="center"/>
    </xf>
    <xf numFmtId="1" fontId="6" fillId="7" borderId="17" xfId="0" applyNumberFormat="1" applyFont="1" applyFill="1" applyBorder="1" applyAlignment="1" applyProtection="1">
      <alignment horizontal="justify" vertical="center"/>
    </xf>
    <xf numFmtId="1" fontId="6" fillId="7" borderId="0" xfId="0" applyNumberFormat="1" applyFont="1" applyFill="1" applyAlignment="1" applyProtection="1">
      <alignment horizontal="justify" vertical="center"/>
    </xf>
    <xf numFmtId="1" fontId="6" fillId="7" borderId="18" xfId="0" applyNumberFormat="1" applyFont="1" applyFill="1" applyBorder="1" applyAlignment="1" applyProtection="1">
      <alignment horizontal="justify" vertical="center"/>
    </xf>
    <xf numFmtId="1" fontId="6" fillId="9" borderId="4" xfId="0" applyNumberFormat="1" applyFont="1" applyFill="1" applyBorder="1" applyAlignment="1" applyProtection="1">
      <alignment horizontal="justify" vertical="center"/>
    </xf>
    <xf numFmtId="0" fontId="6" fillId="9" borderId="4" xfId="0" applyFont="1" applyFill="1" applyBorder="1" applyAlignment="1" applyProtection="1">
      <alignment vertical="center"/>
    </xf>
    <xf numFmtId="0" fontId="6" fillId="9" borderId="7" xfId="0" applyFont="1" applyFill="1" applyBorder="1" applyAlignment="1" applyProtection="1">
      <alignment vertical="center"/>
    </xf>
    <xf numFmtId="0" fontId="6" fillId="9" borderId="2" xfId="0" applyFont="1" applyFill="1" applyBorder="1" applyAlignment="1" applyProtection="1">
      <alignment vertical="center"/>
    </xf>
    <xf numFmtId="0" fontId="6" fillId="9" borderId="2" xfId="0" applyFont="1" applyFill="1" applyBorder="1" applyAlignment="1" applyProtection="1">
      <alignment horizontal="center" vertical="center"/>
    </xf>
    <xf numFmtId="43" fontId="6" fillId="9" borderId="7" xfId="6" applyFont="1" applyFill="1" applyBorder="1" applyAlignment="1" applyProtection="1">
      <alignment vertical="center"/>
    </xf>
    <xf numFmtId="43" fontId="6" fillId="9" borderId="19" xfId="6" applyFont="1" applyFill="1" applyBorder="1" applyAlignment="1" applyProtection="1">
      <alignment horizontal="justify" vertical="center"/>
    </xf>
    <xf numFmtId="1" fontId="3" fillId="7" borderId="17" xfId="0" applyNumberFormat="1" applyFont="1" applyFill="1" applyBorder="1" applyAlignment="1" applyProtection="1">
      <alignment horizontal="justify" vertical="center"/>
    </xf>
    <xf numFmtId="1" fontId="3" fillId="7" borderId="0" xfId="0" applyNumberFormat="1" applyFont="1" applyFill="1" applyAlignment="1" applyProtection="1">
      <alignment horizontal="justify" vertical="center"/>
    </xf>
    <xf numFmtId="0" fontId="3" fillId="7" borderId="17" xfId="0" applyFont="1" applyFill="1" applyBorder="1" applyAlignment="1" applyProtection="1">
      <alignment horizontal="justify" vertical="center"/>
    </xf>
    <xf numFmtId="0" fontId="3" fillId="7" borderId="0" xfId="0" applyFont="1" applyFill="1" applyAlignment="1" applyProtection="1">
      <alignment horizontal="justify" vertical="center"/>
    </xf>
    <xf numFmtId="0" fontId="3" fillId="7" borderId="3" xfId="0" applyFont="1" applyFill="1" applyBorder="1" applyAlignment="1" applyProtection="1">
      <alignment horizontal="justify" vertical="center"/>
    </xf>
    <xf numFmtId="0" fontId="3" fillId="7" borderId="4" xfId="0" applyFont="1" applyFill="1" applyBorder="1" applyAlignment="1" applyProtection="1">
      <alignment horizontal="justify" vertical="center"/>
    </xf>
    <xf numFmtId="0" fontId="3" fillId="7" borderId="9" xfId="0" applyFont="1" applyFill="1" applyBorder="1" applyAlignment="1" applyProtection="1">
      <alignment horizontal="justify" vertical="center"/>
    </xf>
    <xf numFmtId="43" fontId="3" fillId="0" borderId="34" xfId="6" applyFont="1" applyFill="1" applyBorder="1" applyAlignment="1" applyProtection="1">
      <alignment horizontal="center" vertical="center"/>
    </xf>
    <xf numFmtId="43" fontId="3" fillId="0" borderId="16" xfId="6" applyFont="1" applyFill="1" applyBorder="1" applyAlignment="1" applyProtection="1">
      <alignment horizontal="center" vertical="center"/>
    </xf>
    <xf numFmtId="1" fontId="3" fillId="7" borderId="34" xfId="0" applyNumberFormat="1" applyFont="1" applyFill="1" applyBorder="1" applyAlignment="1" applyProtection="1">
      <alignment horizontal="center" vertical="center"/>
    </xf>
    <xf numFmtId="0" fontId="3" fillId="7" borderId="34" xfId="0" applyFont="1" applyFill="1" applyBorder="1" applyAlignment="1" applyProtection="1">
      <alignment horizontal="left" vertical="center"/>
    </xf>
    <xf numFmtId="0" fontId="3" fillId="7" borderId="18" xfId="0" applyFont="1" applyFill="1" applyBorder="1" applyAlignment="1" applyProtection="1">
      <alignment horizontal="justify" vertical="center"/>
    </xf>
    <xf numFmtId="43" fontId="3" fillId="0" borderId="19" xfId="6" applyFont="1" applyFill="1" applyBorder="1" applyAlignment="1" applyProtection="1">
      <alignment horizontal="center" vertical="center"/>
    </xf>
    <xf numFmtId="1" fontId="3" fillId="7" borderId="19" xfId="0" applyNumberFormat="1" applyFont="1" applyFill="1" applyBorder="1" applyAlignment="1" applyProtection="1">
      <alignment horizontal="center" vertical="center"/>
    </xf>
    <xf numFmtId="0" fontId="3" fillId="7" borderId="19" xfId="0" applyFont="1" applyFill="1" applyBorder="1" applyAlignment="1" applyProtection="1">
      <alignment horizontal="left" vertical="center"/>
    </xf>
    <xf numFmtId="0" fontId="3" fillId="0" borderId="8" xfId="0" applyFont="1" applyBorder="1" applyAlignment="1" applyProtection="1">
      <alignment horizontal="center" vertical="center"/>
    </xf>
    <xf numFmtId="0" fontId="3" fillId="7" borderId="1" xfId="0" applyFont="1" applyFill="1" applyBorder="1" applyAlignment="1" applyProtection="1">
      <alignment horizontal="justify" vertical="center"/>
    </xf>
    <xf numFmtId="0" fontId="3" fillId="7" borderId="16" xfId="0" applyFont="1" applyFill="1" applyBorder="1" applyAlignment="1" applyProtection="1">
      <alignment horizontal="justify" vertical="center"/>
    </xf>
    <xf numFmtId="3" fontId="3" fillId="0" borderId="1" xfId="0" applyNumberFormat="1" applyFont="1" applyBorder="1" applyAlignment="1" applyProtection="1">
      <alignment horizontal="center" vertical="center"/>
    </xf>
    <xf numFmtId="0" fontId="10" fillId="0" borderId="1" xfId="0" applyFont="1" applyFill="1" applyBorder="1" applyAlignment="1">
      <alignment horizontal="center" vertical="center" wrapText="1"/>
    </xf>
    <xf numFmtId="10" fontId="3" fillId="7" borderId="13" xfId="3" applyNumberFormat="1" applyFont="1" applyFill="1" applyBorder="1" applyAlignment="1" applyProtection="1">
      <alignment horizontal="center" vertical="center"/>
    </xf>
    <xf numFmtId="0" fontId="3" fillId="0" borderId="16" xfId="0" applyFont="1" applyBorder="1" applyAlignment="1" applyProtection="1">
      <alignment horizontal="justify" vertical="center"/>
    </xf>
    <xf numFmtId="1" fontId="3" fillId="7" borderId="16" xfId="0" applyNumberFormat="1" applyFont="1" applyFill="1" applyBorder="1" applyAlignment="1" applyProtection="1">
      <alignment horizontal="center" vertical="center"/>
    </xf>
    <xf numFmtId="0" fontId="3" fillId="7" borderId="16" xfId="0" applyFont="1" applyFill="1" applyBorder="1" applyAlignment="1" applyProtection="1">
      <alignment horizontal="left" vertical="center"/>
    </xf>
    <xf numFmtId="0" fontId="3" fillId="0" borderId="1" xfId="0" applyFont="1" applyBorder="1" applyAlignment="1" applyProtection="1">
      <alignment horizontal="justify" vertical="center"/>
    </xf>
    <xf numFmtId="1" fontId="3" fillId="7" borderId="1" xfId="0" applyNumberFormat="1" applyFont="1" applyFill="1" applyBorder="1" applyAlignment="1" applyProtection="1">
      <alignment horizontal="center" vertical="center"/>
    </xf>
    <xf numFmtId="0" fontId="3" fillId="7" borderId="1" xfId="0" applyFont="1" applyFill="1" applyBorder="1" applyAlignment="1" applyProtection="1">
      <alignment horizontal="left" vertical="center"/>
    </xf>
    <xf numFmtId="0" fontId="3" fillId="0" borderId="1" xfId="0" applyFont="1" applyBorder="1" applyAlignment="1" applyProtection="1">
      <alignment horizontal="justify" vertical="center" wrapText="1"/>
    </xf>
    <xf numFmtId="43" fontId="3" fillId="0" borderId="16" xfId="6" applyFont="1" applyFill="1" applyBorder="1" applyAlignment="1" applyProtection="1">
      <alignment horizontal="center" vertical="center" wrapText="1"/>
    </xf>
    <xf numFmtId="0" fontId="9" fillId="0" borderId="1" xfId="0" applyFont="1" applyBorder="1" applyAlignment="1" applyProtection="1">
      <alignment horizontal="left"/>
    </xf>
    <xf numFmtId="0" fontId="3" fillId="7" borderId="1" xfId="0" applyFont="1" applyFill="1" applyBorder="1" applyAlignment="1" applyProtection="1">
      <alignment horizontal="center" vertical="center"/>
    </xf>
    <xf numFmtId="0" fontId="10" fillId="0" borderId="16" xfId="0" applyFont="1" applyFill="1" applyBorder="1" applyAlignment="1">
      <alignment horizontal="center" vertical="center" wrapText="1"/>
    </xf>
    <xf numFmtId="43" fontId="3" fillId="0" borderId="1" xfId="6" applyFont="1" applyFill="1" applyBorder="1" applyAlignment="1" applyProtection="1">
      <alignment horizontal="center" vertical="center"/>
    </xf>
    <xf numFmtId="0" fontId="3" fillId="7" borderId="15" xfId="0" applyFont="1" applyFill="1" applyBorder="1" applyAlignment="1" applyProtection="1">
      <alignment horizontal="justify" vertical="center" wrapText="1"/>
    </xf>
    <xf numFmtId="0" fontId="10" fillId="0" borderId="1" xfId="0" applyFont="1" applyFill="1" applyBorder="1" applyAlignment="1" applyProtection="1">
      <alignment horizontal="left" vertical="center" wrapText="1"/>
    </xf>
    <xf numFmtId="0" fontId="3" fillId="0" borderId="15"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5" xfId="0" applyFont="1" applyBorder="1" applyAlignment="1" applyProtection="1">
      <alignment horizontal="left" vertical="center"/>
    </xf>
    <xf numFmtId="14" fontId="3" fillId="0" borderId="15" xfId="0" applyNumberFormat="1"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Border="1" applyAlignment="1" applyProtection="1">
      <alignment horizontal="center" vertical="center"/>
    </xf>
    <xf numFmtId="0" fontId="3" fillId="7" borderId="16" xfId="0" applyFont="1" applyFill="1" applyBorder="1" applyAlignment="1" applyProtection="1">
      <alignment horizontal="left" vertical="center" wrapText="1"/>
    </xf>
    <xf numFmtId="0" fontId="3" fillId="7" borderId="16" xfId="0" applyNumberFormat="1" applyFont="1" applyFill="1" applyBorder="1" applyAlignment="1" applyProtection="1">
      <alignment horizontal="center" vertical="center"/>
    </xf>
    <xf numFmtId="10" fontId="3" fillId="7" borderId="16" xfId="3" applyNumberFormat="1" applyFont="1" applyFill="1" applyBorder="1" applyAlignment="1" applyProtection="1">
      <alignment horizontal="center"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xf>
    <xf numFmtId="43" fontId="3" fillId="0" borderId="1" xfId="1" applyFont="1" applyBorder="1" applyAlignment="1" applyProtection="1">
      <alignment horizontal="center" vertical="center"/>
    </xf>
    <xf numFmtId="10" fontId="3" fillId="0" borderId="1" xfId="0" applyNumberFormat="1" applyFont="1" applyBorder="1" applyAlignment="1" applyProtection="1">
      <alignment horizontal="center" vertical="center"/>
    </xf>
    <xf numFmtId="0" fontId="3" fillId="0" borderId="1" xfId="0" applyFont="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4" fontId="3" fillId="0" borderId="34" xfId="6" applyNumberFormat="1" applyFont="1" applyFill="1" applyBorder="1" applyAlignment="1" applyProtection="1">
      <alignment horizontal="right" vertical="center" wrapText="1"/>
    </xf>
    <xf numFmtId="4" fontId="10" fillId="0" borderId="16" xfId="6" applyNumberFormat="1" applyFont="1" applyFill="1" applyBorder="1" applyAlignment="1" applyProtection="1">
      <alignment vertical="center" wrapText="1"/>
    </xf>
    <xf numFmtId="0" fontId="10" fillId="0" borderId="1" xfId="0" applyFont="1" applyFill="1" applyBorder="1" applyAlignment="1" applyProtection="1">
      <alignment horizontal="center" vertical="center" wrapText="1"/>
    </xf>
    <xf numFmtId="1" fontId="3" fillId="7" borderId="13" xfId="0" applyNumberFormat="1" applyFont="1" applyFill="1" applyBorder="1" applyAlignment="1" applyProtection="1">
      <alignment vertical="center"/>
    </xf>
    <xf numFmtId="0" fontId="10" fillId="0" borderId="16" xfId="0" applyFont="1" applyFill="1" applyBorder="1" applyAlignment="1" applyProtection="1">
      <alignment horizontal="center" vertical="center" wrapText="1"/>
    </xf>
    <xf numFmtId="0" fontId="10" fillId="0" borderId="16" xfId="0" applyFont="1" applyFill="1" applyBorder="1" applyAlignment="1" applyProtection="1">
      <alignment horizontal="left" vertical="center" wrapText="1"/>
    </xf>
    <xf numFmtId="1" fontId="3" fillId="7" borderId="15" xfId="0" applyNumberFormat="1" applyFont="1" applyFill="1" applyBorder="1" applyAlignment="1" applyProtection="1">
      <alignment vertical="center"/>
    </xf>
    <xf numFmtId="4" fontId="10" fillId="0" borderId="1" xfId="6" applyNumberFormat="1" applyFont="1" applyFill="1" applyBorder="1" applyAlignment="1" applyProtection="1">
      <alignment vertical="center" wrapText="1"/>
    </xf>
    <xf numFmtId="43" fontId="10" fillId="0" borderId="1" xfId="6" applyFont="1" applyFill="1" applyBorder="1" applyAlignment="1" applyProtection="1">
      <alignment vertical="center" wrapText="1"/>
    </xf>
    <xf numFmtId="4" fontId="9" fillId="0" borderId="21" xfId="0" applyNumberFormat="1" applyFont="1" applyFill="1" applyBorder="1" applyAlignment="1" applyProtection="1">
      <alignment horizontal="right" vertical="center"/>
    </xf>
    <xf numFmtId="4" fontId="9" fillId="0" borderId="1" xfId="0" applyNumberFormat="1" applyFont="1" applyFill="1" applyBorder="1" applyAlignment="1" applyProtection="1">
      <alignment horizontal="right" vertical="center"/>
    </xf>
    <xf numFmtId="43" fontId="10" fillId="0" borderId="13" xfId="6" applyFont="1" applyFill="1" applyBorder="1" applyAlignment="1" applyProtection="1">
      <alignment vertical="center" wrapText="1"/>
    </xf>
    <xf numFmtId="0" fontId="10" fillId="0" borderId="13" xfId="0" applyFont="1" applyFill="1" applyBorder="1" applyAlignment="1" applyProtection="1">
      <alignment horizontal="left" vertical="center" wrapText="1"/>
    </xf>
    <xf numFmtId="0" fontId="10" fillId="0" borderId="15" xfId="0" applyFont="1" applyFill="1" applyBorder="1" applyAlignment="1" applyProtection="1">
      <alignment horizontal="center" vertical="center" wrapText="1"/>
    </xf>
    <xf numFmtId="1" fontId="3" fillId="7" borderId="16" xfId="0" applyNumberFormat="1" applyFont="1" applyFill="1" applyBorder="1" applyAlignment="1" applyProtection="1">
      <alignment vertical="center"/>
    </xf>
    <xf numFmtId="1" fontId="6" fillId="8" borderId="0" xfId="0" applyNumberFormat="1" applyFont="1" applyFill="1" applyAlignment="1" applyProtection="1">
      <alignment horizontal="justify" vertical="center"/>
    </xf>
    <xf numFmtId="0" fontId="6" fillId="8" borderId="0" xfId="0" applyFont="1" applyFill="1" applyAlignment="1" applyProtection="1">
      <alignment horizontal="left" vertical="center"/>
    </xf>
    <xf numFmtId="0" fontId="6" fillId="8" borderId="0" xfId="0" applyFont="1" applyFill="1" applyAlignment="1" applyProtection="1">
      <alignment horizontal="justify" vertical="center"/>
    </xf>
    <xf numFmtId="0" fontId="6" fillId="8" borderId="4" xfId="0" applyFont="1" applyFill="1" applyBorder="1" applyAlignment="1" applyProtection="1">
      <alignment vertical="center"/>
    </xf>
    <xf numFmtId="170" fontId="6" fillId="8" borderId="4" xfId="0" applyNumberFormat="1" applyFont="1" applyFill="1" applyBorder="1" applyAlignment="1" applyProtection="1">
      <alignment horizontal="center" vertical="center"/>
    </xf>
    <xf numFmtId="43" fontId="6" fillId="8" borderId="4" xfId="6" applyFont="1" applyFill="1" applyBorder="1" applyAlignment="1" applyProtection="1">
      <alignment vertical="center"/>
    </xf>
    <xf numFmtId="43" fontId="6" fillId="8" borderId="0" xfId="6" applyFont="1" applyFill="1" applyAlignment="1" applyProtection="1">
      <alignment horizontal="justify" vertical="center"/>
    </xf>
    <xf numFmtId="168" fontId="6" fillId="8" borderId="0" xfId="0" applyNumberFormat="1" applyFont="1" applyFill="1" applyAlignment="1" applyProtection="1">
      <alignment horizontal="center" vertical="center"/>
    </xf>
    <xf numFmtId="167" fontId="6" fillId="8" borderId="4" xfId="0" applyNumberFormat="1" applyFont="1" applyFill="1" applyBorder="1" applyAlignment="1" applyProtection="1">
      <alignment horizontal="center" vertical="center"/>
    </xf>
    <xf numFmtId="0" fontId="3" fillId="0" borderId="17" xfId="0" applyFont="1" applyBorder="1" applyAlignment="1" applyProtection="1">
      <alignment vertical="center"/>
    </xf>
    <xf numFmtId="0" fontId="6" fillId="7" borderId="0" xfId="0" applyFont="1" applyFill="1" applyAlignment="1" applyProtection="1">
      <alignment horizontal="justify" vertical="center"/>
    </xf>
    <xf numFmtId="0" fontId="6" fillId="7" borderId="3" xfId="0" applyFont="1" applyFill="1" applyBorder="1" applyAlignment="1" applyProtection="1">
      <alignment horizontal="justify" vertical="center"/>
    </xf>
    <xf numFmtId="0" fontId="6" fillId="7" borderId="4" xfId="0" applyFont="1" applyFill="1" applyBorder="1" applyAlignment="1" applyProtection="1">
      <alignment horizontal="justify" vertical="center"/>
    </xf>
    <xf numFmtId="0" fontId="6" fillId="7" borderId="9" xfId="0" applyFont="1" applyFill="1" applyBorder="1" applyAlignment="1" applyProtection="1">
      <alignment horizontal="justify" vertical="center"/>
    </xf>
    <xf numFmtId="1" fontId="6" fillId="9" borderId="7" xfId="0" applyNumberFormat="1" applyFont="1" applyFill="1" applyBorder="1" applyAlignment="1" applyProtection="1">
      <alignment horizontal="justify" vertical="center"/>
    </xf>
    <xf numFmtId="0" fontId="6" fillId="9" borderId="7" xfId="0" applyFont="1" applyFill="1" applyBorder="1" applyAlignment="1" applyProtection="1">
      <alignment horizontal="center" vertical="center"/>
    </xf>
    <xf numFmtId="43" fontId="6" fillId="9" borderId="7" xfId="6" applyFont="1" applyFill="1" applyBorder="1" applyAlignment="1" applyProtection="1">
      <alignment horizontal="justify" vertical="center"/>
    </xf>
    <xf numFmtId="0" fontId="3" fillId="7" borderId="17" xfId="0" applyFont="1" applyFill="1" applyBorder="1" applyAlignment="1" applyProtection="1">
      <alignment horizontal="justify"/>
    </xf>
    <xf numFmtId="0" fontId="3" fillId="7" borderId="0" xfId="0" applyFont="1" applyFill="1" applyAlignment="1" applyProtection="1">
      <alignment horizontal="justify"/>
    </xf>
    <xf numFmtId="0" fontId="6" fillId="7" borderId="17" xfId="0" applyFont="1" applyFill="1" applyBorder="1" applyAlignment="1" applyProtection="1">
      <alignment horizontal="justify" vertical="center"/>
    </xf>
    <xf numFmtId="0" fontId="6" fillId="7" borderId="18" xfId="0" applyFont="1" applyFill="1" applyBorder="1" applyAlignment="1" applyProtection="1">
      <alignment horizontal="justify" vertical="center"/>
    </xf>
    <xf numFmtId="3" fontId="3" fillId="0" borderId="16" xfId="0" applyNumberFormat="1" applyFont="1" applyBorder="1" applyAlignment="1" applyProtection="1">
      <alignment horizontal="center" vertical="center"/>
    </xf>
    <xf numFmtId="0" fontId="3" fillId="7" borderId="15" xfId="0" applyFont="1" applyFill="1" applyBorder="1" applyAlignment="1" applyProtection="1">
      <alignment horizontal="center"/>
    </xf>
    <xf numFmtId="9" fontId="3" fillId="7" borderId="15" xfId="7" applyFont="1" applyFill="1" applyBorder="1" applyAlignment="1" applyProtection="1">
      <alignment horizontal="center" vertical="center"/>
    </xf>
    <xf numFmtId="0" fontId="3" fillId="0" borderId="15" xfId="0" applyFont="1" applyBorder="1" applyAlignment="1" applyProtection="1">
      <alignment horizontal="justify" vertical="center"/>
    </xf>
    <xf numFmtId="43" fontId="3" fillId="0" borderId="15" xfId="6" applyFont="1" applyFill="1" applyBorder="1" applyAlignment="1" applyProtection="1">
      <alignment horizontal="justify" vertical="center"/>
    </xf>
    <xf numFmtId="1" fontId="3" fillId="7" borderId="13" xfId="0" applyNumberFormat="1" applyFont="1" applyFill="1" applyBorder="1" applyAlignment="1" applyProtection="1">
      <alignment horizontal="center" vertical="center" wrapText="1"/>
    </xf>
    <xf numFmtId="0" fontId="9" fillId="0" borderId="13" xfId="0" applyFont="1" applyBorder="1" applyAlignment="1" applyProtection="1">
      <alignment horizontal="left"/>
    </xf>
    <xf numFmtId="41" fontId="3" fillId="0" borderId="19" xfId="6" applyNumberFormat="1" applyFont="1" applyFill="1" applyBorder="1" applyAlignment="1" applyProtection="1">
      <alignment horizontal="right" vertical="center" wrapText="1"/>
    </xf>
    <xf numFmtId="1" fontId="3" fillId="7" borderId="19" xfId="0" applyNumberFormat="1" applyFont="1" applyFill="1" applyBorder="1" applyAlignment="1" applyProtection="1">
      <alignment horizontal="center" vertical="center" wrapText="1"/>
    </xf>
    <xf numFmtId="0" fontId="3" fillId="7" borderId="19" xfId="0" applyFont="1" applyFill="1" applyBorder="1" applyAlignment="1" applyProtection="1">
      <alignment horizontal="left" vertical="center" wrapText="1"/>
    </xf>
    <xf numFmtId="41" fontId="9" fillId="0" borderId="19" xfId="0" applyNumberFormat="1" applyFont="1" applyFill="1" applyBorder="1" applyAlignment="1" applyProtection="1">
      <alignment horizontal="right" vertical="center"/>
    </xf>
    <xf numFmtId="9" fontId="3" fillId="7" borderId="16" xfId="7" applyFont="1" applyFill="1" applyBorder="1" applyAlignment="1" applyProtection="1">
      <alignment horizontal="center" vertical="center"/>
    </xf>
    <xf numFmtId="43" fontId="3" fillId="0" borderId="16" xfId="6" applyFont="1" applyFill="1" applyBorder="1" applyAlignment="1" applyProtection="1">
      <alignment horizontal="justify" vertical="center"/>
    </xf>
    <xf numFmtId="1" fontId="3" fillId="7" borderId="16" xfId="0" applyNumberFormat="1" applyFont="1" applyFill="1" applyBorder="1" applyAlignment="1" applyProtection="1">
      <alignment horizontal="center" vertical="center" wrapText="1"/>
    </xf>
    <xf numFmtId="9" fontId="3" fillId="7" borderId="1" xfId="7" applyFont="1" applyFill="1" applyBorder="1" applyAlignment="1" applyProtection="1">
      <alignment horizontal="center" vertical="center"/>
    </xf>
    <xf numFmtId="43" fontId="3" fillId="0" borderId="1" xfId="6" applyFont="1" applyFill="1" applyBorder="1" applyAlignment="1" applyProtection="1">
      <alignment horizontal="justify" vertical="center"/>
    </xf>
    <xf numFmtId="1" fontId="3" fillId="7" borderId="1" xfId="0" applyNumberFormat="1" applyFont="1" applyFill="1" applyBorder="1" applyAlignment="1" applyProtection="1">
      <alignment horizontal="center" vertical="center" wrapText="1"/>
    </xf>
    <xf numFmtId="0" fontId="3" fillId="7" borderId="1" xfId="0" applyFont="1" applyFill="1" applyBorder="1" applyAlignment="1" applyProtection="1">
      <alignment horizontal="left" vertical="center" wrapText="1"/>
    </xf>
    <xf numFmtId="0" fontId="9" fillId="0" borderId="17" xfId="0" applyFont="1" applyBorder="1" applyProtection="1"/>
    <xf numFmtId="0" fontId="3" fillId="0" borderId="13" xfId="0" applyFont="1" applyBorder="1" applyAlignment="1" applyProtection="1">
      <alignment horizontal="center" vertical="center"/>
    </xf>
    <xf numFmtId="0" fontId="3" fillId="7" borderId="13" xfId="0" applyFont="1" applyFill="1" applyBorder="1" applyAlignment="1" applyProtection="1">
      <alignment horizontal="justify" vertical="center"/>
    </xf>
    <xf numFmtId="3" fontId="3" fillId="0" borderId="13" xfId="0" applyNumberFormat="1" applyFont="1" applyBorder="1" applyAlignment="1" applyProtection="1">
      <alignment horizontal="center" vertical="center"/>
    </xf>
    <xf numFmtId="9" fontId="3" fillId="7" borderId="13" xfId="7" applyFont="1" applyFill="1" applyBorder="1" applyAlignment="1" applyProtection="1">
      <alignment horizontal="center" vertical="center"/>
    </xf>
    <xf numFmtId="0" fontId="3" fillId="0" borderId="13" xfId="0" applyFont="1" applyBorder="1" applyAlignment="1" applyProtection="1">
      <alignment horizontal="justify" vertical="center"/>
    </xf>
    <xf numFmtId="43" fontId="3" fillId="0" borderId="13" xfId="6" applyFont="1" applyFill="1" applyBorder="1" applyAlignment="1" applyProtection="1">
      <alignment horizontal="justify" vertical="center"/>
    </xf>
    <xf numFmtId="0" fontId="6" fillId="9" borderId="2" xfId="0" applyFont="1" applyFill="1" applyBorder="1" applyAlignment="1" applyProtection="1">
      <alignment horizontal="left" vertical="center"/>
    </xf>
    <xf numFmtId="0" fontId="3" fillId="7" borderId="17" xfId="0" applyFont="1" applyFill="1" applyBorder="1" applyProtection="1"/>
    <xf numFmtId="0" fontId="6" fillId="7" borderId="17" xfId="0" applyFont="1" applyFill="1" applyBorder="1" applyAlignment="1" applyProtection="1">
      <alignment vertical="center"/>
    </xf>
    <xf numFmtId="0" fontId="6" fillId="7" borderId="0" xfId="0" applyFont="1" applyFill="1" applyAlignment="1" applyProtection="1">
      <alignment vertical="center"/>
    </xf>
    <xf numFmtId="0" fontId="6" fillId="7" borderId="18" xfId="0" applyFont="1" applyFill="1" applyBorder="1" applyAlignment="1" applyProtection="1">
      <alignment vertical="center"/>
    </xf>
    <xf numFmtId="0" fontId="3" fillId="0" borderId="15" xfId="0" applyFont="1" applyBorder="1" applyAlignment="1" applyProtection="1">
      <alignment horizontal="center" vertical="center" wrapText="1"/>
    </xf>
    <xf numFmtId="1" fontId="3" fillId="0" borderId="1" xfId="0" applyNumberFormat="1" applyFont="1" applyBorder="1" applyAlignment="1" applyProtection="1">
      <alignment horizontal="center" vertical="center" wrapText="1"/>
    </xf>
    <xf numFmtId="1" fontId="3" fillId="0" borderId="13" xfId="0" applyNumberFormat="1" applyFont="1" applyBorder="1" applyAlignment="1" applyProtection="1">
      <alignment horizontal="center" vertical="center"/>
    </xf>
    <xf numFmtId="10" fontId="3" fillId="0" borderId="6" xfId="7" applyNumberFormat="1" applyFont="1" applyBorder="1" applyAlignment="1" applyProtection="1">
      <alignment horizontal="center" vertical="center"/>
    </xf>
    <xf numFmtId="1" fontId="3" fillId="0" borderId="1" xfId="0" applyNumberFormat="1" applyFont="1" applyBorder="1" applyAlignment="1" applyProtection="1">
      <alignment horizontal="center" vertical="center"/>
    </xf>
    <xf numFmtId="0" fontId="3" fillId="0" borderId="13" xfId="0" applyFont="1" applyBorder="1" applyAlignment="1" applyProtection="1">
      <alignment horizontal="justify" vertical="center" wrapText="1"/>
    </xf>
    <xf numFmtId="168" fontId="3" fillId="0" borderId="1" xfId="6" applyNumberFormat="1" applyFont="1" applyFill="1" applyBorder="1" applyAlignment="1" applyProtection="1">
      <alignment vertical="center"/>
    </xf>
    <xf numFmtId="168" fontId="3" fillId="0" borderId="1" xfId="6" applyNumberFormat="1" applyFont="1" applyFill="1" applyBorder="1" applyAlignment="1" applyProtection="1">
      <alignment horizontal="center" vertical="center"/>
    </xf>
    <xf numFmtId="43" fontId="3" fillId="0" borderId="1" xfId="6" applyFont="1" applyFill="1" applyBorder="1" applyAlignment="1" applyProtection="1">
      <alignment horizontal="justify" vertical="center" wrapText="1"/>
    </xf>
    <xf numFmtId="3" fontId="10" fillId="0" borderId="1" xfId="0" applyNumberFormat="1" applyFont="1" applyFill="1" applyBorder="1" applyAlignment="1">
      <alignment horizontal="center" vertical="center" wrapText="1"/>
    </xf>
    <xf numFmtId="43" fontId="3" fillId="0" borderId="13" xfId="6" applyFont="1" applyFill="1" applyBorder="1" applyAlignment="1" applyProtection="1">
      <alignment horizontal="center" vertical="center"/>
    </xf>
    <xf numFmtId="4" fontId="3" fillId="0" borderId="1" xfId="0" applyNumberFormat="1" applyFont="1" applyFill="1" applyBorder="1" applyAlignment="1" applyProtection="1">
      <alignment horizontal="center" vertical="center"/>
    </xf>
    <xf numFmtId="10" fontId="3" fillId="0" borderId="3" xfId="7" applyNumberFormat="1" applyFont="1" applyBorder="1" applyAlignment="1" applyProtection="1">
      <alignment horizontal="center" vertical="center"/>
    </xf>
    <xf numFmtId="0" fontId="6" fillId="9" borderId="4" xfId="0" applyFont="1" applyFill="1" applyBorder="1" applyAlignment="1" applyProtection="1">
      <alignment horizontal="justify" vertical="center"/>
    </xf>
    <xf numFmtId="43" fontId="6" fillId="9" borderId="4" xfId="6" applyFont="1" applyFill="1" applyBorder="1" applyAlignment="1" applyProtection="1">
      <alignment horizontal="justify" vertical="center"/>
    </xf>
    <xf numFmtId="0" fontId="3" fillId="7" borderId="18" xfId="0" applyFont="1" applyFill="1" applyBorder="1" applyAlignment="1" applyProtection="1">
      <alignment horizontal="justify"/>
    </xf>
    <xf numFmtId="0" fontId="3" fillId="0" borderId="13" xfId="0" applyFont="1" applyBorder="1" applyAlignment="1" applyProtection="1">
      <alignment horizontal="center" vertical="center" wrapText="1"/>
    </xf>
    <xf numFmtId="168" fontId="3" fillId="0" borderId="19" xfId="6" applyNumberFormat="1" applyFont="1" applyFill="1" applyBorder="1" applyAlignment="1" applyProtection="1">
      <alignment horizontal="center" vertical="center"/>
    </xf>
    <xf numFmtId="168" fontId="3" fillId="0" borderId="15" xfId="6" applyNumberFormat="1" applyFont="1" applyFill="1" applyBorder="1" applyAlignment="1" applyProtection="1">
      <alignment horizontal="center" vertical="center"/>
    </xf>
    <xf numFmtId="1" fontId="3" fillId="0" borderId="16" xfId="0" applyNumberFormat="1" applyFont="1" applyBorder="1" applyAlignment="1" applyProtection="1">
      <alignment horizontal="center" vertical="center" wrapText="1"/>
    </xf>
    <xf numFmtId="0" fontId="3" fillId="0" borderId="16" xfId="0" applyFont="1" applyBorder="1" applyAlignment="1" applyProtection="1">
      <alignment horizontal="left" vertical="center" wrapText="1"/>
    </xf>
    <xf numFmtId="168" fontId="3" fillId="0" borderId="13" xfId="6" applyNumberFormat="1" applyFont="1" applyFill="1" applyBorder="1" applyAlignment="1" applyProtection="1">
      <alignment horizontal="center" vertical="center" wrapText="1"/>
    </xf>
    <xf numFmtId="3" fontId="3" fillId="0" borderId="3" xfId="0" applyNumberFormat="1" applyFont="1" applyBorder="1" applyAlignment="1" applyProtection="1">
      <alignment horizontal="center" vertical="center"/>
    </xf>
    <xf numFmtId="9" fontId="3" fillId="7" borderId="3" xfId="7" applyFont="1" applyFill="1" applyBorder="1" applyAlignment="1" applyProtection="1">
      <alignment horizontal="center" vertical="center"/>
    </xf>
    <xf numFmtId="0" fontId="3" fillId="7" borderId="13" xfId="0" applyFont="1" applyFill="1" applyBorder="1" applyAlignment="1" applyProtection="1">
      <alignment horizontal="justify" vertical="center" wrapText="1"/>
    </xf>
    <xf numFmtId="0" fontId="6" fillId="9" borderId="7" xfId="0" applyFont="1" applyFill="1" applyBorder="1" applyAlignment="1" applyProtection="1">
      <alignment horizontal="justify" vertical="center" wrapText="1"/>
    </xf>
    <xf numFmtId="0" fontId="3" fillId="7" borderId="17" xfId="0" applyFont="1" applyFill="1" applyBorder="1" applyAlignment="1" applyProtection="1">
      <alignment vertical="center"/>
    </xf>
    <xf numFmtId="0" fontId="3" fillId="7" borderId="0" xfId="0" applyFont="1" applyFill="1" applyAlignment="1" applyProtection="1">
      <alignment vertical="center"/>
    </xf>
    <xf numFmtId="0" fontId="3" fillId="7" borderId="18" xfId="0" applyFont="1" applyFill="1" applyBorder="1" applyAlignment="1" applyProtection="1">
      <alignment vertical="center"/>
    </xf>
    <xf numFmtId="0" fontId="3" fillId="7" borderId="15" xfId="0" applyFont="1" applyFill="1" applyBorder="1" applyAlignment="1" applyProtection="1">
      <alignment horizontal="center" vertical="center"/>
    </xf>
    <xf numFmtId="43" fontId="3" fillId="0" borderId="19" xfId="6" applyFont="1" applyFill="1" applyBorder="1" applyAlignment="1" applyProtection="1">
      <alignment vertical="center" wrapText="1"/>
    </xf>
    <xf numFmtId="0" fontId="3" fillId="7" borderId="19" xfId="0" applyFont="1" applyFill="1" applyBorder="1" applyAlignment="1" applyProtection="1">
      <alignment horizontal="center" vertical="center" wrapText="1"/>
    </xf>
    <xf numFmtId="0" fontId="3" fillId="7" borderId="5" xfId="0" applyFont="1" applyFill="1" applyBorder="1" applyAlignment="1" applyProtection="1">
      <alignment vertical="center"/>
    </xf>
    <xf numFmtId="0" fontId="3" fillId="7" borderId="2" xfId="0" applyFont="1" applyFill="1" applyBorder="1" applyAlignment="1" applyProtection="1">
      <alignment vertical="center"/>
    </xf>
    <xf numFmtId="0" fontId="3" fillId="7" borderId="14" xfId="0" applyFont="1" applyFill="1" applyBorder="1" applyAlignment="1" applyProtection="1">
      <alignment vertical="center"/>
    </xf>
    <xf numFmtId="1" fontId="6" fillId="7" borderId="17" xfId="0" applyNumberFormat="1" applyFont="1" applyFill="1" applyBorder="1" applyAlignment="1" applyProtection="1">
      <alignment vertical="center" wrapText="1"/>
    </xf>
    <xf numFmtId="1" fontId="6" fillId="7" borderId="0" xfId="0" applyNumberFormat="1" applyFont="1" applyFill="1" applyAlignment="1" applyProtection="1">
      <alignment vertical="center" wrapText="1"/>
    </xf>
    <xf numFmtId="1" fontId="6" fillId="7" borderId="18" xfId="0" applyNumberFormat="1" applyFont="1" applyFill="1" applyBorder="1" applyAlignment="1" applyProtection="1">
      <alignment vertical="center" wrapText="1"/>
    </xf>
    <xf numFmtId="0" fontId="6" fillId="8" borderId="7" xfId="0" applyFont="1" applyFill="1" applyBorder="1" applyAlignment="1" applyProtection="1">
      <alignment horizontal="left" vertical="center"/>
    </xf>
    <xf numFmtId="0" fontId="6" fillId="8" borderId="7" xfId="0" applyFont="1" applyFill="1" applyBorder="1" applyAlignment="1" applyProtection="1">
      <alignment horizontal="justify" vertical="center"/>
    </xf>
    <xf numFmtId="0" fontId="6" fillId="8" borderId="7" xfId="0" applyFont="1" applyFill="1" applyBorder="1" applyAlignment="1" applyProtection="1">
      <alignment horizontal="center" vertical="center"/>
    </xf>
    <xf numFmtId="0" fontId="6" fillId="8" borderId="7" xfId="0" applyFont="1" applyFill="1" applyBorder="1" applyAlignment="1" applyProtection="1">
      <alignment horizontal="justify" vertical="center" wrapText="1"/>
    </xf>
    <xf numFmtId="170" fontId="6" fillId="8" borderId="7" xfId="0" applyNumberFormat="1" applyFont="1" applyFill="1" applyBorder="1" applyAlignment="1" applyProtection="1">
      <alignment horizontal="center" vertical="center"/>
    </xf>
    <xf numFmtId="43" fontId="6" fillId="8" borderId="7" xfId="6" applyFont="1" applyFill="1" applyBorder="1" applyAlignment="1" applyProtection="1">
      <alignment vertical="center"/>
    </xf>
    <xf numFmtId="43" fontId="6" fillId="8" borderId="2" xfId="6" applyFont="1" applyFill="1" applyBorder="1" applyAlignment="1" applyProtection="1">
      <alignment horizontal="justify" vertical="center"/>
    </xf>
    <xf numFmtId="43" fontId="6" fillId="8" borderId="2" xfId="6" applyFont="1" applyFill="1" applyBorder="1" applyAlignment="1" applyProtection="1">
      <alignment horizontal="left" vertical="center"/>
    </xf>
    <xf numFmtId="0" fontId="6" fillId="8" borderId="7" xfId="0" applyFont="1" applyFill="1" applyBorder="1" applyAlignment="1" applyProtection="1">
      <alignment vertical="center"/>
    </xf>
    <xf numFmtId="167" fontId="6" fillId="8" borderId="7" xfId="0" applyNumberFormat="1" applyFont="1" applyFill="1" applyBorder="1" applyAlignment="1" applyProtection="1">
      <alignment horizontal="center" vertical="center"/>
    </xf>
    <xf numFmtId="0" fontId="9" fillId="8" borderId="7" xfId="0" applyFont="1" applyFill="1" applyBorder="1" applyProtection="1"/>
    <xf numFmtId="0" fontId="9" fillId="4" borderId="7" xfId="0" applyFont="1" applyFill="1" applyBorder="1" applyProtection="1"/>
    <xf numFmtId="1" fontId="6" fillId="9" borderId="6" xfId="0" applyNumberFormat="1" applyFont="1" applyFill="1" applyBorder="1" applyAlignment="1" applyProtection="1">
      <alignment horizontal="justify" vertical="center"/>
    </xf>
    <xf numFmtId="0" fontId="6" fillId="9" borderId="2" xfId="0" applyFont="1" applyFill="1" applyBorder="1" applyAlignment="1" applyProtection="1">
      <alignment horizontal="justify" vertical="center"/>
    </xf>
    <xf numFmtId="0" fontId="6" fillId="9" borderId="2" xfId="0" applyFont="1" applyFill="1" applyBorder="1" applyAlignment="1" applyProtection="1">
      <alignment horizontal="justify" vertical="center" wrapText="1"/>
    </xf>
    <xf numFmtId="43" fontId="6" fillId="9" borderId="2" xfId="6" applyFont="1" applyFill="1" applyBorder="1" applyAlignment="1" applyProtection="1">
      <alignment vertical="center"/>
    </xf>
    <xf numFmtId="43" fontId="6" fillId="9" borderId="2" xfId="6" applyFont="1" applyFill="1" applyBorder="1" applyAlignment="1" applyProtection="1">
      <alignment horizontal="justify" vertical="center"/>
    </xf>
    <xf numFmtId="0" fontId="9" fillId="9" borderId="2" xfId="0" applyFont="1" applyFill="1" applyBorder="1" applyProtection="1"/>
    <xf numFmtId="0" fontId="3" fillId="7" borderId="4" xfId="0" applyFont="1" applyFill="1" applyBorder="1" applyAlignment="1" applyProtection="1">
      <alignment horizontal="center"/>
    </xf>
    <xf numFmtId="0" fontId="3" fillId="7" borderId="0" xfId="0" applyFont="1" applyFill="1" applyAlignment="1" applyProtection="1">
      <alignment horizontal="center"/>
    </xf>
    <xf numFmtId="0" fontId="3" fillId="7" borderId="18" xfId="0" applyFont="1" applyFill="1" applyBorder="1" applyAlignment="1" applyProtection="1">
      <alignment horizontal="center"/>
    </xf>
    <xf numFmtId="0" fontId="6" fillId="7" borderId="0" xfId="0" applyFont="1" applyFill="1" applyBorder="1" applyAlignment="1" applyProtection="1">
      <alignment horizontal="center" vertical="center"/>
    </xf>
    <xf numFmtId="0" fontId="9" fillId="0" borderId="0" xfId="0" applyFont="1" applyAlignment="1" applyProtection="1">
      <alignment horizontal="center"/>
    </xf>
    <xf numFmtId="169" fontId="3" fillId="0" borderId="1" xfId="0" applyNumberFormat="1" applyFont="1" applyBorder="1" applyAlignment="1" applyProtection="1">
      <alignment horizontal="justify" vertical="center"/>
    </xf>
    <xf numFmtId="0" fontId="3" fillId="7" borderId="13" xfId="0" applyFont="1" applyFill="1" applyBorder="1" applyAlignment="1" applyProtection="1">
      <alignment horizontal="center" vertical="center"/>
    </xf>
    <xf numFmtId="43" fontId="3" fillId="0" borderId="13" xfId="6" applyFont="1" applyFill="1" applyBorder="1" applyAlignment="1" applyProtection="1">
      <alignment horizontal="center" vertical="center" wrapText="1"/>
    </xf>
    <xf numFmtId="43" fontId="3" fillId="0" borderId="1" xfId="6" applyFont="1" applyFill="1" applyBorder="1" applyAlignment="1" applyProtection="1">
      <alignment horizontal="center" vertical="center" wrapText="1"/>
    </xf>
    <xf numFmtId="43" fontId="6" fillId="9" borderId="7" xfId="6" applyFont="1" applyFill="1" applyBorder="1" applyAlignment="1" applyProtection="1">
      <alignment horizontal="left" vertical="center"/>
    </xf>
    <xf numFmtId="9" fontId="3" fillId="7" borderId="5" xfId="7" applyFont="1" applyFill="1" applyBorder="1" applyAlignment="1" applyProtection="1">
      <alignment horizontal="center" vertical="center"/>
    </xf>
    <xf numFmtId="0" fontId="3" fillId="7" borderId="16" xfId="0" applyFont="1" applyFill="1" applyBorder="1" applyAlignment="1" applyProtection="1">
      <alignment horizontal="justify" vertical="center" wrapText="1"/>
    </xf>
    <xf numFmtId="43" fontId="3" fillId="0" borderId="15" xfId="6" applyFont="1" applyFill="1" applyBorder="1" applyAlignment="1" applyProtection="1">
      <alignment horizontal="center" vertical="center" wrapText="1"/>
    </xf>
    <xf numFmtId="1" fontId="3" fillId="0" borderId="13" xfId="0" applyNumberFormat="1" applyFont="1" applyBorder="1" applyAlignment="1" applyProtection="1">
      <alignment horizontal="center" vertical="center" wrapText="1"/>
    </xf>
    <xf numFmtId="0" fontId="3" fillId="7" borderId="15" xfId="0" applyFont="1" applyFill="1" applyBorder="1" applyAlignment="1" applyProtection="1">
      <alignment vertical="center" wrapText="1"/>
    </xf>
    <xf numFmtId="0" fontId="3" fillId="0" borderId="13" xfId="0" applyFont="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3" fillId="7" borderId="16" xfId="0" applyFont="1" applyFill="1" applyBorder="1" applyAlignment="1" applyProtection="1">
      <alignment vertical="center" wrapText="1"/>
    </xf>
    <xf numFmtId="0" fontId="3" fillId="7" borderId="15" xfId="0" applyFont="1" applyFill="1" applyBorder="1" applyAlignment="1" applyProtection="1">
      <alignment horizontal="center" vertical="center" wrapText="1"/>
    </xf>
    <xf numFmtId="0" fontId="3" fillId="7" borderId="15" xfId="0" applyFont="1" applyFill="1" applyBorder="1" applyAlignment="1" applyProtection="1">
      <alignment horizontal="left" vertical="center" wrapText="1"/>
    </xf>
    <xf numFmtId="0" fontId="9" fillId="0" borderId="13" xfId="0" applyFont="1" applyBorder="1" applyProtection="1"/>
    <xf numFmtId="43" fontId="3" fillId="0" borderId="5" xfId="6" applyFont="1" applyFill="1" applyBorder="1" applyAlignment="1" applyProtection="1">
      <alignment horizontal="center" vertical="center"/>
    </xf>
    <xf numFmtId="0" fontId="3" fillId="0" borderId="15" xfId="0" applyFont="1" applyBorder="1" applyAlignment="1" applyProtection="1">
      <alignment horizontal="left" vertical="top" wrapText="1" indent="1"/>
    </xf>
    <xf numFmtId="43" fontId="3" fillId="0" borderId="6" xfId="6" applyFont="1" applyFill="1" applyBorder="1" applyAlignment="1" applyProtection="1">
      <alignment horizontal="center" vertical="center"/>
    </xf>
    <xf numFmtId="0" fontId="3" fillId="0" borderId="8" xfId="0" applyFont="1" applyBorder="1" applyAlignment="1" applyProtection="1">
      <alignment horizontal="justify" vertical="center" wrapText="1"/>
    </xf>
    <xf numFmtId="0" fontId="3" fillId="0" borderId="16" xfId="0" applyFont="1" applyBorder="1" applyAlignment="1" applyProtection="1">
      <alignment vertical="center" wrapText="1"/>
    </xf>
    <xf numFmtId="0" fontId="6" fillId="8" borderId="0" xfId="0" applyFont="1" applyFill="1" applyAlignment="1" applyProtection="1">
      <alignment vertical="center"/>
    </xf>
    <xf numFmtId="0" fontId="6" fillId="8" borderId="0" xfId="0" applyFont="1" applyFill="1" applyAlignment="1" applyProtection="1">
      <alignment horizontal="center" vertical="center"/>
    </xf>
    <xf numFmtId="0" fontId="6" fillId="8" borderId="0" xfId="0" applyFont="1" applyFill="1" applyAlignment="1" applyProtection="1">
      <alignment horizontal="justify" vertical="center" wrapText="1"/>
    </xf>
    <xf numFmtId="170" fontId="6" fillId="8" borderId="0" xfId="0" applyNumberFormat="1" applyFont="1" applyFill="1" applyAlignment="1" applyProtection="1">
      <alignment horizontal="center" vertical="center"/>
    </xf>
    <xf numFmtId="43" fontId="6" fillId="8" borderId="0" xfId="6" applyFont="1" applyFill="1" applyAlignment="1" applyProtection="1">
      <alignment vertical="center"/>
    </xf>
    <xf numFmtId="1" fontId="6" fillId="8" borderId="0" xfId="0" applyNumberFormat="1" applyFont="1" applyFill="1" applyAlignment="1" applyProtection="1">
      <alignment horizontal="center" vertical="center"/>
    </xf>
    <xf numFmtId="1" fontId="6" fillId="8" borderId="0" xfId="0" applyNumberFormat="1" applyFont="1" applyFill="1" applyAlignment="1" applyProtection="1">
      <alignment vertical="center"/>
    </xf>
    <xf numFmtId="1" fontId="9" fillId="8" borderId="0" xfId="0" applyNumberFormat="1" applyFont="1" applyFill="1" applyProtection="1"/>
    <xf numFmtId="0" fontId="9" fillId="4" borderId="0" xfId="0" applyFont="1" applyFill="1" applyProtection="1"/>
    <xf numFmtId="0" fontId="6" fillId="7" borderId="3" xfId="0" applyFont="1" applyFill="1" applyBorder="1" applyAlignment="1" applyProtection="1">
      <alignment vertical="center" wrapText="1"/>
    </xf>
    <xf numFmtId="0" fontId="6" fillId="7" borderId="4" xfId="0" applyFont="1" applyFill="1" applyBorder="1" applyAlignment="1" applyProtection="1">
      <alignment vertical="center" wrapText="1"/>
    </xf>
    <xf numFmtId="0" fontId="6" fillId="7" borderId="9" xfId="0" applyFont="1" applyFill="1" applyBorder="1" applyAlignment="1" applyProtection="1">
      <alignment vertical="center" wrapText="1"/>
    </xf>
    <xf numFmtId="0" fontId="6" fillId="7" borderId="17" xfId="0" applyFont="1" applyFill="1" applyBorder="1" applyAlignment="1" applyProtection="1">
      <alignment vertical="center" wrapText="1"/>
    </xf>
    <xf numFmtId="0" fontId="6" fillId="7" borderId="0" xfId="0" applyFont="1" applyFill="1" applyAlignment="1" applyProtection="1">
      <alignment vertical="center" wrapText="1"/>
    </xf>
    <xf numFmtId="0" fontId="6" fillId="7" borderId="18" xfId="0" applyFont="1" applyFill="1" applyBorder="1" applyAlignment="1" applyProtection="1">
      <alignment vertical="center" wrapText="1"/>
    </xf>
    <xf numFmtId="0" fontId="3" fillId="7" borderId="16" xfId="0" applyFont="1" applyFill="1" applyBorder="1" applyAlignment="1" applyProtection="1">
      <alignment horizontal="center" vertical="center"/>
    </xf>
    <xf numFmtId="1" fontId="6" fillId="7" borderId="17" xfId="0" applyNumberFormat="1" applyFont="1" applyFill="1" applyBorder="1" applyAlignment="1" applyProtection="1">
      <alignment vertical="center"/>
    </xf>
    <xf numFmtId="1" fontId="6" fillId="7" borderId="0" xfId="0" applyNumberFormat="1" applyFont="1" applyFill="1" applyAlignment="1" applyProtection="1">
      <alignment vertical="center"/>
    </xf>
    <xf numFmtId="1" fontId="6" fillId="7" borderId="18" xfId="0" applyNumberFormat="1" applyFont="1" applyFill="1" applyBorder="1" applyAlignment="1" applyProtection="1">
      <alignment vertical="center"/>
    </xf>
    <xf numFmtId="1" fontId="3" fillId="7" borderId="8" xfId="0" applyNumberFormat="1" applyFont="1" applyFill="1" applyBorder="1" applyAlignment="1" applyProtection="1">
      <alignment horizontal="center" vertical="center" wrapText="1"/>
    </xf>
    <xf numFmtId="1" fontId="3" fillId="7" borderId="9" xfId="0" applyNumberFormat="1" applyFont="1" applyFill="1" applyBorder="1" applyAlignment="1" applyProtection="1">
      <alignment horizontal="center" vertical="center" wrapText="1"/>
    </xf>
    <xf numFmtId="0" fontId="3" fillId="7" borderId="13" xfId="0" applyFont="1" applyFill="1" applyBorder="1" applyAlignment="1" applyProtection="1">
      <alignment horizontal="left" vertical="center" wrapText="1"/>
    </xf>
    <xf numFmtId="0" fontId="9" fillId="0" borderId="23" xfId="0" applyFont="1" applyBorder="1" applyAlignment="1" applyProtection="1">
      <alignment horizontal="center" vertical="center"/>
    </xf>
    <xf numFmtId="0" fontId="3" fillId="7" borderId="15" xfId="0" applyFont="1" applyFill="1" applyBorder="1" applyAlignment="1" applyProtection="1">
      <alignment horizontal="justify" vertical="center"/>
    </xf>
    <xf numFmtId="9" fontId="3" fillId="0" borderId="15" xfId="5" applyFont="1" applyBorder="1" applyAlignment="1" applyProtection="1">
      <alignment horizontal="center" vertical="center"/>
    </xf>
    <xf numFmtId="43" fontId="3" fillId="7" borderId="15" xfId="6" applyFont="1" applyFill="1" applyBorder="1" applyAlignment="1" applyProtection="1">
      <alignment horizontal="center" vertical="center"/>
    </xf>
    <xf numFmtId="43" fontId="3" fillId="0" borderId="15" xfId="6" applyFont="1" applyFill="1" applyBorder="1" applyAlignment="1" applyProtection="1">
      <alignment horizontal="center" vertical="center"/>
    </xf>
    <xf numFmtId="1" fontId="3" fillId="7" borderId="15" xfId="0" applyNumberFormat="1" applyFont="1" applyFill="1" applyBorder="1" applyAlignment="1" applyProtection="1">
      <alignment horizontal="center" vertical="center" wrapText="1"/>
    </xf>
    <xf numFmtId="1" fontId="3" fillId="7" borderId="15" xfId="0" applyNumberFormat="1" applyFont="1" applyFill="1" applyBorder="1" applyAlignment="1" applyProtection="1">
      <alignment horizontal="center" vertical="center"/>
    </xf>
    <xf numFmtId="1" fontId="3" fillId="7" borderId="17" xfId="0" applyNumberFormat="1" applyFont="1" applyFill="1" applyBorder="1" applyAlignment="1" applyProtection="1">
      <alignment horizontal="center" vertical="center"/>
    </xf>
    <xf numFmtId="1" fontId="9" fillId="0" borderId="15" xfId="0" applyNumberFormat="1" applyFont="1" applyBorder="1" applyAlignment="1" applyProtection="1">
      <alignment horizontal="center" vertical="center"/>
    </xf>
    <xf numFmtId="0" fontId="9" fillId="0" borderId="15" xfId="0" applyFont="1" applyBorder="1" applyAlignment="1" applyProtection="1">
      <alignment horizontal="center" vertical="center"/>
    </xf>
    <xf numFmtId="43" fontId="9" fillId="0" borderId="15" xfId="0" applyNumberFormat="1" applyFont="1" applyBorder="1" applyAlignment="1" applyProtection="1">
      <alignment horizontal="center" vertical="center"/>
    </xf>
    <xf numFmtId="10" fontId="9" fillId="0" borderId="15" xfId="0" applyNumberFormat="1" applyFont="1" applyBorder="1" applyAlignment="1" applyProtection="1">
      <alignment horizontal="center" vertical="center"/>
    </xf>
    <xf numFmtId="0" fontId="9" fillId="0" borderId="15" xfId="0" applyFont="1" applyBorder="1" applyAlignment="1" applyProtection="1">
      <alignment horizontal="center" vertical="center" wrapText="1"/>
    </xf>
    <xf numFmtId="14" fontId="9" fillId="0" borderId="15" xfId="0" applyNumberFormat="1" applyFont="1" applyFill="1" applyBorder="1" applyAlignment="1" applyProtection="1">
      <alignment vertical="center"/>
    </xf>
    <xf numFmtId="0" fontId="9" fillId="0" borderId="15" xfId="0" applyFont="1" applyFill="1" applyBorder="1" applyAlignment="1" applyProtection="1">
      <alignment horizontal="center" vertical="center" wrapText="1"/>
    </xf>
    <xf numFmtId="170" fontId="6" fillId="9" borderId="7" xfId="0" applyNumberFormat="1" applyFont="1" applyFill="1" applyBorder="1" applyAlignment="1" applyProtection="1">
      <alignment horizontal="center" vertical="center"/>
    </xf>
    <xf numFmtId="167" fontId="6" fillId="9" borderId="7" xfId="0" applyNumberFormat="1" applyFont="1" applyFill="1" applyBorder="1" applyAlignment="1" applyProtection="1">
      <alignment horizontal="center" vertical="center"/>
    </xf>
    <xf numFmtId="0" fontId="6" fillId="8" borderId="4" xfId="0" applyFont="1" applyFill="1" applyBorder="1" applyAlignment="1" applyProtection="1">
      <alignment horizontal="justify" vertical="center" wrapText="1"/>
    </xf>
    <xf numFmtId="43" fontId="6" fillId="8" borderId="4" xfId="6" applyFont="1" applyFill="1" applyBorder="1" applyAlignment="1" applyProtection="1">
      <alignment horizontal="justify" vertical="center"/>
    </xf>
    <xf numFmtId="0" fontId="6" fillId="9" borderId="7" xfId="0" applyFont="1" applyFill="1" applyBorder="1" applyAlignment="1" applyProtection="1">
      <alignment vertical="center" wrapText="1"/>
    </xf>
    <xf numFmtId="0" fontId="6" fillId="9" borderId="7" xfId="0" applyFont="1" applyFill="1" applyBorder="1" applyAlignment="1" applyProtection="1">
      <alignment horizontal="center" vertical="center" wrapText="1"/>
    </xf>
    <xf numFmtId="0" fontId="3" fillId="0" borderId="16" xfId="0" applyFont="1" applyFill="1" applyBorder="1" applyAlignment="1" applyProtection="1">
      <alignment horizontal="justify" vertical="center"/>
    </xf>
    <xf numFmtId="0" fontId="6" fillId="7" borderId="1" xfId="0" applyFont="1" applyFill="1" applyBorder="1" applyAlignment="1" applyProtection="1">
      <alignment horizontal="justify" vertical="center"/>
    </xf>
    <xf numFmtId="0" fontId="6" fillId="7" borderId="1" xfId="0" applyFont="1" applyFill="1" applyBorder="1" applyAlignment="1" applyProtection="1">
      <alignment horizontal="center" vertical="center"/>
    </xf>
    <xf numFmtId="43" fontId="6" fillId="7" borderId="1" xfId="6" applyFont="1" applyFill="1" applyBorder="1" applyAlignment="1" applyProtection="1">
      <alignment horizontal="center" vertical="center"/>
    </xf>
    <xf numFmtId="0" fontId="6" fillId="7" borderId="1" xfId="0" applyFont="1" applyFill="1" applyBorder="1" applyAlignment="1" applyProtection="1">
      <alignment horizontal="center" vertical="center" wrapText="1"/>
    </xf>
    <xf numFmtId="9" fontId="6" fillId="7" borderId="1" xfId="7" applyFont="1" applyFill="1" applyBorder="1" applyAlignment="1" applyProtection="1">
      <alignment horizontal="center" vertical="center"/>
    </xf>
    <xf numFmtId="43" fontId="6" fillId="0" borderId="1" xfId="6" applyFont="1" applyFill="1" applyBorder="1" applyAlignment="1" applyProtection="1">
      <alignment horizontal="center" vertical="center"/>
    </xf>
    <xf numFmtId="0" fontId="6" fillId="0" borderId="1" xfId="0" applyFont="1" applyFill="1" applyBorder="1" applyAlignment="1" applyProtection="1">
      <alignment horizontal="justify" vertical="center"/>
    </xf>
    <xf numFmtId="169" fontId="6" fillId="7" borderId="1" xfId="0" applyNumberFormat="1" applyFont="1" applyFill="1" applyBorder="1" applyAlignment="1" applyProtection="1">
      <alignment horizontal="center" vertical="center"/>
    </xf>
    <xf numFmtId="169" fontId="6" fillId="7" borderId="1" xfId="0" applyNumberFormat="1" applyFont="1" applyFill="1" applyBorder="1" applyAlignment="1" applyProtection="1">
      <alignment horizontal="left" vertical="center"/>
    </xf>
    <xf numFmtId="43" fontId="6" fillId="0" borderId="1" xfId="1" applyFont="1" applyFill="1" applyBorder="1" applyAlignment="1" applyProtection="1">
      <alignment horizontal="center" vertical="center"/>
    </xf>
    <xf numFmtId="14" fontId="8" fillId="0" borderId="1" xfId="0" applyNumberFormat="1" applyFont="1" applyFill="1" applyBorder="1" applyAlignment="1" applyProtection="1">
      <alignment vertical="center"/>
    </xf>
    <xf numFmtId="0" fontId="8" fillId="0" borderId="1" xfId="0" applyFont="1" applyFill="1" applyBorder="1" applyAlignment="1" applyProtection="1">
      <alignment horizontal="justify" vertical="center" wrapText="1"/>
    </xf>
    <xf numFmtId="0" fontId="8" fillId="0" borderId="0" xfId="0" applyFont="1" applyProtection="1"/>
    <xf numFmtId="1" fontId="3" fillId="0" borderId="0" xfId="0" applyNumberFormat="1" applyFont="1" applyProtection="1"/>
    <xf numFmtId="0" fontId="3" fillId="0" borderId="0" xfId="0" applyFont="1" applyAlignment="1" applyProtection="1">
      <alignment horizontal="justify" vertical="center"/>
    </xf>
    <xf numFmtId="0" fontId="3" fillId="0" borderId="0" xfId="0" applyFont="1" applyAlignment="1" applyProtection="1">
      <alignment horizontal="justify"/>
    </xf>
    <xf numFmtId="0" fontId="3" fillId="0" borderId="0" xfId="0" applyFont="1" applyAlignment="1" applyProtection="1">
      <alignment horizontal="center"/>
    </xf>
    <xf numFmtId="170" fontId="3" fillId="0" borderId="0" xfId="0" applyNumberFormat="1" applyFont="1" applyAlignment="1" applyProtection="1">
      <alignment horizontal="center" vertical="center"/>
    </xf>
    <xf numFmtId="169" fontId="3" fillId="0" borderId="0" xfId="8" applyNumberFormat="1" applyFont="1" applyAlignment="1" applyProtection="1">
      <alignment horizontal="center" vertical="center"/>
    </xf>
    <xf numFmtId="169" fontId="3" fillId="0" borderId="0" xfId="0" applyNumberFormat="1" applyFont="1" applyAlignment="1" applyProtection="1">
      <alignment horizontal="center" vertical="center"/>
    </xf>
    <xf numFmtId="0" fontId="3" fillId="0" borderId="0" xfId="0" applyFont="1" applyAlignment="1" applyProtection="1">
      <alignment horizontal="left"/>
    </xf>
    <xf numFmtId="0" fontId="9" fillId="0" borderId="0" xfId="0" applyFont="1" applyAlignment="1" applyProtection="1">
      <alignment horizontal="justify"/>
    </xf>
    <xf numFmtId="3" fontId="3" fillId="0" borderId="0" xfId="0" applyNumberFormat="1" applyFont="1" applyAlignment="1" applyProtection="1">
      <alignment horizontal="right" vertical="center"/>
    </xf>
    <xf numFmtId="4" fontId="3" fillId="0" borderId="0" xfId="0" applyNumberFormat="1" applyFont="1" applyAlignment="1" applyProtection="1">
      <alignment horizontal="justify" vertical="center"/>
    </xf>
    <xf numFmtId="3" fontId="9" fillId="0" borderId="0" xfId="0" applyNumberFormat="1" applyFont="1" applyProtection="1"/>
    <xf numFmtId="43" fontId="3" fillId="0" borderId="0" xfId="0" applyNumberFormat="1" applyFont="1" applyAlignment="1" applyProtection="1">
      <alignment horizontal="justify" vertical="center"/>
    </xf>
    <xf numFmtId="42" fontId="3" fillId="0" borderId="0" xfId="8" applyFont="1" applyAlignment="1" applyProtection="1">
      <alignment horizontal="justify"/>
    </xf>
    <xf numFmtId="169" fontId="3" fillId="0" borderId="0" xfId="0" applyNumberFormat="1" applyFont="1" applyAlignment="1" applyProtection="1">
      <alignment horizontal="justify"/>
    </xf>
    <xf numFmtId="0" fontId="3" fillId="0" borderId="0" xfId="0" applyFont="1" applyAlignment="1" applyProtection="1">
      <alignment horizontal="center" wrapText="1"/>
    </xf>
    <xf numFmtId="0" fontId="10" fillId="0" borderId="38" xfId="0" applyFont="1" applyFill="1" applyBorder="1" applyAlignment="1">
      <alignment horizontal="center" vertical="center" wrapText="1"/>
    </xf>
    <xf numFmtId="0" fontId="6" fillId="0" borderId="5" xfId="0" applyFont="1" applyBorder="1" applyAlignment="1">
      <alignment horizontal="justify" vertical="center"/>
    </xf>
    <xf numFmtId="0" fontId="6" fillId="0" borderId="2" xfId="0" applyFont="1" applyBorder="1" applyAlignment="1">
      <alignment horizontal="justify" vertical="center"/>
    </xf>
    <xf numFmtId="10" fontId="6" fillId="0" borderId="2" xfId="9" applyNumberFormat="1" applyFont="1" applyBorder="1" applyAlignment="1">
      <alignment horizontal="center" vertical="center"/>
    </xf>
    <xf numFmtId="0" fontId="6" fillId="0" borderId="2" xfId="0" applyFont="1" applyBorder="1" applyAlignment="1">
      <alignment vertical="center"/>
    </xf>
    <xf numFmtId="9" fontId="6" fillId="0" borderId="2" xfId="3" applyFont="1" applyBorder="1" applyAlignment="1">
      <alignment horizontal="center" vertical="center"/>
    </xf>
    <xf numFmtId="0" fontId="6" fillId="0" borderId="14" xfId="0" applyFont="1" applyBorder="1" applyAlignment="1">
      <alignment vertical="center"/>
    </xf>
    <xf numFmtId="1" fontId="6" fillId="12" borderId="13"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 xfId="0" applyFont="1" applyFill="1" applyBorder="1" applyAlignment="1">
      <alignment vertical="center" wrapText="1"/>
    </xf>
    <xf numFmtId="1" fontId="6" fillId="13" borderId="6" xfId="0" applyNumberFormat="1" applyFont="1" applyFill="1" applyBorder="1" applyAlignment="1">
      <alignment horizontal="left" vertical="center" wrapText="1"/>
    </xf>
    <xf numFmtId="0" fontId="6" fillId="13" borderId="7" xfId="0" applyFont="1" applyFill="1" applyBorder="1" applyAlignment="1">
      <alignment vertical="center"/>
    </xf>
    <xf numFmtId="0" fontId="6" fillId="13" borderId="7" xfId="0" applyFont="1" applyFill="1" applyBorder="1" applyAlignment="1">
      <alignment horizontal="justify" vertical="center"/>
    </xf>
    <xf numFmtId="0" fontId="6" fillId="13" borderId="7" xfId="0" applyFont="1" applyFill="1" applyBorder="1" applyAlignment="1">
      <alignment horizontal="center" vertical="center"/>
    </xf>
    <xf numFmtId="10" fontId="6" fillId="13" borderId="7" xfId="9" applyNumberFormat="1" applyFont="1" applyFill="1" applyBorder="1" applyAlignment="1">
      <alignment horizontal="center" vertical="center"/>
    </xf>
    <xf numFmtId="43" fontId="6" fillId="13" borderId="7" xfId="10" applyFont="1" applyFill="1" applyBorder="1" applyAlignment="1">
      <alignment horizontal="justify" vertical="center"/>
    </xf>
    <xf numFmtId="1" fontId="6" fillId="13" borderId="7" xfId="0" applyNumberFormat="1" applyFont="1" applyFill="1" applyBorder="1" applyAlignment="1">
      <alignment horizontal="center" vertical="center"/>
    </xf>
    <xf numFmtId="9" fontId="6" fillId="13" borderId="7" xfId="3" applyFont="1" applyFill="1" applyBorder="1" applyAlignment="1">
      <alignment horizontal="center" vertical="center"/>
    </xf>
    <xf numFmtId="0" fontId="6" fillId="13" borderId="8" xfId="0" applyFont="1" applyFill="1" applyBorder="1" applyAlignment="1">
      <alignment horizontal="justify" vertical="center"/>
    </xf>
    <xf numFmtId="1" fontId="6" fillId="2" borderId="3" xfId="0" applyNumberFormat="1" applyFont="1" applyFill="1" applyBorder="1" applyAlignment="1">
      <alignment vertical="center" wrapText="1"/>
    </xf>
    <xf numFmtId="1" fontId="6" fillId="2" borderId="4" xfId="0" applyNumberFormat="1" applyFont="1" applyFill="1" applyBorder="1" applyAlignment="1">
      <alignment vertical="center" wrapText="1"/>
    </xf>
    <xf numFmtId="1" fontId="6" fillId="2" borderId="9" xfId="0" applyNumberFormat="1" applyFont="1" applyFill="1" applyBorder="1" applyAlignment="1">
      <alignment vertical="center" wrapText="1"/>
    </xf>
    <xf numFmtId="1" fontId="6" fillId="12" borderId="5" xfId="0" applyNumberFormat="1" applyFont="1" applyFill="1" applyBorder="1" applyAlignment="1">
      <alignment horizontal="center" vertical="center"/>
    </xf>
    <xf numFmtId="0" fontId="6" fillId="12" borderId="2" xfId="0" applyFont="1" applyFill="1" applyBorder="1" applyAlignment="1">
      <alignment vertical="center"/>
    </xf>
    <xf numFmtId="0" fontId="6" fillId="12" borderId="2" xfId="0" applyFont="1" applyFill="1" applyBorder="1" applyAlignment="1">
      <alignment horizontal="justify" vertical="center"/>
    </xf>
    <xf numFmtId="0" fontId="5" fillId="3" borderId="17" xfId="0" applyFont="1" applyFill="1" applyBorder="1" applyAlignment="1">
      <alignment vertical="center" wrapText="1"/>
    </xf>
    <xf numFmtId="0" fontId="5" fillId="3" borderId="18" xfId="0" applyFont="1" applyFill="1" applyBorder="1" applyAlignment="1">
      <alignment vertical="center" wrapText="1"/>
    </xf>
    <xf numFmtId="10" fontId="6" fillId="12" borderId="2" xfId="9" applyNumberFormat="1" applyFont="1" applyFill="1" applyBorder="1" applyAlignment="1">
      <alignment horizontal="center" vertical="center"/>
    </xf>
    <xf numFmtId="43" fontId="6" fillId="12" borderId="2" xfId="10" applyFont="1" applyFill="1" applyBorder="1" applyAlignment="1">
      <alignment horizontal="justify" vertical="center"/>
    </xf>
    <xf numFmtId="1" fontId="6" fillId="12" borderId="2" xfId="0" applyNumberFormat="1" applyFont="1" applyFill="1" applyBorder="1" applyAlignment="1">
      <alignment horizontal="center" vertical="center"/>
    </xf>
    <xf numFmtId="0" fontId="6" fillId="12" borderId="2" xfId="0" applyFont="1" applyFill="1" applyBorder="1" applyAlignment="1">
      <alignment horizontal="center" vertical="center"/>
    </xf>
    <xf numFmtId="0" fontId="5" fillId="3" borderId="1" xfId="0" applyFont="1" applyFill="1" applyBorder="1" applyAlignment="1">
      <alignment horizontal="center" vertical="center" wrapText="1"/>
    </xf>
    <xf numFmtId="166" fontId="5" fillId="3" borderId="1" xfId="0" applyNumberFormat="1" applyFont="1" applyFill="1" applyBorder="1" applyAlignment="1">
      <alignment horizontal="center" vertical="center" wrapText="1"/>
    </xf>
    <xf numFmtId="9" fontId="5" fillId="3" borderId="1" xfId="3" applyFont="1" applyFill="1" applyBorder="1" applyAlignment="1">
      <alignment horizontal="center" vertical="center" wrapText="1"/>
    </xf>
    <xf numFmtId="166" fontId="5" fillId="3" borderId="1" xfId="0" applyNumberFormat="1" applyFont="1" applyFill="1" applyBorder="1" applyAlignment="1">
      <alignment vertical="center" wrapText="1"/>
    </xf>
    <xf numFmtId="0" fontId="6" fillId="12" borderId="14" xfId="0" applyFont="1" applyFill="1" applyBorder="1" applyAlignment="1">
      <alignment horizontal="justify" vertical="center"/>
    </xf>
    <xf numFmtId="1" fontId="6" fillId="2" borderId="17" xfId="0" applyNumberFormat="1" applyFont="1" applyFill="1" applyBorder="1" applyAlignment="1">
      <alignment vertical="center" wrapText="1"/>
    </xf>
    <xf numFmtId="1" fontId="6" fillId="2" borderId="0" xfId="0" applyNumberFormat="1" applyFont="1" applyFill="1" applyAlignment="1">
      <alignment vertical="center" wrapText="1"/>
    </xf>
    <xf numFmtId="1" fontId="6" fillId="2" borderId="18" xfId="0" applyNumberFormat="1"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9" xfId="0" applyFont="1" applyFill="1" applyBorder="1" applyAlignment="1">
      <alignment vertical="center" wrapText="1"/>
    </xf>
    <xf numFmtId="1" fontId="6" fillId="14" borderId="6" xfId="0" applyNumberFormat="1" applyFont="1" applyFill="1" applyBorder="1" applyAlignment="1">
      <alignment horizontal="left" vertical="center" wrapText="1" indent="1"/>
    </xf>
    <xf numFmtId="0" fontId="6" fillId="14" borderId="7" xfId="0" applyFont="1" applyFill="1" applyBorder="1" applyAlignment="1">
      <alignment vertical="center"/>
    </xf>
    <xf numFmtId="0" fontId="6" fillId="14" borderId="7" xfId="0" applyFont="1" applyFill="1" applyBorder="1" applyAlignment="1">
      <alignment horizontal="justify" vertical="center"/>
    </xf>
    <xf numFmtId="10" fontId="6" fillId="14" borderId="7" xfId="9" applyNumberFormat="1" applyFont="1" applyFill="1" applyBorder="1" applyAlignment="1">
      <alignment horizontal="center" vertical="center"/>
    </xf>
    <xf numFmtId="43" fontId="6" fillId="14" borderId="7" xfId="10" applyFont="1" applyFill="1" applyBorder="1" applyAlignment="1">
      <alignment horizontal="justify" vertical="center"/>
    </xf>
    <xf numFmtId="1" fontId="6" fillId="14" borderId="4" xfId="0" applyNumberFormat="1" applyFont="1" applyFill="1" applyBorder="1" applyAlignment="1">
      <alignment horizontal="center" vertical="center"/>
    </xf>
    <xf numFmtId="0" fontId="6" fillId="14" borderId="4" xfId="0" applyFont="1" applyFill="1" applyBorder="1" applyAlignment="1">
      <alignment horizontal="center" vertical="center"/>
    </xf>
    <xf numFmtId="9" fontId="6" fillId="14" borderId="4" xfId="3" applyFont="1" applyFill="1" applyBorder="1" applyAlignment="1">
      <alignment horizontal="center" vertical="center"/>
    </xf>
    <xf numFmtId="1" fontId="6" fillId="0" borderId="17" xfId="0" applyNumberFormat="1" applyFont="1" applyBorder="1" applyAlignment="1">
      <alignment vertical="center" wrapText="1"/>
    </xf>
    <xf numFmtId="1" fontId="6" fillId="0" borderId="0" xfId="0" applyNumberFormat="1" applyFont="1" applyAlignment="1">
      <alignment vertical="center" wrapText="1"/>
    </xf>
    <xf numFmtId="1" fontId="6" fillId="0" borderId="18" xfId="0" applyNumberFormat="1" applyFont="1" applyBorder="1" applyAlignment="1">
      <alignment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18"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0" fontId="3" fillId="0" borderId="13" xfId="0" applyFont="1" applyBorder="1" applyAlignment="1">
      <alignment horizontal="center" vertical="center" wrapText="1"/>
    </xf>
    <xf numFmtId="0" fontId="3" fillId="0" borderId="13" xfId="0" applyFont="1" applyBorder="1" applyAlignment="1">
      <alignment horizontal="justify" vertical="center" wrapText="1"/>
    </xf>
    <xf numFmtId="0" fontId="3" fillId="7" borderId="13" xfId="0" applyFont="1" applyFill="1" applyBorder="1" applyAlignment="1">
      <alignment horizontal="center" vertical="center" wrapText="1"/>
    </xf>
    <xf numFmtId="9" fontId="3" fillId="0" borderId="13" xfId="9" applyFont="1" applyBorder="1" applyAlignment="1">
      <alignment horizontal="center" vertical="center" wrapText="1"/>
    </xf>
    <xf numFmtId="43" fontId="3" fillId="0" borderId="13" xfId="10" applyFont="1" applyBorder="1" applyAlignment="1">
      <alignment horizontal="center" vertical="center" wrapText="1"/>
    </xf>
    <xf numFmtId="3" fontId="3" fillId="0" borderId="13" xfId="0" applyNumberFormat="1" applyFont="1" applyBorder="1" applyAlignment="1">
      <alignment horizontal="justify" vertical="center" wrapText="1"/>
    </xf>
    <xf numFmtId="0" fontId="3" fillId="0" borderId="1" xfId="0" applyFont="1" applyBorder="1" applyAlignment="1">
      <alignment horizontal="justify" vertical="center" wrapText="1"/>
    </xf>
    <xf numFmtId="43" fontId="3" fillId="0" borderId="1" xfId="10" applyFont="1" applyFill="1" applyBorder="1" applyAlignment="1">
      <alignment horizontal="center" vertical="center" wrapText="1"/>
    </xf>
    <xf numFmtId="1"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3" fontId="3" fillId="0" borderId="13" xfId="0" applyNumberFormat="1" applyFont="1" applyBorder="1" applyAlignment="1">
      <alignment horizontal="center" vertical="center"/>
    </xf>
    <xf numFmtId="166" fontId="3" fillId="0" borderId="13" xfId="0" applyNumberFormat="1" applyFont="1" applyBorder="1" applyAlignment="1">
      <alignment horizontal="center" vertical="center" wrapText="1"/>
    </xf>
    <xf numFmtId="3" fontId="12" fillId="0" borderId="13" xfId="0" applyNumberFormat="1" applyFont="1" applyBorder="1" applyAlignment="1">
      <alignment horizontal="center" vertical="center" wrapText="1"/>
    </xf>
    <xf numFmtId="0" fontId="3" fillId="0" borderId="0" xfId="0" applyFont="1" applyAlignment="1">
      <alignment horizontal="justify" vertical="center" wrapText="1"/>
    </xf>
    <xf numFmtId="0" fontId="3" fillId="0" borderId="17" xfId="0" applyFont="1" applyBorder="1" applyAlignment="1">
      <alignment vertical="center" wrapText="1"/>
    </xf>
    <xf numFmtId="0" fontId="3" fillId="0" borderId="0" xfId="0" applyFont="1" applyAlignment="1">
      <alignment vertical="center" wrapText="1"/>
    </xf>
    <xf numFmtId="0" fontId="3" fillId="0" borderId="18" xfId="0" applyFont="1" applyBorder="1" applyAlignment="1">
      <alignment vertical="center" wrapText="1"/>
    </xf>
    <xf numFmtId="43" fontId="3" fillId="0" borderId="16" xfId="10" applyFont="1" applyFill="1" applyBorder="1" applyAlignment="1">
      <alignment horizontal="center" vertical="center" wrapText="1"/>
    </xf>
    <xf numFmtId="1" fontId="3" fillId="0" borderId="16"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6" fillId="2" borderId="17" xfId="0" applyFont="1" applyFill="1" applyBorder="1" applyAlignment="1">
      <alignment vertical="center" wrapText="1"/>
    </xf>
    <xf numFmtId="0" fontId="6" fillId="2" borderId="0" xfId="0" applyFont="1" applyFill="1" applyAlignment="1">
      <alignment vertical="center" wrapText="1"/>
    </xf>
    <xf numFmtId="0" fontId="6" fillId="2" borderId="18" xfId="0" applyFont="1" applyFill="1" applyBorder="1" applyAlignment="1">
      <alignment vertical="center" wrapText="1"/>
    </xf>
    <xf numFmtId="0" fontId="3" fillId="2" borderId="17" xfId="0" applyFont="1" applyFill="1" applyBorder="1" applyAlignment="1">
      <alignment vertical="center" wrapText="1"/>
    </xf>
    <xf numFmtId="0" fontId="3" fillId="2" borderId="0" xfId="0" applyFont="1" applyFill="1" applyAlignment="1">
      <alignment vertical="center" wrapText="1"/>
    </xf>
    <xf numFmtId="0" fontId="3" fillId="2" borderId="18" xfId="0" applyFont="1" applyFill="1" applyBorder="1" applyAlignment="1">
      <alignment vertical="center" wrapText="1"/>
    </xf>
    <xf numFmtId="10" fontId="3" fillId="0" borderId="1" xfId="9" applyNumberFormat="1" applyFont="1" applyBorder="1" applyAlignment="1">
      <alignment horizontal="center" vertical="center" wrapText="1"/>
    </xf>
    <xf numFmtId="43" fontId="3" fillId="0" borderId="1" xfId="10" applyFont="1" applyBorder="1" applyAlignment="1">
      <alignment horizontal="center" vertical="center" wrapText="1"/>
    </xf>
    <xf numFmtId="166" fontId="3" fillId="0" borderId="1" xfId="0" applyNumberFormat="1" applyFont="1" applyBorder="1" applyAlignment="1">
      <alignment horizontal="center" vertical="center" wrapText="1"/>
    </xf>
    <xf numFmtId="166" fontId="3" fillId="0" borderId="6" xfId="0" applyNumberFormat="1" applyFont="1" applyBorder="1" applyAlignment="1">
      <alignment horizontal="center" vertical="center" wrapText="1"/>
    </xf>
    <xf numFmtId="3" fontId="3" fillId="0" borderId="39"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2" borderId="13" xfId="0" applyFont="1" applyFill="1" applyBorder="1" applyAlignment="1">
      <alignment vertical="center" wrapText="1"/>
    </xf>
    <xf numFmtId="10" fontId="3" fillId="2" borderId="1" xfId="9" applyNumberFormat="1" applyFont="1" applyFill="1" applyBorder="1" applyAlignment="1">
      <alignment horizontal="center" vertical="center" wrapText="1"/>
    </xf>
    <xf numFmtId="43" fontId="3" fillId="0" borderId="6" xfId="10" applyFont="1" applyFill="1" applyBorder="1" applyAlignment="1">
      <alignment horizontal="center" vertical="center" wrapText="1"/>
    </xf>
    <xf numFmtId="1" fontId="3" fillId="2" borderId="6"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3" fontId="3" fillId="0" borderId="1" xfId="10" applyFont="1" applyFill="1" applyBorder="1" applyAlignment="1">
      <alignment horizontal="right" vertical="center"/>
    </xf>
    <xf numFmtId="43" fontId="3" fillId="0" borderId="6" xfId="10" applyFont="1" applyFill="1" applyBorder="1" applyAlignment="1">
      <alignment horizontal="right" vertical="center"/>
    </xf>
    <xf numFmtId="0" fontId="3" fillId="2" borderId="15" xfId="0" applyFont="1" applyFill="1" applyBorder="1" applyAlignment="1">
      <alignment vertical="center" wrapText="1"/>
    </xf>
    <xf numFmtId="0" fontId="3" fillId="0" borderId="16" xfId="0" applyFont="1" applyBorder="1" applyAlignment="1">
      <alignment horizontal="justify" vertical="center" wrapText="1"/>
    </xf>
    <xf numFmtId="1" fontId="6" fillId="2" borderId="17" xfId="0" applyNumberFormat="1" applyFont="1" applyFill="1" applyBorder="1" applyAlignment="1">
      <alignment horizontal="center" vertical="center" wrapText="1"/>
    </xf>
    <xf numFmtId="1" fontId="6" fillId="2" borderId="0" xfId="0" applyNumberFormat="1" applyFont="1" applyFill="1" applyAlignment="1">
      <alignment horizontal="center" vertical="center" wrapText="1"/>
    </xf>
    <xf numFmtId="1" fontId="6" fillId="2" borderId="18" xfId="0" applyNumberFormat="1"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8"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0" xfId="0" applyFont="1" applyBorder="1" applyAlignment="1">
      <alignment horizontal="center" vertical="center" wrapText="1"/>
    </xf>
    <xf numFmtId="10" fontId="3" fillId="2" borderId="13" xfId="9" applyNumberFormat="1" applyFont="1" applyFill="1" applyBorder="1" applyAlignment="1">
      <alignment horizontal="center" vertical="center" wrapText="1"/>
    </xf>
    <xf numFmtId="43" fontId="3" fillId="7" borderId="1" xfId="10" applyFont="1" applyFill="1" applyBorder="1" applyAlignment="1">
      <alignment horizontal="center" vertical="center" wrapText="1"/>
    </xf>
    <xf numFmtId="43" fontId="3" fillId="7" borderId="3" xfId="10" applyFont="1" applyFill="1" applyBorder="1" applyAlignment="1">
      <alignment horizontal="center" vertical="center" wrapText="1"/>
    </xf>
    <xf numFmtId="1" fontId="3" fillId="2" borderId="3" xfId="0"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41" xfId="0" applyFont="1" applyBorder="1" applyAlignment="1">
      <alignment horizontal="center" vertical="center" wrapText="1"/>
    </xf>
    <xf numFmtId="0" fontId="6" fillId="2" borderId="30" xfId="0" applyFont="1" applyFill="1" applyBorder="1"/>
    <xf numFmtId="0" fontId="3" fillId="2" borderId="31" xfId="0" applyFont="1" applyFill="1" applyBorder="1"/>
    <xf numFmtId="0" fontId="3" fillId="2" borderId="31" xfId="0" applyFont="1" applyFill="1" applyBorder="1" applyAlignment="1">
      <alignment horizontal="justify"/>
    </xf>
    <xf numFmtId="0" fontId="3" fillId="2" borderId="31" xfId="0" applyFont="1" applyFill="1" applyBorder="1" applyAlignment="1">
      <alignment horizontal="justify" vertical="center" wrapText="1"/>
    </xf>
    <xf numFmtId="0" fontId="3" fillId="2" borderId="31" xfId="0" applyFont="1" applyFill="1" applyBorder="1" applyAlignment="1">
      <alignment horizontal="justify" vertical="center"/>
    </xf>
    <xf numFmtId="1" fontId="3" fillId="2" borderId="31" xfId="0" applyNumberFormat="1" applyFont="1" applyFill="1" applyBorder="1" applyAlignment="1">
      <alignment horizontal="justify" vertical="center"/>
    </xf>
    <xf numFmtId="1" fontId="3" fillId="2" borderId="42" xfId="0" applyNumberFormat="1" applyFont="1" applyFill="1" applyBorder="1" applyAlignment="1">
      <alignment horizontal="justify" vertical="center"/>
    </xf>
    <xf numFmtId="10" fontId="3" fillId="2" borderId="32" xfId="9" applyNumberFormat="1" applyFont="1" applyFill="1" applyBorder="1" applyAlignment="1">
      <alignment horizontal="center" vertical="center"/>
    </xf>
    <xf numFmtId="43" fontId="6" fillId="2" borderId="33" xfId="10" applyFont="1" applyFill="1" applyBorder="1" applyAlignment="1">
      <alignment horizontal="justify" vertical="center"/>
    </xf>
    <xf numFmtId="0" fontId="3" fillId="2" borderId="30" xfId="0" applyFont="1" applyFill="1" applyBorder="1" applyAlignment="1">
      <alignment horizontal="justify" vertical="center" wrapText="1"/>
    </xf>
    <xf numFmtId="0" fontId="3" fillId="2" borderId="32" xfId="0" applyFont="1" applyFill="1" applyBorder="1" applyAlignment="1">
      <alignment horizontal="justify" vertical="center" wrapText="1"/>
    </xf>
    <xf numFmtId="43" fontId="6" fillId="0" borderId="33" xfId="10" applyFont="1" applyBorder="1" applyAlignment="1">
      <alignment horizontal="center" vertical="center"/>
    </xf>
    <xf numFmtId="1" fontId="3" fillId="2" borderId="30" xfId="0" applyNumberFormat="1" applyFont="1" applyFill="1" applyBorder="1" applyAlignment="1">
      <alignment horizontal="center" vertical="center"/>
    </xf>
    <xf numFmtId="1" fontId="3" fillId="2" borderId="31" xfId="0" applyNumberFormat="1" applyFont="1" applyFill="1" applyBorder="1" applyAlignment="1">
      <alignment horizontal="center" vertical="center"/>
    </xf>
    <xf numFmtId="1" fontId="3" fillId="2" borderId="31" xfId="0" applyNumberFormat="1" applyFont="1" applyFill="1" applyBorder="1" applyAlignment="1">
      <alignment horizontal="center" vertical="center" textRotation="180" wrapText="1"/>
    </xf>
    <xf numFmtId="3" fontId="6" fillId="2" borderId="31" xfId="0" applyNumberFormat="1" applyFont="1" applyFill="1" applyBorder="1" applyAlignment="1">
      <alignment horizontal="center" vertical="center"/>
    </xf>
    <xf numFmtId="9" fontId="3" fillId="2" borderId="42" xfId="3" applyFont="1" applyFill="1" applyBorder="1" applyAlignment="1">
      <alignment horizontal="center" vertical="center"/>
    </xf>
    <xf numFmtId="167" fontId="3" fillId="2" borderId="31" xfId="0" applyNumberFormat="1" applyFont="1" applyFill="1" applyBorder="1" applyAlignment="1">
      <alignment horizontal="center" vertical="center"/>
    </xf>
    <xf numFmtId="0" fontId="3" fillId="2" borderId="32" xfId="0" applyFont="1" applyFill="1" applyBorder="1" applyAlignment="1">
      <alignment horizontal="justify" vertical="center"/>
    </xf>
    <xf numFmtId="0" fontId="3" fillId="2" borderId="0" xfId="0" applyFont="1" applyFill="1"/>
    <xf numFmtId="0" fontId="3" fillId="2" borderId="0" xfId="0" applyFont="1" applyFill="1" applyAlignment="1">
      <alignment horizontal="justify"/>
    </xf>
    <xf numFmtId="0" fontId="3" fillId="2" borderId="0" xfId="0" applyFont="1" applyFill="1" applyAlignment="1">
      <alignment horizontal="justify" vertical="center"/>
    </xf>
    <xf numFmtId="10" fontId="3" fillId="2" borderId="0" xfId="9" applyNumberFormat="1" applyFont="1" applyFill="1" applyAlignment="1">
      <alignment horizontal="center" vertical="center"/>
    </xf>
    <xf numFmtId="169" fontId="3" fillId="0" borderId="0" xfId="0" applyNumberFormat="1" applyFont="1" applyAlignment="1">
      <alignment horizontal="justify" vertical="center"/>
    </xf>
    <xf numFmtId="169" fontId="3" fillId="0" borderId="0" xfId="0" applyNumberFormat="1" applyFont="1" applyAlignment="1">
      <alignment horizontal="center" vertical="center"/>
    </xf>
    <xf numFmtId="1" fontId="3" fillId="2" borderId="0" xfId="0" applyNumberFormat="1" applyFont="1" applyFill="1" applyAlignment="1">
      <alignment horizontal="center" vertical="center"/>
    </xf>
    <xf numFmtId="0" fontId="3" fillId="2" borderId="0" xfId="0" applyFont="1" applyFill="1" applyAlignment="1">
      <alignment horizontal="center" vertical="center"/>
    </xf>
    <xf numFmtId="169" fontId="3" fillId="2" borderId="0" xfId="0" applyNumberFormat="1" applyFont="1" applyFill="1" applyAlignment="1">
      <alignment horizontal="center" vertical="center"/>
    </xf>
    <xf numFmtId="9" fontId="3" fillId="2" borderId="0" xfId="3" applyFont="1" applyFill="1" applyAlignment="1">
      <alignment horizontal="center" vertical="center"/>
    </xf>
    <xf numFmtId="169" fontId="3" fillId="2" borderId="0" xfId="0" applyNumberFormat="1" applyFont="1" applyFill="1" applyAlignment="1">
      <alignment horizontal="justify" vertical="center"/>
    </xf>
    <xf numFmtId="43" fontId="3" fillId="0" borderId="0" xfId="1" applyNumberFormat="1" applyFont="1" applyFill="1" applyBorder="1" applyAlignment="1">
      <alignment horizontal="right" vertical="center" wrapText="1"/>
    </xf>
    <xf numFmtId="0" fontId="6" fillId="2" borderId="0" xfId="0" applyFont="1" applyFill="1"/>
    <xf numFmtId="0" fontId="3" fillId="0" borderId="0" xfId="0" applyFont="1" applyAlignment="1">
      <alignment horizontal="justify"/>
    </xf>
    <xf numFmtId="10" fontId="3" fillId="0" borderId="0" xfId="9" applyNumberFormat="1" applyFont="1" applyAlignment="1">
      <alignment horizontal="center"/>
    </xf>
    <xf numFmtId="43" fontId="3" fillId="0" borderId="0" xfId="0" applyNumberFormat="1" applyFont="1"/>
    <xf numFmtId="9" fontId="3" fillId="0" borderId="0" xfId="3" applyFont="1"/>
    <xf numFmtId="167" fontId="3" fillId="0" borderId="0" xfId="0" applyNumberFormat="1" applyFont="1" applyAlignment="1">
      <alignment horizontal="center"/>
    </xf>
    <xf numFmtId="0" fontId="4" fillId="0" borderId="1" xfId="0" applyFont="1" applyBorder="1" applyAlignment="1">
      <alignment vertical="center" wrapText="1"/>
    </xf>
    <xf numFmtId="3" fontId="4" fillId="0" borderId="1" xfId="0" applyNumberFormat="1" applyFont="1" applyBorder="1" applyAlignment="1">
      <alignment horizontal="left" vertical="center" wrapText="1"/>
    </xf>
    <xf numFmtId="1" fontId="5" fillId="3" borderId="1" xfId="0" applyNumberFormat="1" applyFont="1" applyFill="1" applyBorder="1" applyAlignment="1">
      <alignment horizontal="center" vertical="center" wrapText="1"/>
    </xf>
    <xf numFmtId="3" fontId="5" fillId="4" borderId="7" xfId="0" applyNumberFormat="1" applyFont="1" applyFill="1" applyBorder="1" applyAlignment="1">
      <alignment horizontal="center" vertical="center" wrapText="1"/>
    </xf>
    <xf numFmtId="0" fontId="13" fillId="7" borderId="0" xfId="0" applyFont="1" applyFill="1"/>
    <xf numFmtId="0" fontId="13" fillId="0" borderId="0" xfId="0" applyFont="1"/>
    <xf numFmtId="0" fontId="13" fillId="7" borderId="0" xfId="0" applyFont="1" applyFill="1" applyAlignment="1">
      <alignment horizontal="center" vertical="center"/>
    </xf>
    <xf numFmtId="0" fontId="13" fillId="0" borderId="0" xfId="0" applyFont="1" applyAlignment="1">
      <alignment horizontal="center" vertical="center"/>
    </xf>
    <xf numFmtId="0" fontId="4" fillId="3" borderId="1" xfId="0"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1" fontId="5" fillId="6" borderId="4" xfId="0" applyNumberFormat="1" applyFont="1" applyFill="1" applyBorder="1" applyAlignment="1">
      <alignment horizontal="justify" vertical="center" wrapText="1"/>
    </xf>
    <xf numFmtId="0" fontId="5" fillId="6" borderId="7" xfId="0" applyFont="1" applyFill="1" applyBorder="1" applyAlignment="1">
      <alignment horizontal="left" vertical="center"/>
    </xf>
    <xf numFmtId="0" fontId="5" fillId="6" borderId="7" xfId="0" applyFont="1" applyFill="1" applyBorder="1" applyAlignment="1">
      <alignment horizontal="justify" vertical="center"/>
    </xf>
    <xf numFmtId="0" fontId="5" fillId="6" borderId="7" xfId="0" applyFont="1" applyFill="1" applyBorder="1" applyAlignment="1">
      <alignment horizontal="center" vertical="center"/>
    </xf>
    <xf numFmtId="170" fontId="5" fillId="6" borderId="7" xfId="0" applyNumberFormat="1" applyFont="1" applyFill="1" applyBorder="1" applyAlignment="1">
      <alignment horizontal="justify" vertical="center"/>
    </xf>
    <xf numFmtId="169" fontId="5" fillId="6" borderId="7" xfId="0" applyNumberFormat="1" applyFont="1" applyFill="1" applyBorder="1" applyAlignment="1">
      <alignment horizontal="center" vertical="center"/>
    </xf>
    <xf numFmtId="0" fontId="13" fillId="6" borderId="7" xfId="0" applyFont="1" applyFill="1" applyBorder="1" applyAlignment="1">
      <alignment horizontal="justify" vertical="center"/>
    </xf>
    <xf numFmtId="43" fontId="13" fillId="6" borderId="7" xfId="11" applyNumberFormat="1" applyFont="1" applyFill="1" applyBorder="1" applyAlignment="1">
      <alignment horizontal="right" vertical="center"/>
    </xf>
    <xf numFmtId="1" fontId="5" fillId="6" borderId="7" xfId="0" applyNumberFormat="1" applyFont="1" applyFill="1" applyBorder="1" applyAlignment="1">
      <alignment horizontal="center" vertical="center"/>
    </xf>
    <xf numFmtId="0" fontId="5" fillId="6" borderId="7" xfId="0" applyFont="1" applyFill="1" applyBorder="1" applyAlignment="1">
      <alignment vertical="center"/>
    </xf>
    <xf numFmtId="167" fontId="5" fillId="6" borderId="7" xfId="0" applyNumberFormat="1" applyFont="1" applyFill="1" applyBorder="1" applyAlignment="1">
      <alignment vertical="center"/>
    </xf>
    <xf numFmtId="0" fontId="5" fillId="6" borderId="8" xfId="0" applyFont="1" applyFill="1" applyBorder="1" applyAlignment="1">
      <alignment horizontal="justify" vertical="center"/>
    </xf>
    <xf numFmtId="1" fontId="6" fillId="7" borderId="3" xfId="0" applyNumberFormat="1" applyFont="1" applyFill="1" applyBorder="1" applyAlignment="1">
      <alignment horizontal="justify" vertical="center" wrapText="1"/>
    </xf>
    <xf numFmtId="0" fontId="6" fillId="7" borderId="4" xfId="0" applyFont="1" applyFill="1" applyBorder="1" applyAlignment="1">
      <alignment horizontal="justify" vertical="center" wrapText="1"/>
    </xf>
    <xf numFmtId="0" fontId="6" fillId="7" borderId="9" xfId="0" applyFont="1" applyFill="1" applyBorder="1" applyAlignment="1">
      <alignment horizontal="justify" vertical="center" wrapText="1"/>
    </xf>
    <xf numFmtId="1" fontId="6" fillId="8" borderId="0" xfId="0" applyNumberFormat="1" applyFont="1" applyFill="1" applyAlignment="1">
      <alignment horizontal="justify" vertical="center"/>
    </xf>
    <xf numFmtId="0" fontId="6" fillId="8" borderId="2" xfId="0" applyFont="1" applyFill="1" applyBorder="1" applyAlignment="1">
      <alignment horizontal="justify" vertical="center"/>
    </xf>
    <xf numFmtId="0" fontId="6" fillId="8" borderId="2" xfId="0" applyFont="1" applyFill="1" applyBorder="1" applyAlignment="1">
      <alignment horizontal="center" vertical="center"/>
    </xf>
    <xf numFmtId="170" fontId="6" fillId="8" borderId="2" xfId="0" applyNumberFormat="1" applyFont="1" applyFill="1" applyBorder="1" applyAlignment="1">
      <alignment horizontal="justify" vertical="center"/>
    </xf>
    <xf numFmtId="169" fontId="6" fillId="8" borderId="2" xfId="0" applyNumberFormat="1" applyFont="1" applyFill="1" applyBorder="1" applyAlignment="1">
      <alignment horizontal="center" vertical="center"/>
    </xf>
    <xf numFmtId="0" fontId="3" fillId="8" borderId="2" xfId="0" applyFont="1" applyFill="1" applyBorder="1" applyAlignment="1">
      <alignment horizontal="justify" vertical="center"/>
    </xf>
    <xf numFmtId="43" fontId="3" fillId="8" borderId="2" xfId="11" applyNumberFormat="1" applyFont="1" applyFill="1" applyBorder="1" applyAlignment="1">
      <alignment horizontal="right" vertical="center"/>
    </xf>
    <xf numFmtId="1" fontId="6" fillId="8" borderId="2" xfId="0" applyNumberFormat="1" applyFont="1" applyFill="1" applyBorder="1" applyAlignment="1">
      <alignment horizontal="center" vertical="center"/>
    </xf>
    <xf numFmtId="0" fontId="6" fillId="8" borderId="2" xfId="0" applyFont="1" applyFill="1" applyBorder="1" applyAlignment="1">
      <alignment vertical="center"/>
    </xf>
    <xf numFmtId="167" fontId="6" fillId="8" borderId="2" xfId="0" applyNumberFormat="1" applyFont="1" applyFill="1" applyBorder="1" applyAlignment="1">
      <alignment vertical="center"/>
    </xf>
    <xf numFmtId="0" fontId="6" fillId="8" borderId="14" xfId="0" applyFont="1" applyFill="1" applyBorder="1" applyAlignment="1">
      <alignment horizontal="justify" vertical="center"/>
    </xf>
    <xf numFmtId="1" fontId="6" fillId="7" borderId="17" xfId="0" applyNumberFormat="1" applyFont="1" applyFill="1" applyBorder="1" applyAlignment="1">
      <alignment horizontal="justify" vertical="center" wrapText="1"/>
    </xf>
    <xf numFmtId="0" fontId="6" fillId="7" borderId="0" xfId="0" applyFont="1" applyFill="1" applyAlignment="1">
      <alignment horizontal="justify" vertical="center" wrapText="1"/>
    </xf>
    <xf numFmtId="0" fontId="6" fillId="7" borderId="3" xfId="0" applyFont="1" applyFill="1" applyBorder="1" applyAlignment="1">
      <alignment horizontal="justify" vertical="center" wrapText="1"/>
    </xf>
    <xf numFmtId="1" fontId="6" fillId="9" borderId="6" xfId="0" applyNumberFormat="1" applyFont="1" applyFill="1" applyBorder="1" applyAlignment="1">
      <alignment horizontal="justify" vertical="center" wrapText="1"/>
    </xf>
    <xf numFmtId="0" fontId="6" fillId="9" borderId="7" xfId="0" applyFont="1" applyFill="1" applyBorder="1" applyAlignment="1">
      <alignment vertical="center"/>
    </xf>
    <xf numFmtId="0" fontId="6" fillId="9" borderId="7" xfId="0" applyFont="1" applyFill="1" applyBorder="1" applyAlignment="1">
      <alignment horizontal="justify" vertical="center"/>
    </xf>
    <xf numFmtId="0" fontId="6" fillId="9" borderId="7" xfId="0" applyFont="1" applyFill="1" applyBorder="1" applyAlignment="1">
      <alignment horizontal="center" vertical="center"/>
    </xf>
    <xf numFmtId="170" fontId="6" fillId="9" borderId="7" xfId="0" applyNumberFormat="1" applyFont="1" applyFill="1" applyBorder="1" applyAlignment="1">
      <alignment horizontal="justify" vertical="center"/>
    </xf>
    <xf numFmtId="169" fontId="6" fillId="9" borderId="4" xfId="0" applyNumberFormat="1" applyFont="1" applyFill="1" applyBorder="1" applyAlignment="1">
      <alignment horizontal="center" vertical="center"/>
    </xf>
    <xf numFmtId="0" fontId="3" fillId="9" borderId="7" xfId="0" applyFont="1" applyFill="1" applyBorder="1" applyAlignment="1">
      <alignment horizontal="justify" vertical="center"/>
    </xf>
    <xf numFmtId="43" fontId="3" fillId="9" borderId="7" xfId="11" applyNumberFormat="1" applyFont="1" applyFill="1" applyBorder="1" applyAlignment="1">
      <alignment horizontal="right" vertical="center"/>
    </xf>
    <xf numFmtId="1" fontId="6" fillId="9" borderId="7" xfId="0" applyNumberFormat="1" applyFont="1" applyFill="1" applyBorder="1" applyAlignment="1">
      <alignment horizontal="center" vertical="center"/>
    </xf>
    <xf numFmtId="167" fontId="6" fillId="9" borderId="7" xfId="0" applyNumberFormat="1" applyFont="1" applyFill="1" applyBorder="1" applyAlignment="1">
      <alignment vertical="center"/>
    </xf>
    <xf numFmtId="0" fontId="6" fillId="9" borderId="8" xfId="0" applyFont="1" applyFill="1" applyBorder="1" applyAlignment="1">
      <alignment horizontal="justify" vertical="center"/>
    </xf>
    <xf numFmtId="1" fontId="3" fillId="0" borderId="17" xfId="0" applyNumberFormat="1" applyFont="1" applyBorder="1" applyAlignment="1">
      <alignment horizontal="justify" vertical="center" wrapText="1"/>
    </xf>
    <xf numFmtId="0" fontId="3" fillId="0" borderId="17"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3" xfId="0" applyFont="1" applyBorder="1" applyAlignment="1">
      <alignment horizontal="justify" vertical="center" wrapText="1"/>
    </xf>
    <xf numFmtId="3" fontId="13" fillId="0" borderId="1" xfId="0" applyNumberFormat="1" applyFont="1" applyBorder="1" applyAlignment="1">
      <alignment horizontal="justify" vertical="center" wrapText="1"/>
    </xf>
    <xf numFmtId="0" fontId="13" fillId="0" borderId="1" xfId="0" applyFont="1" applyBorder="1" applyAlignment="1">
      <alignment horizontal="justify" vertical="center" wrapText="1"/>
    </xf>
    <xf numFmtId="43" fontId="3" fillId="0" borderId="1" xfId="6" applyFont="1" applyBorder="1" applyAlignment="1">
      <alignment horizontal="right" vertical="center"/>
    </xf>
    <xf numFmtId="1" fontId="3" fillId="0" borderId="1" xfId="0" applyNumberFormat="1" applyFont="1" applyBorder="1" applyAlignment="1">
      <alignment horizontal="center" vertical="center"/>
    </xf>
    <xf numFmtId="1" fontId="3" fillId="0" borderId="1" xfId="0" applyNumberFormat="1" applyFont="1" applyBorder="1" applyAlignment="1">
      <alignment vertical="center" wrapText="1"/>
    </xf>
    <xf numFmtId="0" fontId="13" fillId="0" borderId="1" xfId="0" applyFont="1" applyBorder="1" applyAlignment="1">
      <alignment horizontal="justify" vertical="center" wrapText="1"/>
    </xf>
    <xf numFmtId="0" fontId="13" fillId="7" borderId="1" xfId="12" applyFont="1" applyFill="1" applyBorder="1" applyAlignment="1">
      <alignment horizontal="justify" vertical="center" wrapText="1"/>
    </xf>
    <xf numFmtId="4" fontId="3" fillId="0" borderId="1" xfId="12" applyNumberFormat="1" applyFont="1" applyBorder="1" applyAlignment="1">
      <alignment horizontal="right" vertical="center"/>
    </xf>
    <xf numFmtId="3" fontId="3" fillId="0" borderId="1" xfId="12" applyNumberFormat="1" applyFont="1" applyBorder="1" applyAlignment="1">
      <alignment horizontal="right" vertical="center"/>
    </xf>
    <xf numFmtId="0" fontId="3" fillId="0" borderId="5" xfId="0" applyFont="1" applyBorder="1" applyAlignment="1">
      <alignment horizontal="justify" vertical="center" wrapText="1"/>
    </xf>
    <xf numFmtId="1" fontId="3" fillId="7" borderId="17" xfId="0" applyNumberFormat="1" applyFont="1" applyFill="1" applyBorder="1" applyAlignment="1">
      <alignment horizontal="justify"/>
    </xf>
    <xf numFmtId="0" fontId="3" fillId="7" borderId="0" xfId="0" applyFont="1" applyFill="1" applyAlignment="1">
      <alignment horizontal="justify"/>
    </xf>
    <xf numFmtId="0" fontId="3" fillId="7" borderId="17" xfId="0" applyFont="1" applyFill="1" applyBorder="1" applyAlignment="1">
      <alignment horizontal="justify"/>
    </xf>
    <xf numFmtId="169" fontId="6" fillId="9" borderId="2" xfId="0" applyNumberFormat="1" applyFont="1" applyFill="1" applyBorder="1" applyAlignment="1">
      <alignment horizontal="center" vertical="center"/>
    </xf>
    <xf numFmtId="0" fontId="6" fillId="9" borderId="7" xfId="0" applyFont="1" applyFill="1" applyBorder="1" applyAlignment="1">
      <alignment horizontal="justify" vertical="center" wrapText="1"/>
    </xf>
    <xf numFmtId="0" fontId="3" fillId="9" borderId="7" xfId="0" applyFont="1" applyFill="1" applyBorder="1" applyAlignment="1">
      <alignment horizontal="justify" vertical="center" wrapText="1"/>
    </xf>
    <xf numFmtId="43" fontId="3" fillId="9" borderId="7" xfId="6" applyFont="1" applyFill="1" applyBorder="1" applyAlignment="1">
      <alignment horizontal="right" vertical="center"/>
    </xf>
    <xf numFmtId="1" fontId="3" fillId="9" borderId="7" xfId="0" applyNumberFormat="1" applyFont="1" applyFill="1" applyBorder="1" applyAlignment="1">
      <alignment horizontal="center" vertical="center"/>
    </xf>
    <xf numFmtId="0" fontId="3" fillId="9" borderId="7" xfId="0" applyFont="1" applyFill="1" applyBorder="1" applyAlignment="1">
      <alignment horizontal="center" vertical="center"/>
    </xf>
    <xf numFmtId="0" fontId="3" fillId="9" borderId="7" xfId="0" applyFont="1" applyFill="1" applyBorder="1"/>
    <xf numFmtId="2" fontId="3" fillId="9" borderId="7" xfId="0" applyNumberFormat="1" applyFont="1" applyFill="1" applyBorder="1" applyAlignment="1">
      <alignment vertical="center" wrapText="1"/>
    </xf>
    <xf numFmtId="167" fontId="3" fillId="9" borderId="7" xfId="0" applyNumberFormat="1" applyFont="1" applyFill="1" applyBorder="1" applyAlignment="1">
      <alignment horizontal="right" vertical="center"/>
    </xf>
    <xf numFmtId="167" fontId="3" fillId="9" borderId="7" xfId="0" applyNumberFormat="1" applyFont="1" applyFill="1" applyBorder="1" applyAlignment="1">
      <alignment horizontal="center"/>
    </xf>
    <xf numFmtId="0" fontId="3" fillId="9" borderId="8" xfId="0" applyFont="1" applyFill="1" applyBorder="1" applyAlignment="1">
      <alignment horizontal="justify" vertical="center" wrapText="1"/>
    </xf>
    <xf numFmtId="1" fontId="3" fillId="0" borderId="17" xfId="0" applyNumberFormat="1" applyFont="1" applyBorder="1" applyAlignment="1">
      <alignment horizontal="justify"/>
    </xf>
    <xf numFmtId="0" fontId="3" fillId="0" borderId="17" xfId="0" applyFont="1" applyBorder="1" applyAlignment="1">
      <alignment horizontal="justify"/>
    </xf>
    <xf numFmtId="43" fontId="3" fillId="0" borderId="1" xfId="6" applyFont="1" applyFill="1" applyBorder="1" applyAlignment="1">
      <alignment horizontal="right" vertical="center"/>
    </xf>
    <xf numFmtId="43" fontId="3" fillId="0" borderId="13" xfId="6" applyFont="1" applyFill="1" applyBorder="1" applyAlignment="1">
      <alignment horizontal="right" vertical="center"/>
    </xf>
    <xf numFmtId="1" fontId="3" fillId="0" borderId="13" xfId="0" applyNumberFormat="1" applyFont="1" applyBorder="1" applyAlignment="1">
      <alignment horizontal="center" vertical="center"/>
    </xf>
    <xf numFmtId="1" fontId="3" fillId="0" borderId="13" xfId="0" applyNumberFormat="1" applyFont="1" applyBorder="1" applyAlignment="1">
      <alignment vertical="center" wrapText="1"/>
    </xf>
    <xf numFmtId="0" fontId="3" fillId="0" borderId="5" xfId="0" applyFont="1" applyBorder="1" applyAlignment="1">
      <alignment horizontal="justify"/>
    </xf>
    <xf numFmtId="0" fontId="3" fillId="0" borderId="6" xfId="0" applyFont="1" applyBorder="1" applyAlignment="1">
      <alignment horizontal="justify" vertical="center" wrapText="1"/>
    </xf>
    <xf numFmtId="0" fontId="3" fillId="0" borderId="23" xfId="0" applyFont="1" applyBorder="1" applyAlignment="1">
      <alignment horizontal="center" vertical="center"/>
    </xf>
    <xf numFmtId="0" fontId="3" fillId="0" borderId="19" xfId="0" applyFont="1" applyBorder="1" applyAlignment="1">
      <alignment horizontal="center" vertical="center"/>
    </xf>
    <xf numFmtId="1" fontId="6" fillId="15" borderId="6" xfId="0" applyNumberFormat="1" applyFont="1" applyFill="1" applyBorder="1" applyAlignment="1">
      <alignment horizontal="justify" vertical="center"/>
    </xf>
    <xf numFmtId="0" fontId="6" fillId="15" borderId="4" xfId="0" applyFont="1" applyFill="1" applyBorder="1" applyAlignment="1">
      <alignment horizontal="justify" vertical="center"/>
    </xf>
    <xf numFmtId="0" fontId="6" fillId="15" borderId="4" xfId="0" applyFont="1" applyFill="1" applyBorder="1" applyAlignment="1">
      <alignment horizontal="center" vertical="center"/>
    </xf>
    <xf numFmtId="170" fontId="6" fillId="15" borderId="4" xfId="0" applyNumberFormat="1" applyFont="1" applyFill="1" applyBorder="1" applyAlignment="1">
      <alignment horizontal="justify" vertical="center"/>
    </xf>
    <xf numFmtId="169" fontId="6" fillId="15" borderId="4" xfId="0" applyNumberFormat="1" applyFont="1" applyFill="1" applyBorder="1" applyAlignment="1">
      <alignment horizontal="center" vertical="center"/>
    </xf>
    <xf numFmtId="0" fontId="6" fillId="15" borderId="4" xfId="0" applyFont="1" applyFill="1" applyBorder="1" applyAlignment="1">
      <alignment horizontal="justify" vertical="center" wrapText="1"/>
    </xf>
    <xf numFmtId="0" fontId="3" fillId="15" borderId="4" xfId="0" applyFont="1" applyFill="1" applyBorder="1" applyAlignment="1">
      <alignment horizontal="justify" vertical="center" wrapText="1"/>
    </xf>
    <xf numFmtId="43" fontId="3" fillId="15" borderId="0" xfId="11" applyNumberFormat="1" applyFont="1" applyFill="1" applyAlignment="1">
      <alignment horizontal="right" vertical="center"/>
    </xf>
    <xf numFmtId="1" fontId="3" fillId="15" borderId="0" xfId="0" applyNumberFormat="1" applyFont="1" applyFill="1" applyAlignment="1">
      <alignment horizontal="center" vertical="center"/>
    </xf>
    <xf numFmtId="0" fontId="3" fillId="15" borderId="0" xfId="0" applyFont="1" applyFill="1" applyAlignment="1">
      <alignment horizontal="center" vertical="center"/>
    </xf>
    <xf numFmtId="0" fontId="3" fillId="15" borderId="4" xfId="0" applyFont="1" applyFill="1" applyBorder="1"/>
    <xf numFmtId="2" fontId="3" fillId="15" borderId="4" xfId="0" applyNumberFormat="1" applyFont="1" applyFill="1" applyBorder="1" applyAlignment="1">
      <alignment vertical="center" wrapText="1"/>
    </xf>
    <xf numFmtId="167" fontId="3" fillId="15" borderId="4" xfId="0" applyNumberFormat="1" applyFont="1" applyFill="1" applyBorder="1" applyAlignment="1">
      <alignment horizontal="right" vertical="center"/>
    </xf>
    <xf numFmtId="167" fontId="3" fillId="15" borderId="4" xfId="0" applyNumberFormat="1" applyFont="1" applyFill="1" applyBorder="1" applyAlignment="1">
      <alignment horizontal="center"/>
    </xf>
    <xf numFmtId="0" fontId="3" fillId="15" borderId="9" xfId="0" applyFont="1" applyFill="1" applyBorder="1" applyAlignment="1">
      <alignment horizontal="justify" vertical="center" wrapText="1"/>
    </xf>
    <xf numFmtId="0" fontId="3" fillId="7" borderId="18" xfId="0" applyFont="1" applyFill="1" applyBorder="1" applyAlignment="1">
      <alignment horizontal="justify"/>
    </xf>
    <xf numFmtId="169" fontId="6" fillId="9" borderId="7" xfId="0" applyNumberFormat="1" applyFont="1" applyFill="1" applyBorder="1" applyAlignment="1">
      <alignment horizontal="center" vertical="center"/>
    </xf>
    <xf numFmtId="1" fontId="3" fillId="0" borderId="17" xfId="0" applyNumberFormat="1" applyFont="1" applyBorder="1" applyAlignment="1">
      <alignment horizontal="justify" vertical="center"/>
    </xf>
    <xf numFmtId="0" fontId="3" fillId="0" borderId="0" xfId="0" applyFont="1" applyAlignment="1">
      <alignment horizontal="justify" vertical="center"/>
    </xf>
    <xf numFmtId="0" fontId="3" fillId="0" borderId="18" xfId="0" applyFont="1" applyBorder="1" applyAlignment="1">
      <alignment horizontal="justify" vertical="center"/>
    </xf>
    <xf numFmtId="0" fontId="3" fillId="0" borderId="17" xfId="0" applyFont="1" applyBorder="1" applyAlignment="1">
      <alignment horizontal="justify" vertical="center"/>
    </xf>
    <xf numFmtId="0" fontId="3" fillId="0" borderId="3" xfId="0" applyFont="1" applyBorder="1" applyAlignment="1">
      <alignment horizontal="justify" vertical="center"/>
    </xf>
    <xf numFmtId="49" fontId="13" fillId="0" borderId="1" xfId="13" applyNumberFormat="1" applyFont="1" applyBorder="1" applyAlignment="1">
      <alignment horizontal="justify" vertical="center" wrapText="1"/>
    </xf>
    <xf numFmtId="0" fontId="3" fillId="0" borderId="1" xfId="0" applyFont="1" applyBorder="1" applyAlignment="1">
      <alignment vertical="center" wrapText="1"/>
    </xf>
    <xf numFmtId="49" fontId="13" fillId="7" borderId="1" xfId="13" applyNumberFormat="1" applyFont="1" applyFill="1" applyBorder="1" applyAlignment="1">
      <alignment horizontal="justify" vertical="center" wrapText="1"/>
    </xf>
    <xf numFmtId="1" fontId="6" fillId="16" borderId="6" xfId="0" applyNumberFormat="1" applyFont="1" applyFill="1" applyBorder="1" applyAlignment="1">
      <alignment horizontal="justify" vertical="center"/>
    </xf>
    <xf numFmtId="0" fontId="6" fillId="16" borderId="7" xfId="0" applyFont="1" applyFill="1" applyBorder="1" applyAlignment="1">
      <alignment horizontal="justify" vertical="center"/>
    </xf>
    <xf numFmtId="0" fontId="6" fillId="16" borderId="4" xfId="0" applyFont="1" applyFill="1" applyBorder="1" applyAlignment="1">
      <alignment horizontal="justify" vertical="center"/>
    </xf>
    <xf numFmtId="0" fontId="6" fillId="16" borderId="4" xfId="0" applyFont="1" applyFill="1" applyBorder="1" applyAlignment="1">
      <alignment horizontal="center" vertical="center"/>
    </xf>
    <xf numFmtId="170" fontId="6" fillId="16" borderId="4" xfId="0" applyNumberFormat="1" applyFont="1" applyFill="1" applyBorder="1" applyAlignment="1">
      <alignment horizontal="justify" vertical="center"/>
    </xf>
    <xf numFmtId="169" fontId="6" fillId="16" borderId="4" xfId="0" applyNumberFormat="1" applyFont="1" applyFill="1" applyBorder="1" applyAlignment="1">
      <alignment horizontal="center" vertical="center"/>
    </xf>
    <xf numFmtId="0" fontId="6" fillId="16" borderId="4" xfId="0" applyFont="1" applyFill="1" applyBorder="1" applyAlignment="1">
      <alignment horizontal="justify" vertical="center" wrapText="1"/>
    </xf>
    <xf numFmtId="0" fontId="3" fillId="16" borderId="4" xfId="0" applyFont="1" applyFill="1" applyBorder="1" applyAlignment="1">
      <alignment horizontal="justify" vertical="center" wrapText="1"/>
    </xf>
    <xf numFmtId="43" fontId="3" fillId="16" borderId="4" xfId="11" applyNumberFormat="1" applyFont="1" applyFill="1" applyBorder="1" applyAlignment="1">
      <alignment horizontal="right" vertical="center"/>
    </xf>
    <xf numFmtId="1" fontId="3" fillId="16" borderId="4" xfId="0" applyNumberFormat="1" applyFont="1" applyFill="1" applyBorder="1" applyAlignment="1">
      <alignment horizontal="center" vertical="center"/>
    </xf>
    <xf numFmtId="0" fontId="3" fillId="16" borderId="4" xfId="0" applyFont="1" applyFill="1" applyBorder="1" applyAlignment="1">
      <alignment horizontal="center" vertical="center"/>
    </xf>
    <xf numFmtId="0" fontId="3" fillId="16" borderId="4" xfId="0" applyFont="1" applyFill="1" applyBorder="1"/>
    <xf numFmtId="2" fontId="3" fillId="16" borderId="4" xfId="0" applyNumberFormat="1" applyFont="1" applyFill="1" applyBorder="1" applyAlignment="1">
      <alignment vertical="center" wrapText="1"/>
    </xf>
    <xf numFmtId="167" fontId="3" fillId="16" borderId="4" xfId="0" applyNumberFormat="1" applyFont="1" applyFill="1" applyBorder="1" applyAlignment="1">
      <alignment horizontal="right" vertical="center"/>
    </xf>
    <xf numFmtId="167" fontId="3" fillId="16" borderId="4" xfId="0" applyNumberFormat="1" applyFont="1" applyFill="1" applyBorder="1" applyAlignment="1">
      <alignment horizontal="center"/>
    </xf>
    <xf numFmtId="0" fontId="3" fillId="16" borderId="9" xfId="0" applyFont="1" applyFill="1" applyBorder="1" applyAlignment="1">
      <alignment horizontal="justify" vertical="center" wrapText="1"/>
    </xf>
    <xf numFmtId="0" fontId="3" fillId="7" borderId="3" xfId="0" applyFont="1" applyFill="1" applyBorder="1" applyAlignment="1">
      <alignment horizontal="justify"/>
    </xf>
    <xf numFmtId="0" fontId="3" fillId="7" borderId="4" xfId="0" applyFont="1" applyFill="1" applyBorder="1" applyAlignment="1">
      <alignment horizontal="justify"/>
    </xf>
    <xf numFmtId="0" fontId="3" fillId="7" borderId="9" xfId="0" applyFont="1" applyFill="1" applyBorder="1" applyAlignment="1">
      <alignment horizontal="justify"/>
    </xf>
    <xf numFmtId="0" fontId="6" fillId="9" borderId="4" xfId="0" applyFont="1" applyFill="1" applyBorder="1" applyAlignment="1">
      <alignment horizontal="center" vertical="center"/>
    </xf>
    <xf numFmtId="43" fontId="3" fillId="9" borderId="4" xfId="11" applyNumberFormat="1" applyFont="1" applyFill="1" applyBorder="1" applyAlignment="1">
      <alignment horizontal="right" vertical="center"/>
    </xf>
    <xf numFmtId="1" fontId="3" fillId="9" borderId="4" xfId="0" applyNumberFormat="1" applyFont="1" applyFill="1" applyBorder="1" applyAlignment="1">
      <alignment horizontal="center" vertical="center"/>
    </xf>
    <xf numFmtId="0" fontId="3" fillId="9" borderId="4" xfId="0" applyFont="1" applyFill="1" applyBorder="1" applyAlignment="1">
      <alignment horizontal="center" vertical="center"/>
    </xf>
    <xf numFmtId="0" fontId="3" fillId="9" borderId="4" xfId="0" applyFont="1" applyFill="1" applyBorder="1"/>
    <xf numFmtId="0" fontId="3" fillId="0" borderId="3" xfId="0" applyFont="1" applyBorder="1" applyAlignment="1">
      <alignment horizontal="justify"/>
    </xf>
    <xf numFmtId="0" fontId="3" fillId="0" borderId="4" xfId="0" applyFont="1" applyBorder="1" applyAlignment="1">
      <alignment horizontal="justify"/>
    </xf>
    <xf numFmtId="0" fontId="13" fillId="0" borderId="1" xfId="0" applyFont="1" applyFill="1" applyBorder="1" applyAlignment="1">
      <alignment horizontal="justify" vertical="center" wrapText="1"/>
    </xf>
    <xf numFmtId="1" fontId="3" fillId="0" borderId="13" xfId="0" applyNumberFormat="1" applyFont="1" applyBorder="1" applyAlignment="1">
      <alignment horizontal="center" vertical="center" wrapText="1"/>
    </xf>
    <xf numFmtId="0" fontId="13" fillId="0" borderId="1" xfId="0" applyFont="1" applyFill="1" applyBorder="1" applyAlignment="1">
      <alignment horizontal="justify" vertical="center" wrapText="1"/>
    </xf>
    <xf numFmtId="43" fontId="3" fillId="0" borderId="9" xfId="6" applyFont="1" applyFill="1" applyBorder="1" applyAlignment="1">
      <alignment horizontal="right" vertical="center"/>
    </xf>
    <xf numFmtId="43" fontId="3" fillId="0" borderId="23" xfId="6" applyFont="1" applyFill="1" applyBorder="1" applyAlignment="1">
      <alignment horizontal="right" vertical="center"/>
    </xf>
    <xf numFmtId="1" fontId="3" fillId="0" borderId="19" xfId="0" applyNumberFormat="1" applyFont="1" applyBorder="1" applyAlignment="1">
      <alignment horizontal="center" vertical="center" wrapText="1"/>
    </xf>
    <xf numFmtId="1" fontId="3" fillId="0" borderId="19" xfId="0" applyNumberFormat="1" applyFont="1" applyBorder="1" applyAlignment="1">
      <alignment vertical="center" wrapText="1"/>
    </xf>
    <xf numFmtId="0" fontId="3" fillId="0" borderId="45" xfId="0" applyFont="1" applyFill="1" applyBorder="1" applyAlignment="1">
      <alignment horizontal="justify" vertical="center"/>
    </xf>
    <xf numFmtId="173" fontId="3" fillId="0" borderId="21" xfId="0" applyNumberFormat="1" applyFont="1" applyFill="1" applyBorder="1" applyAlignment="1">
      <alignment vertical="center"/>
    </xf>
    <xf numFmtId="41" fontId="3" fillId="0" borderId="21" xfId="0" applyNumberFormat="1" applyFont="1" applyFill="1" applyBorder="1" applyAlignment="1">
      <alignment vertical="center"/>
    </xf>
    <xf numFmtId="41" fontId="3" fillId="0" borderId="21" xfId="0" applyNumberFormat="1" applyFont="1" applyFill="1" applyBorder="1"/>
    <xf numFmtId="1" fontId="3" fillId="0" borderId="21" xfId="0" applyNumberFormat="1" applyFont="1" applyBorder="1" applyAlignment="1">
      <alignment horizontal="center" vertical="center" wrapText="1"/>
    </xf>
    <xf numFmtId="1" fontId="3" fillId="0" borderId="21" xfId="0" applyNumberFormat="1" applyFont="1" applyBorder="1" applyAlignment="1">
      <alignment vertical="center" wrapText="1"/>
    </xf>
    <xf numFmtId="0" fontId="13" fillId="0" borderId="19" xfId="0" applyFont="1" applyFill="1" applyBorder="1" applyAlignment="1">
      <alignment horizontal="justify" vertical="center" wrapText="1"/>
    </xf>
    <xf numFmtId="173" fontId="3" fillId="0" borderId="19" xfId="6" applyNumberFormat="1" applyFont="1" applyFill="1" applyBorder="1" applyAlignment="1">
      <alignment horizontal="right" vertical="center"/>
    </xf>
    <xf numFmtId="43" fontId="3" fillId="0" borderId="19" xfId="6" applyFont="1" applyFill="1" applyBorder="1" applyAlignment="1">
      <alignment horizontal="right" vertical="center"/>
    </xf>
    <xf numFmtId="0" fontId="3" fillId="0" borderId="0" xfId="0" applyFont="1" applyAlignment="1">
      <alignment horizontal="justify" wrapText="1"/>
    </xf>
    <xf numFmtId="0" fontId="3" fillId="0" borderId="19" xfId="0" applyFont="1" applyFill="1" applyBorder="1" applyAlignment="1">
      <alignment horizontal="justify" wrapText="1"/>
    </xf>
    <xf numFmtId="173" fontId="3" fillId="0" borderId="19" xfId="0" applyNumberFormat="1" applyFont="1" applyFill="1" applyBorder="1" applyAlignment="1">
      <alignment vertical="center"/>
    </xf>
    <xf numFmtId="41" fontId="3" fillId="0" borderId="19" xfId="0" applyNumberFormat="1" applyFont="1" applyFill="1" applyBorder="1"/>
    <xf numFmtId="170" fontId="3" fillId="0" borderId="1" xfId="0" applyNumberFormat="1" applyFont="1" applyBorder="1" applyAlignment="1">
      <alignment horizontal="center" vertical="center"/>
    </xf>
    <xf numFmtId="9" fontId="3" fillId="0" borderId="13" xfId="7" applyFont="1" applyBorder="1" applyAlignment="1">
      <alignment horizontal="center" vertical="center"/>
    </xf>
    <xf numFmtId="0" fontId="13" fillId="7" borderId="16" xfId="0" applyFont="1" applyFill="1" applyBorder="1" applyAlignment="1">
      <alignment horizontal="justify" vertical="center" wrapText="1"/>
    </xf>
    <xf numFmtId="43" fontId="3" fillId="0" borderId="16" xfId="6" applyFont="1" applyBorder="1" applyAlignment="1">
      <alignment horizontal="right" vertical="center"/>
    </xf>
    <xf numFmtId="43" fontId="3" fillId="0" borderId="15" xfId="6" applyFont="1" applyBorder="1" applyAlignment="1">
      <alignment horizontal="right" vertical="center"/>
    </xf>
    <xf numFmtId="1" fontId="3" fillId="0" borderId="15" xfId="0" applyNumberFormat="1" applyFont="1" applyBorder="1" applyAlignment="1">
      <alignment horizontal="center" vertical="center" wrapText="1"/>
    </xf>
    <xf numFmtId="1" fontId="3" fillId="0" borderId="15" xfId="0" applyNumberFormat="1" applyFont="1" applyBorder="1" applyAlignment="1">
      <alignment vertical="center" wrapText="1"/>
    </xf>
    <xf numFmtId="1" fontId="3" fillId="0" borderId="6" xfId="0" applyNumberFormat="1" applyFont="1" applyBorder="1" applyAlignment="1">
      <alignment horizontal="center" vertical="center"/>
    </xf>
    <xf numFmtId="9" fontId="3" fillId="0" borderId="1" xfId="7" applyFont="1" applyBorder="1" applyAlignment="1">
      <alignment horizontal="center" vertical="center"/>
    </xf>
    <xf numFmtId="43" fontId="3" fillId="0" borderId="13" xfId="6" applyFont="1" applyBorder="1" applyAlignment="1">
      <alignment horizontal="right" vertical="center"/>
    </xf>
    <xf numFmtId="0" fontId="13" fillId="7" borderId="1" xfId="0" applyFont="1" applyFill="1" applyBorder="1" applyAlignment="1">
      <alignment horizontal="justify" vertical="center" wrapText="1"/>
    </xf>
    <xf numFmtId="43" fontId="3" fillId="0" borderId="6" xfId="6" applyFont="1" applyBorder="1" applyAlignment="1">
      <alignment horizontal="right" vertical="center"/>
    </xf>
    <xf numFmtId="1" fontId="3" fillId="0" borderId="9" xfId="0" applyNumberFormat="1" applyFont="1" applyBorder="1" applyAlignment="1">
      <alignment horizontal="center" vertical="center" wrapText="1"/>
    </xf>
    <xf numFmtId="0" fontId="13" fillId="0" borderId="16" xfId="0" applyFont="1" applyBorder="1" applyAlignment="1">
      <alignment horizontal="justify" vertical="center" wrapText="1"/>
    </xf>
    <xf numFmtId="43" fontId="3" fillId="0" borderId="6" xfId="6" applyFont="1" applyFill="1" applyBorder="1" applyAlignment="1">
      <alignment horizontal="right" vertical="center"/>
    </xf>
    <xf numFmtId="1" fontId="3" fillId="0" borderId="23" xfId="0" applyNumberFormat="1" applyFont="1" applyBorder="1" applyAlignment="1">
      <alignment horizontal="center" vertical="center" wrapText="1"/>
    </xf>
    <xf numFmtId="43" fontId="3" fillId="0" borderId="3" xfId="6" applyFont="1" applyBorder="1" applyAlignment="1">
      <alignment horizontal="right" vertical="center"/>
    </xf>
    <xf numFmtId="41" fontId="3" fillId="0" borderId="19" xfId="0" applyNumberFormat="1" applyFont="1" applyBorder="1" applyAlignment="1">
      <alignment vertical="center"/>
    </xf>
    <xf numFmtId="41" fontId="3" fillId="0" borderId="19" xfId="0" applyNumberFormat="1" applyFont="1" applyBorder="1"/>
    <xf numFmtId="43" fontId="3" fillId="0" borderId="5" xfId="6" applyFont="1" applyBorder="1" applyAlignment="1">
      <alignment horizontal="right" vertical="center"/>
    </xf>
    <xf numFmtId="43" fontId="3" fillId="0" borderId="17" xfId="6" applyFont="1" applyBorder="1" applyAlignment="1">
      <alignment horizontal="right" vertical="center"/>
    </xf>
    <xf numFmtId="1" fontId="3" fillId="0" borderId="16" xfId="0" applyNumberFormat="1" applyFont="1" applyBorder="1" applyAlignment="1">
      <alignment vertical="center" wrapText="1"/>
    </xf>
    <xf numFmtId="43" fontId="3" fillId="0" borderId="3" xfId="6" applyFont="1" applyFill="1" applyBorder="1" applyAlignment="1">
      <alignment horizontal="right" vertical="center"/>
    </xf>
    <xf numFmtId="1" fontId="3" fillId="0" borderId="13" xfId="0" applyNumberFormat="1" applyFont="1" applyFill="1" applyBorder="1" applyAlignment="1">
      <alignment horizontal="center" vertical="center" wrapText="1"/>
    </xf>
    <xf numFmtId="1" fontId="3" fillId="0" borderId="1" xfId="0" applyNumberFormat="1" applyFont="1" applyFill="1" applyBorder="1" applyAlignment="1">
      <alignment vertical="center" wrapText="1"/>
    </xf>
    <xf numFmtId="1" fontId="3" fillId="0" borderId="16" xfId="0" applyNumberFormat="1" applyFont="1" applyFill="1" applyBorder="1" applyAlignment="1">
      <alignment vertical="center" wrapText="1"/>
    </xf>
    <xf numFmtId="1" fontId="3" fillId="0" borderId="13" xfId="0" applyNumberFormat="1" applyFont="1" applyFill="1" applyBorder="1" applyAlignment="1">
      <alignment vertical="center" wrapText="1"/>
    </xf>
    <xf numFmtId="1" fontId="3" fillId="0" borderId="19" xfId="0" applyNumberFormat="1" applyFont="1" applyFill="1" applyBorder="1" applyAlignment="1">
      <alignment horizontal="center" vertical="center" wrapText="1"/>
    </xf>
    <xf numFmtId="1" fontId="3" fillId="0" borderId="21" xfId="0" applyNumberFormat="1" applyFont="1" applyFill="1" applyBorder="1" applyAlignment="1">
      <alignment vertical="center" wrapText="1"/>
    </xf>
    <xf numFmtId="1" fontId="3" fillId="0" borderId="20" xfId="0" applyNumberFormat="1" applyFont="1" applyFill="1" applyBorder="1" applyAlignment="1">
      <alignment horizontal="center" vertical="center" wrapText="1"/>
    </xf>
    <xf numFmtId="0" fontId="14" fillId="7" borderId="34" xfId="0" applyFont="1" applyFill="1" applyBorder="1" applyAlignment="1">
      <alignment horizontal="justify" vertical="center" wrapText="1"/>
    </xf>
    <xf numFmtId="0" fontId="14" fillId="7" borderId="37" xfId="0" applyFont="1" applyFill="1" applyBorder="1" applyAlignment="1">
      <alignment horizontal="justify" vertical="center" wrapText="1"/>
    </xf>
    <xf numFmtId="173" fontId="3" fillId="0" borderId="24" xfId="0" applyNumberFormat="1" applyFont="1" applyFill="1" applyBorder="1" applyAlignment="1">
      <alignment horizontal="right" vertical="center"/>
    </xf>
    <xf numFmtId="0" fontId="3" fillId="0" borderId="21" xfId="0" applyFont="1" applyFill="1" applyBorder="1" applyAlignment="1">
      <alignment horizontal="center" vertical="center"/>
    </xf>
    <xf numFmtId="1" fontId="3" fillId="0" borderId="1" xfId="0" applyNumberFormat="1" applyFont="1" applyBorder="1" applyAlignment="1">
      <alignment horizontal="justify" vertical="center" wrapText="1"/>
    </xf>
    <xf numFmtId="0" fontId="3" fillId="0" borderId="1" xfId="0" applyFont="1" applyBorder="1" applyAlignment="1">
      <alignment horizontal="justify"/>
    </xf>
    <xf numFmtId="0" fontId="3" fillId="0" borderId="0" xfId="0" applyFont="1" applyBorder="1" applyAlignment="1">
      <alignment horizontal="justify" vertical="center" wrapText="1"/>
    </xf>
    <xf numFmtId="41" fontId="3" fillId="0" borderId="1" xfId="6" applyNumberFormat="1" applyFont="1" applyBorder="1" applyAlignment="1">
      <alignment horizontal="right" vertical="center"/>
    </xf>
    <xf numFmtId="0" fontId="3" fillId="0" borderId="1" xfId="0" applyFont="1" applyFill="1" applyBorder="1" applyAlignment="1">
      <alignment horizontal="center" vertical="center"/>
    </xf>
    <xf numFmtId="41" fontId="3" fillId="0" borderId="1" xfId="0" applyNumberFormat="1" applyFont="1" applyBorder="1" applyAlignment="1">
      <alignment horizontal="center" vertical="center" wrapText="1"/>
    </xf>
    <xf numFmtId="0" fontId="3" fillId="0" borderId="0" xfId="0" applyFont="1" applyBorder="1"/>
    <xf numFmtId="41" fontId="3" fillId="0" borderId="1" xfId="6" applyNumberFormat="1" applyFont="1" applyFill="1" applyBorder="1" applyAlignment="1">
      <alignment horizontal="right" vertical="center"/>
    </xf>
    <xf numFmtId="0" fontId="14" fillId="0" borderId="1" xfId="14" applyFont="1" applyBorder="1" applyAlignment="1">
      <alignment horizontal="justify" vertical="center" wrapText="1"/>
    </xf>
    <xf numFmtId="0" fontId="13" fillId="0" borderId="13" xfId="0" applyFont="1" applyBorder="1" applyAlignment="1">
      <alignment horizontal="justify" vertical="center" wrapText="1"/>
    </xf>
    <xf numFmtId="41" fontId="3" fillId="0" borderId="19" xfId="0" applyNumberFormat="1" applyFont="1" applyFill="1" applyBorder="1" applyAlignment="1">
      <alignment vertical="center"/>
    </xf>
    <xf numFmtId="1" fontId="3" fillId="0" borderId="19" xfId="0" applyNumberFormat="1" applyFont="1" applyFill="1" applyBorder="1" applyAlignment="1">
      <alignment vertical="center" wrapText="1"/>
    </xf>
    <xf numFmtId="43" fontId="3" fillId="0" borderId="34" xfId="6" applyFont="1" applyFill="1" applyBorder="1" applyAlignment="1">
      <alignment horizontal="right" vertical="center"/>
    </xf>
    <xf numFmtId="1" fontId="3" fillId="0" borderId="34" xfId="0" applyNumberFormat="1" applyFont="1" applyBorder="1" applyAlignment="1">
      <alignment horizontal="center" vertical="center" wrapText="1"/>
    </xf>
    <xf numFmtId="1" fontId="3" fillId="0" borderId="34" xfId="0" applyNumberFormat="1" applyFont="1" applyBorder="1" applyAlignment="1">
      <alignment vertical="center" wrapText="1"/>
    </xf>
    <xf numFmtId="43" fontId="3" fillId="0" borderId="16" xfId="6" applyFont="1" applyFill="1" applyBorder="1" applyAlignment="1">
      <alignment horizontal="right" vertical="center"/>
    </xf>
    <xf numFmtId="43" fontId="3" fillId="0" borderId="15" xfId="6" applyFont="1" applyFill="1" applyBorder="1" applyAlignment="1">
      <alignment horizontal="right" vertical="center"/>
    </xf>
    <xf numFmtId="0" fontId="13" fillId="0" borderId="5" xfId="0" applyFont="1" applyBorder="1" applyAlignment="1">
      <alignment horizontal="justify" vertical="center" wrapText="1"/>
    </xf>
    <xf numFmtId="43" fontId="3" fillId="0" borderId="19" xfId="6" applyFont="1" applyFill="1" applyBorder="1" applyAlignment="1">
      <alignment vertical="center"/>
    </xf>
    <xf numFmtId="0" fontId="3" fillId="0" borderId="15" xfId="0" applyFont="1" applyBorder="1" applyAlignment="1">
      <alignment horizontal="justify"/>
    </xf>
    <xf numFmtId="0" fontId="13" fillId="0" borderId="1" xfId="12" applyFont="1" applyBorder="1" applyAlignment="1">
      <alignment horizontal="justify" vertical="center" wrapText="1"/>
    </xf>
    <xf numFmtId="4" fontId="3" fillId="0" borderId="16" xfId="6" applyNumberFormat="1" applyFont="1" applyFill="1" applyBorder="1" applyAlignment="1">
      <alignment horizontal="right" vertical="center"/>
    </xf>
    <xf numFmtId="4" fontId="3" fillId="0" borderId="15" xfId="6" applyNumberFormat="1" applyFont="1" applyFill="1" applyBorder="1" applyAlignment="1">
      <alignment horizontal="right" vertical="center"/>
    </xf>
    <xf numFmtId="4" fontId="3" fillId="0" borderId="1" xfId="6" applyNumberFormat="1" applyFont="1" applyFill="1" applyBorder="1" applyAlignment="1">
      <alignment horizontal="right" vertical="center"/>
    </xf>
    <xf numFmtId="4" fontId="3" fillId="0" borderId="13" xfId="6" applyNumberFormat="1" applyFont="1" applyFill="1" applyBorder="1" applyAlignment="1">
      <alignment horizontal="right" vertical="center"/>
    </xf>
    <xf numFmtId="0" fontId="14" fillId="0" borderId="13" xfId="12" applyFont="1" applyBorder="1" applyAlignment="1">
      <alignment horizontal="justify" vertical="center" wrapText="1"/>
    </xf>
    <xf numFmtId="0" fontId="13" fillId="0" borderId="13" xfId="12" applyFont="1" applyBorder="1" applyAlignment="1">
      <alignment horizontal="justify" vertical="center" wrapText="1"/>
    </xf>
    <xf numFmtId="0" fontId="13" fillId="0" borderId="3" xfId="12" applyFont="1" applyBorder="1" applyAlignment="1">
      <alignment horizontal="justify" vertical="center" wrapText="1"/>
    </xf>
    <xf numFmtId="1" fontId="3" fillId="0" borderId="9" xfId="0" applyNumberFormat="1" applyFont="1" applyBorder="1" applyAlignment="1">
      <alignment vertical="center" wrapText="1"/>
    </xf>
    <xf numFmtId="0" fontId="3" fillId="0" borderId="0" xfId="0" applyFont="1" applyBorder="1" applyAlignment="1">
      <alignment horizontal="justify"/>
    </xf>
    <xf numFmtId="0" fontId="3" fillId="0" borderId="18" xfId="0" applyFont="1" applyBorder="1" applyAlignment="1">
      <alignment horizontal="justify"/>
    </xf>
    <xf numFmtId="1" fontId="3" fillId="0" borderId="0" xfId="0" applyNumberFormat="1" applyFont="1" applyBorder="1" applyAlignment="1">
      <alignment vertical="center" wrapText="1"/>
    </xf>
    <xf numFmtId="0" fontId="3" fillId="0" borderId="52" xfId="0" applyFont="1" applyBorder="1" applyAlignment="1">
      <alignment horizontal="justify"/>
    </xf>
    <xf numFmtId="1" fontId="3" fillId="0" borderId="18" xfId="0" applyNumberFormat="1" applyFont="1" applyBorder="1" applyAlignment="1">
      <alignment vertical="center" wrapText="1"/>
    </xf>
    <xf numFmtId="43" fontId="3" fillId="0" borderId="17" xfId="6" applyFont="1" applyFill="1" applyBorder="1" applyAlignment="1">
      <alignment horizontal="right" vertical="center"/>
    </xf>
    <xf numFmtId="1" fontId="3" fillId="0" borderId="52" xfId="0" applyNumberFormat="1" applyFont="1" applyBorder="1" applyAlignment="1">
      <alignment horizontal="center" vertical="center" wrapText="1"/>
    </xf>
    <xf numFmtId="0" fontId="13" fillId="7" borderId="1" xfId="15" applyFont="1" applyFill="1" applyBorder="1" applyAlignment="1">
      <alignment horizontal="justify" vertical="center" wrapText="1"/>
    </xf>
    <xf numFmtId="0" fontId="13" fillId="0" borderId="13"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1" xfId="0" applyFont="1" applyBorder="1" applyAlignment="1">
      <alignment horizontal="justify" vertical="center" wrapText="1"/>
    </xf>
    <xf numFmtId="0" fontId="13" fillId="7" borderId="8" xfId="0" applyFont="1" applyFill="1" applyBorder="1" applyAlignment="1" applyProtection="1">
      <alignment horizontal="justify" vertical="center" wrapText="1"/>
      <protection locked="0"/>
    </xf>
    <xf numFmtId="1" fontId="13" fillId="0" borderId="1" xfId="0" applyNumberFormat="1" applyFont="1" applyBorder="1" applyAlignment="1">
      <alignment horizontal="center" vertical="center"/>
    </xf>
    <xf numFmtId="1" fontId="13" fillId="0" borderId="13" xfId="0" applyNumberFormat="1" applyFont="1" applyBorder="1" applyAlignment="1">
      <alignment horizontal="center" vertical="center"/>
    </xf>
    <xf numFmtId="0" fontId="3" fillId="0" borderId="29" xfId="0" applyFont="1" applyBorder="1" applyAlignment="1">
      <alignment horizontal="justify"/>
    </xf>
    <xf numFmtId="1" fontId="3" fillId="0" borderId="30" xfId="0" applyNumberFormat="1" applyFont="1" applyBorder="1" applyAlignment="1">
      <alignment horizontal="justify"/>
    </xf>
    <xf numFmtId="0" fontId="3" fillId="0" borderId="31" xfId="0" applyFont="1" applyBorder="1" applyAlignment="1">
      <alignment horizontal="justify"/>
    </xf>
    <xf numFmtId="0" fontId="3" fillId="0" borderId="31" xfId="0" applyFont="1" applyBorder="1" applyAlignment="1">
      <alignment horizontal="center" vertical="center"/>
    </xf>
    <xf numFmtId="0" fontId="3" fillId="7" borderId="31" xfId="0" applyFont="1" applyFill="1" applyBorder="1" applyAlignment="1">
      <alignment horizontal="justify" vertical="center"/>
    </xf>
    <xf numFmtId="0" fontId="3" fillId="7" borderId="31" xfId="0" applyFont="1" applyFill="1" applyBorder="1" applyAlignment="1">
      <alignment horizontal="justify"/>
    </xf>
    <xf numFmtId="0" fontId="6" fillId="7" borderId="31" xfId="0" applyFont="1" applyFill="1" applyBorder="1" applyAlignment="1">
      <alignment horizontal="center" vertical="center"/>
    </xf>
    <xf numFmtId="0" fontId="3" fillId="7" borderId="31" xfId="0" applyFont="1" applyFill="1" applyBorder="1" applyAlignment="1">
      <alignment horizontal="center"/>
    </xf>
    <xf numFmtId="170" fontId="3" fillId="7" borderId="32" xfId="0" applyNumberFormat="1" applyFont="1" applyFill="1" applyBorder="1" applyAlignment="1">
      <alignment horizontal="justify" vertical="center"/>
    </xf>
    <xf numFmtId="43" fontId="6" fillId="7" borderId="33" xfId="6" applyFont="1" applyFill="1" applyBorder="1" applyAlignment="1">
      <alignment horizontal="right" vertical="center"/>
    </xf>
    <xf numFmtId="0" fontId="3" fillId="7" borderId="30" xfId="0" applyFont="1" applyFill="1" applyBorder="1" applyAlignment="1">
      <alignment horizontal="justify" vertical="center"/>
    </xf>
    <xf numFmtId="0" fontId="3" fillId="7" borderId="32" xfId="0" applyFont="1" applyFill="1" applyBorder="1" applyAlignment="1">
      <alignment horizontal="justify" vertical="center"/>
    </xf>
    <xf numFmtId="1" fontId="3" fillId="7" borderId="30" xfId="0" applyNumberFormat="1" applyFont="1" applyFill="1" applyBorder="1" applyAlignment="1">
      <alignment horizontal="center" vertical="center"/>
    </xf>
    <xf numFmtId="0" fontId="3" fillId="7" borderId="31" xfId="0" applyFont="1" applyFill="1" applyBorder="1" applyAlignment="1">
      <alignment horizontal="center" vertical="center"/>
    </xf>
    <xf numFmtId="0" fontId="3" fillId="0" borderId="31" xfId="0" applyFont="1" applyBorder="1"/>
    <xf numFmtId="0" fontId="3" fillId="0" borderId="33" xfId="0" applyFont="1" applyBorder="1" applyAlignment="1">
      <alignment horizontal="center" vertical="center"/>
    </xf>
    <xf numFmtId="43" fontId="6" fillId="0" borderId="33" xfId="1" applyFont="1" applyBorder="1" applyAlignment="1">
      <alignment horizontal="center" vertical="center"/>
    </xf>
    <xf numFmtId="9" fontId="3" fillId="0" borderId="33" xfId="3" applyFont="1" applyBorder="1" applyAlignment="1">
      <alignment horizontal="center" vertical="center"/>
    </xf>
    <xf numFmtId="167" fontId="3" fillId="0" borderId="31" xfId="0" applyNumberFormat="1" applyFont="1" applyBorder="1" applyAlignment="1">
      <alignment horizontal="right" vertical="center"/>
    </xf>
    <xf numFmtId="167" fontId="3" fillId="0" borderId="31" xfId="0" applyNumberFormat="1" applyFont="1" applyBorder="1" applyAlignment="1">
      <alignment horizontal="center"/>
    </xf>
    <xf numFmtId="0" fontId="3" fillId="0" borderId="32" xfId="0" applyFont="1" applyBorder="1" applyAlignment="1">
      <alignment horizontal="justify" vertical="center"/>
    </xf>
    <xf numFmtId="1" fontId="3" fillId="0" borderId="0" xfId="0" applyNumberFormat="1" applyFont="1" applyAlignment="1">
      <alignment horizontal="justify"/>
    </xf>
    <xf numFmtId="0" fontId="6" fillId="0" borderId="0" xfId="0" applyFont="1" applyAlignment="1">
      <alignment horizontal="justify"/>
    </xf>
    <xf numFmtId="0" fontId="3" fillId="0" borderId="0" xfId="0" applyFont="1" applyAlignment="1">
      <alignment horizontal="center" vertical="center"/>
    </xf>
    <xf numFmtId="0" fontId="3" fillId="7" borderId="0" xfId="0" applyFont="1" applyFill="1" applyAlignment="1">
      <alignment horizontal="justify" vertical="center"/>
    </xf>
    <xf numFmtId="0" fontId="3" fillId="7" borderId="0" xfId="0" applyFont="1" applyFill="1" applyAlignment="1">
      <alignment horizontal="center"/>
    </xf>
    <xf numFmtId="170" fontId="3" fillId="7" borderId="0" xfId="0" applyNumberFormat="1" applyFont="1" applyFill="1" applyAlignment="1">
      <alignment horizontal="justify" vertical="center"/>
    </xf>
    <xf numFmtId="169" fontId="3" fillId="7" borderId="0" xfId="0" applyNumberFormat="1" applyFont="1" applyFill="1" applyAlignment="1">
      <alignment horizontal="center" vertical="center"/>
    </xf>
    <xf numFmtId="43" fontId="3" fillId="7" borderId="0" xfId="6" applyFont="1" applyFill="1" applyAlignment="1">
      <alignment horizontal="right" vertical="center"/>
    </xf>
    <xf numFmtId="1" fontId="3" fillId="7" borderId="0" xfId="0" applyNumberFormat="1" applyFont="1" applyFill="1" applyAlignment="1">
      <alignment horizontal="center" vertical="center"/>
    </xf>
    <xf numFmtId="0" fontId="3" fillId="7" borderId="0" xfId="0" applyFont="1" applyFill="1" applyAlignment="1">
      <alignment horizontal="center" vertical="center"/>
    </xf>
    <xf numFmtId="167" fontId="3" fillId="0" borderId="0" xfId="0" applyNumberFormat="1" applyFont="1" applyAlignment="1">
      <alignment horizontal="right" vertical="center"/>
    </xf>
    <xf numFmtId="0" fontId="3" fillId="0" borderId="0" xfId="0" applyFont="1" applyAlignment="1">
      <alignment horizontal="center"/>
    </xf>
    <xf numFmtId="170" fontId="3" fillId="0" borderId="0" xfId="0" applyNumberFormat="1" applyFont="1" applyAlignment="1">
      <alignment horizontal="center" vertical="center"/>
    </xf>
    <xf numFmtId="43" fontId="3" fillId="7" borderId="0" xfId="11" applyNumberFormat="1" applyFont="1" applyFill="1" applyAlignment="1">
      <alignment horizontal="right" vertical="center"/>
    </xf>
    <xf numFmtId="0" fontId="6" fillId="0" borderId="4" xfId="0" applyFont="1" applyBorder="1" applyAlignment="1">
      <alignment horizontal="center"/>
    </xf>
    <xf numFmtId="0" fontId="6" fillId="0" borderId="0" xfId="0" applyFont="1" applyAlignment="1">
      <alignment horizontal="center"/>
    </xf>
    <xf numFmtId="0" fontId="5" fillId="0" borderId="0" xfId="0" applyFont="1" applyAlignment="1">
      <alignment horizontal="center" vertical="center" wrapText="1"/>
    </xf>
    <xf numFmtId="0" fontId="5" fillId="0" borderId="6" xfId="0" applyFont="1" applyBorder="1"/>
    <xf numFmtId="0" fontId="5" fillId="0" borderId="2" xfId="0" applyFont="1" applyBorder="1" applyAlignment="1">
      <alignment horizontal="center" vertical="center" wrapText="1"/>
    </xf>
    <xf numFmtId="0" fontId="13" fillId="0" borderId="0" xfId="0" applyFont="1" applyAlignment="1">
      <alignment wrapText="1"/>
    </xf>
    <xf numFmtId="0" fontId="5" fillId="0" borderId="6" xfId="0" applyFont="1" applyBorder="1" applyAlignment="1">
      <alignment vertical="center"/>
    </xf>
    <xf numFmtId="0" fontId="5" fillId="0" borderId="0" xfId="0" applyFont="1" applyAlignment="1">
      <alignment horizontal="center" vertical="center"/>
    </xf>
    <xf numFmtId="0" fontId="15" fillId="4" borderId="7" xfId="0" applyFont="1" applyFill="1" applyBorder="1" applyAlignment="1">
      <alignment horizontal="center" vertical="center" wrapText="1"/>
    </xf>
    <xf numFmtId="0" fontId="15" fillId="4" borderId="7" xfId="0" applyFont="1" applyFill="1" applyBorder="1" applyAlignment="1">
      <alignment horizontal="center" vertical="center"/>
    </xf>
    <xf numFmtId="0" fontId="15" fillId="4" borderId="4" xfId="0" applyFont="1" applyFill="1" applyBorder="1" applyAlignment="1">
      <alignment horizontal="center" vertical="center" wrapText="1"/>
    </xf>
    <xf numFmtId="0" fontId="14" fillId="0" borderId="0" xfId="0" applyFont="1"/>
    <xf numFmtId="0" fontId="15" fillId="3" borderId="1" xfId="0" applyFont="1" applyFill="1" applyBorder="1" applyAlignment="1">
      <alignment horizontal="center" vertical="center" wrapText="1"/>
    </xf>
    <xf numFmtId="3" fontId="5" fillId="3" borderId="63" xfId="0" applyNumberFormat="1" applyFont="1" applyFill="1" applyBorder="1" applyAlignment="1">
      <alignment horizontal="center" vertical="center" wrapText="1"/>
    </xf>
    <xf numFmtId="0" fontId="5" fillId="6" borderId="65" xfId="16" applyFont="1" applyFill="1" applyBorder="1" applyAlignment="1">
      <alignment horizontal="center" vertical="center" wrapText="1"/>
    </xf>
    <xf numFmtId="0" fontId="5" fillId="6" borderId="7" xfId="16" applyFont="1" applyFill="1" applyBorder="1" applyAlignment="1">
      <alignment vertical="center"/>
    </xf>
    <xf numFmtId="0" fontId="5" fillId="6" borderId="7" xfId="16" applyFont="1" applyFill="1" applyBorder="1" applyAlignment="1">
      <alignment horizontal="justify" vertical="center"/>
    </xf>
    <xf numFmtId="0" fontId="5" fillId="6" borderId="7" xfId="16" applyFont="1" applyFill="1" applyBorder="1" applyAlignment="1">
      <alignment horizontal="center" vertical="center"/>
    </xf>
    <xf numFmtId="0" fontId="13" fillId="6" borderId="7" xfId="16" applyFont="1" applyFill="1" applyBorder="1" applyAlignment="1">
      <alignment vertical="center"/>
    </xf>
    <xf numFmtId="0" fontId="5" fillId="6" borderId="7" xfId="6" applyNumberFormat="1" applyFont="1" applyFill="1" applyBorder="1" applyAlignment="1">
      <alignment vertical="center"/>
    </xf>
    <xf numFmtId="168" fontId="5" fillId="6" borderId="7" xfId="6" applyNumberFormat="1" applyFont="1" applyFill="1" applyBorder="1" applyAlignment="1">
      <alignment vertical="center"/>
    </xf>
    <xf numFmtId="0" fontId="5" fillId="6" borderId="7" xfId="6" applyNumberFormat="1" applyFont="1" applyFill="1" applyBorder="1" applyAlignment="1">
      <alignment horizontal="center" vertical="center"/>
    </xf>
    <xf numFmtId="0" fontId="5" fillId="6" borderId="66" xfId="16" applyFont="1" applyFill="1" applyBorder="1" applyAlignment="1">
      <alignment vertical="center"/>
    </xf>
    <xf numFmtId="0" fontId="13" fillId="0" borderId="0" xfId="16" applyFont="1"/>
    <xf numFmtId="0" fontId="5" fillId="8" borderId="4" xfId="16" applyFont="1" applyFill="1" applyBorder="1" applyAlignment="1">
      <alignment horizontal="center" vertical="center"/>
    </xf>
    <xf numFmtId="0" fontId="5" fillId="8" borderId="4" xfId="16" applyFont="1" applyFill="1" applyBorder="1" applyAlignment="1">
      <alignment vertical="center"/>
    </xf>
    <xf numFmtId="0" fontId="5" fillId="8" borderId="7" xfId="16" applyFont="1" applyFill="1" applyBorder="1" applyAlignment="1">
      <alignment vertical="center"/>
    </xf>
    <xf numFmtId="0" fontId="5" fillId="8" borderId="7" xfId="16" applyFont="1" applyFill="1" applyBorder="1" applyAlignment="1">
      <alignment horizontal="justify" vertical="center"/>
    </xf>
    <xf numFmtId="0" fontId="5" fillId="8" borderId="7" xfId="16" applyFont="1" applyFill="1" applyBorder="1" applyAlignment="1">
      <alignment horizontal="center" vertical="center"/>
    </xf>
    <xf numFmtId="0" fontId="13" fillId="8" borderId="7" xfId="16" applyFont="1" applyFill="1" applyBorder="1" applyAlignment="1">
      <alignment vertical="center"/>
    </xf>
    <xf numFmtId="0" fontId="5" fillId="8" borderId="7" xfId="6" applyNumberFormat="1" applyFont="1" applyFill="1" applyBorder="1" applyAlignment="1">
      <alignment vertical="center"/>
    </xf>
    <xf numFmtId="168" fontId="5" fillId="8" borderId="7" xfId="6" applyNumberFormat="1" applyFont="1" applyFill="1" applyBorder="1" applyAlignment="1">
      <alignment vertical="center"/>
    </xf>
    <xf numFmtId="0" fontId="5" fillId="8" borderId="7" xfId="6" applyNumberFormat="1" applyFont="1" applyFill="1" applyBorder="1" applyAlignment="1">
      <alignment horizontal="center" vertical="center"/>
    </xf>
    <xf numFmtId="0" fontId="5" fillId="8" borderId="66" xfId="16" applyFont="1" applyFill="1" applyBorder="1" applyAlignment="1">
      <alignment vertical="center"/>
    </xf>
    <xf numFmtId="0" fontId="5" fillId="0" borderId="59" xfId="16" applyFont="1" applyBorder="1" applyAlignment="1">
      <alignment vertical="center" wrapText="1"/>
    </xf>
    <xf numFmtId="0" fontId="5" fillId="0" borderId="0" xfId="16" applyFont="1" applyAlignment="1">
      <alignment vertical="center" wrapText="1"/>
    </xf>
    <xf numFmtId="0" fontId="5" fillId="0" borderId="18" xfId="16" applyFont="1" applyBorder="1" applyAlignment="1">
      <alignment vertical="center" wrapText="1"/>
    </xf>
    <xf numFmtId="0" fontId="5" fillId="0" borderId="4" xfId="16" applyFont="1" applyBorder="1" applyAlignment="1">
      <alignment vertical="center" wrapText="1"/>
    </xf>
    <xf numFmtId="0" fontId="5" fillId="0" borderId="9" xfId="16" applyFont="1" applyBorder="1" applyAlignment="1">
      <alignment vertical="center" wrapText="1"/>
    </xf>
    <xf numFmtId="0" fontId="5" fillId="17" borderId="7" xfId="16" applyFont="1" applyFill="1" applyBorder="1" applyAlignment="1">
      <alignment horizontal="center" vertical="center" wrapText="1"/>
    </xf>
    <xf numFmtId="0" fontId="5" fillId="17" borderId="7" xfId="16" applyFont="1" applyFill="1" applyBorder="1" applyAlignment="1">
      <alignment vertical="center"/>
    </xf>
    <xf numFmtId="0" fontId="5" fillId="17" borderId="7" xfId="16" applyFont="1" applyFill="1" applyBorder="1" applyAlignment="1">
      <alignment horizontal="justify" vertical="center"/>
    </xf>
    <xf numFmtId="0" fontId="5" fillId="17" borderId="7" xfId="16" applyFont="1" applyFill="1" applyBorder="1" applyAlignment="1">
      <alignment horizontal="center" vertical="center"/>
    </xf>
    <xf numFmtId="0" fontId="13" fillId="17" borderId="7" xfId="16" applyFont="1" applyFill="1" applyBorder="1" applyAlignment="1">
      <alignment vertical="center"/>
    </xf>
    <xf numFmtId="0" fontId="5" fillId="17" borderId="7" xfId="6" applyNumberFormat="1" applyFont="1" applyFill="1" applyBorder="1" applyAlignment="1">
      <alignment vertical="center"/>
    </xf>
    <xf numFmtId="168" fontId="5" fillId="17" borderId="7" xfId="6" applyNumberFormat="1" applyFont="1" applyFill="1" applyBorder="1" applyAlignment="1">
      <alignment vertical="center"/>
    </xf>
    <xf numFmtId="0" fontId="5" fillId="17" borderId="7" xfId="6" applyNumberFormat="1" applyFont="1" applyFill="1" applyBorder="1" applyAlignment="1">
      <alignment horizontal="center" vertical="center"/>
    </xf>
    <xf numFmtId="0" fontId="5" fillId="17" borderId="66" xfId="16" applyFont="1" applyFill="1" applyBorder="1" applyAlignment="1">
      <alignment vertical="center"/>
    </xf>
    <xf numFmtId="0" fontId="13" fillId="7" borderId="59" xfId="16" applyFont="1" applyFill="1" applyBorder="1" applyAlignment="1">
      <alignment vertical="center" wrapText="1"/>
    </xf>
    <xf numFmtId="0" fontId="13" fillId="7" borderId="0" xfId="16" applyFont="1" applyFill="1" applyAlignment="1">
      <alignment vertical="center" wrapText="1"/>
    </xf>
    <xf numFmtId="0" fontId="13" fillId="7" borderId="18" xfId="16" applyFont="1" applyFill="1" applyBorder="1" applyAlignment="1">
      <alignment vertical="center" wrapText="1"/>
    </xf>
    <xf numFmtId="0" fontId="13" fillId="7" borderId="3" xfId="16" applyFont="1" applyFill="1" applyBorder="1" applyAlignment="1">
      <alignment vertical="center" wrapText="1"/>
    </xf>
    <xf numFmtId="0" fontId="13" fillId="7" borderId="4" xfId="16" applyFont="1" applyFill="1" applyBorder="1" applyAlignment="1">
      <alignment vertical="center" wrapText="1"/>
    </xf>
    <xf numFmtId="0" fontId="13" fillId="7" borderId="9" xfId="16" applyFont="1" applyFill="1" applyBorder="1" applyAlignment="1">
      <alignment vertical="center" wrapText="1"/>
    </xf>
    <xf numFmtId="1" fontId="13" fillId="7" borderId="1" xfId="16" applyNumberFormat="1" applyFont="1" applyFill="1" applyBorder="1" applyAlignment="1">
      <alignment horizontal="center" vertical="center" wrapText="1"/>
    </xf>
    <xf numFmtId="0" fontId="13" fillId="7" borderId="0" xfId="16" applyFont="1" applyFill="1"/>
    <xf numFmtId="0" fontId="13" fillId="7" borderId="17" xfId="16" applyFont="1" applyFill="1" applyBorder="1" applyAlignment="1">
      <alignment vertical="center" wrapText="1"/>
    </xf>
    <xf numFmtId="49" fontId="13" fillId="7" borderId="1" xfId="17" applyNumberFormat="1" applyFont="1" applyFill="1" applyBorder="1" applyAlignment="1">
      <alignment horizontal="justify" vertical="center" wrapText="1"/>
    </xf>
    <xf numFmtId="0" fontId="13" fillId="7" borderId="2" xfId="16" applyFont="1" applyFill="1" applyBorder="1" applyAlignment="1">
      <alignment vertical="center" wrapText="1"/>
    </xf>
    <xf numFmtId="0" fontId="13" fillId="7" borderId="14" xfId="16" applyFont="1" applyFill="1" applyBorder="1" applyAlignment="1">
      <alignment vertical="center" wrapText="1"/>
    </xf>
    <xf numFmtId="0" fontId="13" fillId="7" borderId="5" xfId="16" applyFont="1" applyFill="1" applyBorder="1" applyAlignment="1">
      <alignment vertical="center" wrapText="1"/>
    </xf>
    <xf numFmtId="0" fontId="13" fillId="0" borderId="18" xfId="16" applyFont="1" applyBorder="1"/>
    <xf numFmtId="0" fontId="5" fillId="8" borderId="7" xfId="16" applyFont="1" applyFill="1" applyBorder="1" applyAlignment="1">
      <alignment horizontal="justify" vertical="center" wrapText="1"/>
    </xf>
    <xf numFmtId="0" fontId="5" fillId="8" borderId="8" xfId="16" applyFont="1" applyFill="1" applyBorder="1" applyAlignment="1">
      <alignment vertical="center"/>
    </xf>
    <xf numFmtId="0" fontId="5" fillId="8" borderId="6" xfId="16" applyFont="1" applyFill="1" applyBorder="1" applyAlignment="1">
      <alignment vertical="center"/>
    </xf>
    <xf numFmtId="0" fontId="17" fillId="8" borderId="7" xfId="16" applyFont="1" applyFill="1" applyBorder="1" applyAlignment="1">
      <alignment vertical="center"/>
    </xf>
    <xf numFmtId="43" fontId="5" fillId="8" borderId="7" xfId="6" applyFont="1" applyFill="1" applyBorder="1" applyAlignment="1">
      <alignment horizontal="center" vertical="center"/>
    </xf>
    <xf numFmtId="1" fontId="5" fillId="8" borderId="7" xfId="16" applyNumberFormat="1" applyFont="1" applyFill="1" applyBorder="1" applyAlignment="1">
      <alignment horizontal="center" vertical="center"/>
    </xf>
    <xf numFmtId="0" fontId="5" fillId="17" borderId="7" xfId="16" applyFont="1" applyFill="1" applyBorder="1" applyAlignment="1">
      <alignment horizontal="justify" vertical="center" wrapText="1"/>
    </xf>
    <xf numFmtId="0" fontId="17" fillId="17" borderId="7" xfId="16" applyFont="1" applyFill="1" applyBorder="1" applyAlignment="1">
      <alignment vertical="center"/>
    </xf>
    <xf numFmtId="43" fontId="5" fillId="17" borderId="7" xfId="6" applyFont="1" applyFill="1" applyBorder="1" applyAlignment="1">
      <alignment horizontal="center" vertical="center"/>
    </xf>
    <xf numFmtId="1" fontId="5" fillId="17" borderId="7" xfId="16" applyNumberFormat="1" applyFont="1" applyFill="1" applyBorder="1" applyAlignment="1">
      <alignment horizontal="center" vertical="center"/>
    </xf>
    <xf numFmtId="0" fontId="5" fillId="7" borderId="59" xfId="16" applyFont="1" applyFill="1" applyBorder="1" applyAlignment="1">
      <alignment vertical="center" wrapText="1"/>
    </xf>
    <xf numFmtId="0" fontId="5" fillId="7" borderId="0" xfId="16" applyFont="1" applyFill="1" applyAlignment="1">
      <alignment vertical="center" wrapText="1"/>
    </xf>
    <xf numFmtId="0" fontId="5" fillId="7" borderId="18" xfId="16" applyFont="1" applyFill="1" applyBorder="1" applyAlignment="1">
      <alignment vertical="center" wrapText="1"/>
    </xf>
    <xf numFmtId="0" fontId="5" fillId="7" borderId="3" xfId="16" applyFont="1" applyFill="1" applyBorder="1" applyAlignment="1">
      <alignment vertical="center" wrapText="1"/>
    </xf>
    <xf numFmtId="0" fontId="5" fillId="7" borderId="4" xfId="16" applyFont="1" applyFill="1" applyBorder="1" applyAlignment="1">
      <alignment vertical="center" wrapText="1"/>
    </xf>
    <xf numFmtId="0" fontId="5" fillId="7" borderId="9" xfId="16" applyFont="1" applyFill="1" applyBorder="1" applyAlignment="1">
      <alignment vertical="center" wrapText="1"/>
    </xf>
    <xf numFmtId="0" fontId="5" fillId="7" borderId="17" xfId="16" applyFont="1" applyFill="1" applyBorder="1" applyAlignment="1">
      <alignment vertical="center" wrapText="1"/>
    </xf>
    <xf numFmtId="0" fontId="5" fillId="7" borderId="5" xfId="16" applyFont="1" applyFill="1" applyBorder="1" applyAlignment="1">
      <alignment vertical="center" wrapText="1"/>
    </xf>
    <xf numFmtId="0" fontId="5" fillId="7" borderId="2" xfId="16" applyFont="1" applyFill="1" applyBorder="1" applyAlignment="1">
      <alignment vertical="center" wrapText="1"/>
    </xf>
    <xf numFmtId="0" fontId="5" fillId="7" borderId="14" xfId="16" applyFont="1" applyFill="1" applyBorder="1" applyAlignment="1">
      <alignment vertical="center" wrapText="1"/>
    </xf>
    <xf numFmtId="0" fontId="13" fillId="7" borderId="1" xfId="16" applyFont="1" applyFill="1" applyBorder="1" applyAlignment="1">
      <alignment horizontal="justify" vertical="center" wrapText="1"/>
    </xf>
    <xf numFmtId="49" fontId="13" fillId="7" borderId="1" xfId="17" applyNumberFormat="1" applyFont="1" applyFill="1" applyBorder="1" applyAlignment="1">
      <alignment horizontal="justify" vertical="top" wrapText="1"/>
    </xf>
    <xf numFmtId="0" fontId="13" fillId="18" borderId="0" xfId="16" applyFont="1" applyFill="1"/>
    <xf numFmtId="0" fontId="13" fillId="7" borderId="13" xfId="16" applyFont="1" applyFill="1" applyBorder="1" applyAlignment="1">
      <alignment vertical="center" wrapText="1"/>
    </xf>
    <xf numFmtId="1" fontId="13" fillId="0" borderId="1" xfId="16" applyNumberFormat="1" applyFont="1" applyBorder="1" applyAlignment="1">
      <alignment horizontal="center" vertical="center" wrapText="1"/>
    </xf>
    <xf numFmtId="0" fontId="13" fillId="0" borderId="13" xfId="16" applyFont="1" applyBorder="1" applyAlignment="1">
      <alignment vertical="center" wrapText="1"/>
    </xf>
    <xf numFmtId="0" fontId="5" fillId="17" borderId="4" xfId="16" applyFont="1" applyFill="1" applyBorder="1" applyAlignment="1">
      <alignment horizontal="center" vertical="center"/>
    </xf>
    <xf numFmtId="0" fontId="13" fillId="7" borderId="16" xfId="16" applyFont="1" applyFill="1" applyBorder="1" applyAlignment="1">
      <alignment horizontal="justify" vertical="center" wrapText="1"/>
    </xf>
    <xf numFmtId="1" fontId="13" fillId="7" borderId="6" xfId="16" applyNumberFormat="1" applyFont="1" applyFill="1" applyBorder="1" applyAlignment="1">
      <alignment horizontal="center" vertical="center" wrapText="1"/>
    </xf>
    <xf numFmtId="0" fontId="13" fillId="0" borderId="59" xfId="16" applyFont="1" applyBorder="1" applyAlignment="1">
      <alignment vertical="center" wrapText="1"/>
    </xf>
    <xf numFmtId="0" fontId="13" fillId="0" borderId="0" xfId="16" applyFont="1" applyAlignment="1">
      <alignment vertical="center" wrapText="1"/>
    </xf>
    <xf numFmtId="0" fontId="13" fillId="0" borderId="18" xfId="16" applyFont="1" applyBorder="1" applyAlignment="1">
      <alignment vertical="center" wrapText="1"/>
    </xf>
    <xf numFmtId="0" fontId="13" fillId="0" borderId="17" xfId="16" applyFont="1" applyBorder="1" applyAlignment="1">
      <alignment vertical="center" wrapText="1"/>
    </xf>
    <xf numFmtId="0" fontId="13" fillId="0" borderId="1" xfId="16" applyFont="1" applyBorder="1" applyAlignment="1">
      <alignment horizontal="center" vertical="center"/>
    </xf>
    <xf numFmtId="0" fontId="13" fillId="0" borderId="16" xfId="16" applyFont="1" applyBorder="1" applyAlignment="1">
      <alignment horizontal="center" vertical="center" wrapText="1"/>
    </xf>
    <xf numFmtId="1" fontId="13" fillId="0" borderId="13" xfId="16" applyNumberFormat="1" applyFont="1" applyBorder="1" applyAlignment="1">
      <alignment horizontal="center" vertical="center" wrapText="1"/>
    </xf>
    <xf numFmtId="0" fontId="13" fillId="0" borderId="13" xfId="16" applyFont="1" applyBorder="1" applyAlignment="1">
      <alignment horizontal="center" vertical="center" wrapText="1"/>
    </xf>
    <xf numFmtId="0" fontId="13" fillId="0" borderId="21" xfId="16" applyFont="1" applyBorder="1" applyAlignment="1">
      <alignment horizontal="center" vertical="center"/>
    </xf>
    <xf numFmtId="0" fontId="13" fillId="0" borderId="21" xfId="16" applyFont="1" applyBorder="1" applyAlignment="1">
      <alignment horizontal="center" vertical="center" wrapText="1"/>
    </xf>
    <xf numFmtId="1" fontId="13" fillId="0" borderId="19" xfId="16" applyNumberFormat="1" applyFont="1" applyBorder="1" applyAlignment="1">
      <alignment horizontal="center" vertical="center" wrapText="1"/>
    </xf>
    <xf numFmtId="0" fontId="13" fillId="0" borderId="19" xfId="16" applyFont="1" applyBorder="1" applyAlignment="1">
      <alignment horizontal="center" vertical="center" wrapText="1"/>
    </xf>
    <xf numFmtId="1" fontId="13" fillId="0" borderId="16" xfId="16" applyNumberFormat="1" applyFont="1" applyBorder="1" applyAlignment="1">
      <alignment horizontal="center" vertical="center" wrapText="1"/>
    </xf>
    <xf numFmtId="0" fontId="13" fillId="0" borderId="1" xfId="16" applyFont="1" applyBorder="1" applyAlignment="1">
      <alignment horizontal="center" vertical="center" wrapText="1"/>
    </xf>
    <xf numFmtId="1" fontId="13" fillId="0" borderId="15" xfId="16" applyNumberFormat="1" applyFont="1" applyBorder="1" applyAlignment="1">
      <alignment horizontal="center" vertical="center" wrapText="1"/>
    </xf>
    <xf numFmtId="0" fontId="13" fillId="0" borderId="15" xfId="16" applyFont="1" applyBorder="1" applyAlignment="1">
      <alignment horizontal="center" vertical="center" wrapText="1"/>
    </xf>
    <xf numFmtId="1" fontId="13" fillId="0" borderId="9" xfId="16" applyNumberFormat="1" applyFont="1" applyBorder="1" applyAlignment="1">
      <alignment horizontal="center" vertical="center" wrapText="1"/>
    </xf>
    <xf numFmtId="1" fontId="13" fillId="0" borderId="23" xfId="16" applyNumberFormat="1" applyFont="1" applyBorder="1" applyAlignment="1">
      <alignment horizontal="center" vertical="center" wrapText="1"/>
    </xf>
    <xf numFmtId="0" fontId="13" fillId="0" borderId="9" xfId="16" applyFont="1" applyBorder="1" applyAlignment="1">
      <alignment horizontal="center" vertical="center" wrapText="1"/>
    </xf>
    <xf numFmtId="0" fontId="13" fillId="0" borderId="18" xfId="16" applyFont="1" applyBorder="1" applyAlignment="1">
      <alignment horizontal="center" vertical="center" wrapText="1"/>
    </xf>
    <xf numFmtId="49" fontId="13" fillId="7" borderId="6" xfId="17" applyNumberFormat="1" applyFont="1" applyFill="1" applyBorder="1" applyAlignment="1">
      <alignment horizontal="justify" vertical="center" wrapText="1"/>
    </xf>
    <xf numFmtId="0" fontId="13" fillId="0" borderId="5" xfId="16" applyFont="1" applyBorder="1" applyAlignment="1">
      <alignment vertical="center" wrapText="1"/>
    </xf>
    <xf numFmtId="0" fontId="13" fillId="0" borderId="2" xfId="16" applyFont="1" applyBorder="1" applyAlignment="1">
      <alignment vertical="center" wrapText="1"/>
    </xf>
    <xf numFmtId="0" fontId="13" fillId="0" borderId="14" xfId="16" applyFont="1" applyBorder="1" applyAlignment="1">
      <alignment vertical="center" wrapText="1"/>
    </xf>
    <xf numFmtId="0" fontId="13" fillId="0" borderId="14" xfId="16" applyFont="1" applyBorder="1" applyAlignment="1">
      <alignment horizontal="center" vertical="center" wrapText="1"/>
    </xf>
    <xf numFmtId="1" fontId="5" fillId="17" borderId="2" xfId="16" applyNumberFormat="1" applyFont="1" applyFill="1" applyBorder="1" applyAlignment="1">
      <alignment horizontal="center" vertical="center"/>
    </xf>
    <xf numFmtId="1" fontId="13" fillId="7" borderId="8" xfId="16" applyNumberFormat="1" applyFont="1" applyFill="1" applyBorder="1" applyAlignment="1">
      <alignment horizontal="center" vertical="center" wrapText="1"/>
    </xf>
    <xf numFmtId="0" fontId="13" fillId="7" borderId="13" xfId="16" applyFont="1" applyFill="1" applyBorder="1" applyAlignment="1">
      <alignment horizontal="center" vertical="center" wrapText="1"/>
    </xf>
    <xf numFmtId="166" fontId="13" fillId="7" borderId="13" xfId="16" applyNumberFormat="1" applyFont="1" applyFill="1" applyBorder="1" applyAlignment="1">
      <alignment horizontal="center" vertical="center" wrapText="1"/>
    </xf>
    <xf numFmtId="166" fontId="13" fillId="7" borderId="3" xfId="16" applyNumberFormat="1" applyFont="1" applyFill="1" applyBorder="1" applyAlignment="1">
      <alignment horizontal="center" vertical="center" wrapText="1"/>
    </xf>
    <xf numFmtId="1" fontId="13" fillId="0" borderId="8" xfId="16" applyNumberFormat="1" applyFont="1" applyBorder="1" applyAlignment="1">
      <alignment horizontal="center" vertical="center" wrapText="1"/>
    </xf>
    <xf numFmtId="166" fontId="13" fillId="7" borderId="15" xfId="16" applyNumberFormat="1" applyFont="1" applyFill="1" applyBorder="1" applyAlignment="1">
      <alignment horizontal="center" vertical="center" wrapText="1"/>
    </xf>
    <xf numFmtId="166" fontId="13" fillId="7" borderId="17" xfId="16" applyNumberFormat="1" applyFont="1" applyFill="1" applyBorder="1" applyAlignment="1">
      <alignment horizontal="center" vertical="center" wrapText="1"/>
    </xf>
    <xf numFmtId="166" fontId="13" fillId="7" borderId="16" xfId="16" applyNumberFormat="1" applyFont="1" applyFill="1" applyBorder="1" applyAlignment="1">
      <alignment horizontal="center" vertical="center" wrapText="1"/>
    </xf>
    <xf numFmtId="166" fontId="13" fillId="7" borderId="5" xfId="16" applyNumberFormat="1" applyFont="1" applyFill="1" applyBorder="1" applyAlignment="1">
      <alignment horizontal="center" vertical="center" wrapText="1"/>
    </xf>
    <xf numFmtId="9" fontId="5" fillId="17" borderId="7" xfId="3" applyFont="1" applyFill="1" applyBorder="1" applyAlignment="1">
      <alignment horizontal="center" vertical="center"/>
    </xf>
    <xf numFmtId="1" fontId="5" fillId="17" borderId="4" xfId="16" applyNumberFormat="1" applyFont="1" applyFill="1" applyBorder="1" applyAlignment="1">
      <alignment horizontal="center" vertical="center"/>
    </xf>
    <xf numFmtId="1" fontId="13" fillId="7" borderId="68" xfId="16" applyNumberFormat="1" applyFont="1" applyFill="1" applyBorder="1" applyAlignment="1">
      <alignment horizontal="center" vertical="center" wrapText="1"/>
    </xf>
    <xf numFmtId="0" fontId="13" fillId="7" borderId="19" xfId="16" applyFont="1" applyFill="1" applyBorder="1" applyAlignment="1">
      <alignment horizontal="center" vertical="center" wrapText="1"/>
    </xf>
    <xf numFmtId="0" fontId="13" fillId="7" borderId="15" xfId="16" applyFont="1" applyFill="1" applyBorder="1" applyAlignment="1">
      <alignment horizontal="center" vertical="center" wrapText="1"/>
    </xf>
    <xf numFmtId="0" fontId="13" fillId="7" borderId="21" xfId="16" applyFont="1" applyFill="1" applyBorder="1" applyAlignment="1">
      <alignment horizontal="center" vertical="center" wrapText="1"/>
    </xf>
    <xf numFmtId="0" fontId="13" fillId="7" borderId="18" xfId="16" applyFont="1" applyFill="1" applyBorder="1" applyAlignment="1">
      <alignment horizontal="center" vertical="center" wrapText="1"/>
    </xf>
    <xf numFmtId="1" fontId="13" fillId="7" borderId="5" xfId="16" applyNumberFormat="1" applyFont="1" applyFill="1" applyBorder="1" applyAlignment="1">
      <alignment horizontal="center" vertical="center" wrapText="1"/>
    </xf>
    <xf numFmtId="49" fontId="13" fillId="0" borderId="1" xfId="17" applyNumberFormat="1" applyFont="1" applyBorder="1" applyAlignment="1">
      <alignment horizontal="justify" vertical="center" wrapText="1"/>
    </xf>
    <xf numFmtId="0" fontId="13" fillId="7" borderId="16" xfId="16" applyFont="1" applyFill="1" applyBorder="1" applyAlignment="1">
      <alignment horizontal="center" vertical="center" wrapText="1"/>
    </xf>
    <xf numFmtId="0" fontId="13" fillId="7" borderId="18" xfId="16" applyFont="1" applyFill="1" applyBorder="1" applyAlignment="1">
      <alignment horizontal="center" wrapText="1"/>
    </xf>
    <xf numFmtId="0" fontId="13" fillId="7" borderId="0" xfId="16" applyFont="1" applyFill="1" applyAlignment="1">
      <alignment horizontal="center"/>
    </xf>
    <xf numFmtId="0" fontId="13" fillId="7" borderId="14" xfId="16" applyFont="1" applyFill="1" applyBorder="1" applyAlignment="1">
      <alignment horizontal="center" vertical="center" wrapText="1"/>
    </xf>
    <xf numFmtId="0" fontId="13" fillId="7" borderId="1" xfId="16" applyFont="1" applyFill="1" applyBorder="1" applyAlignment="1">
      <alignment horizontal="center" vertical="center" wrapText="1"/>
    </xf>
    <xf numFmtId="9" fontId="13" fillId="7" borderId="1" xfId="7" applyFont="1" applyFill="1" applyBorder="1" applyAlignment="1">
      <alignment horizontal="center" vertical="center" wrapText="1"/>
    </xf>
    <xf numFmtId="0" fontId="13" fillId="7" borderId="1" xfId="16" applyFont="1" applyFill="1" applyBorder="1" applyAlignment="1">
      <alignment horizontal="left" vertical="center" wrapText="1"/>
    </xf>
    <xf numFmtId="0" fontId="13" fillId="0" borderId="1" xfId="16" applyFont="1" applyBorder="1" applyAlignment="1">
      <alignment vertical="center" wrapText="1"/>
    </xf>
    <xf numFmtId="0" fontId="13" fillId="7" borderId="19" xfId="16" applyFont="1" applyFill="1" applyBorder="1" applyAlignment="1">
      <alignment vertical="center" wrapText="1"/>
    </xf>
    <xf numFmtId="0" fontId="5" fillId="8" borderId="0" xfId="16" applyFont="1" applyFill="1" applyAlignment="1">
      <alignment horizontal="justify" vertical="center" wrapText="1"/>
    </xf>
    <xf numFmtId="0" fontId="5" fillId="8" borderId="0" xfId="16" applyFont="1" applyFill="1" applyAlignment="1">
      <alignment vertical="center"/>
    </xf>
    <xf numFmtId="0" fontId="5" fillId="8" borderId="2" xfId="16" applyFont="1" applyFill="1" applyBorder="1" applyAlignment="1">
      <alignment vertical="center"/>
    </xf>
    <xf numFmtId="0" fontId="5" fillId="8" borderId="2" xfId="16" applyFont="1" applyFill="1" applyBorder="1" applyAlignment="1">
      <alignment horizontal="justify" vertical="center"/>
    </xf>
    <xf numFmtId="0" fontId="5" fillId="8" borderId="2" xfId="16" applyFont="1" applyFill="1" applyBorder="1" applyAlignment="1">
      <alignment horizontal="center" vertical="center"/>
    </xf>
    <xf numFmtId="0" fontId="17" fillId="8" borderId="2" xfId="16" applyFont="1" applyFill="1" applyBorder="1" applyAlignment="1">
      <alignment vertical="center"/>
    </xf>
    <xf numFmtId="43" fontId="5" fillId="8" borderId="2" xfId="6" applyFont="1" applyFill="1" applyBorder="1" applyAlignment="1">
      <alignment horizontal="center" vertical="center"/>
    </xf>
    <xf numFmtId="1" fontId="5" fillId="8" borderId="2" xfId="16" applyNumberFormat="1" applyFont="1" applyFill="1" applyBorder="1" applyAlignment="1">
      <alignment horizontal="center" vertical="center"/>
    </xf>
    <xf numFmtId="0" fontId="5" fillId="8" borderId="1" xfId="16" applyFont="1" applyFill="1" applyBorder="1" applyAlignment="1">
      <alignment horizontal="center" vertical="center"/>
    </xf>
    <xf numFmtId="9" fontId="5" fillId="8" borderId="2" xfId="3" applyFont="1" applyFill="1" applyBorder="1" applyAlignment="1">
      <alignment horizontal="center" vertical="center"/>
    </xf>
    <xf numFmtId="0" fontId="5" fillId="8" borderId="70" xfId="16" applyFont="1" applyFill="1" applyBorder="1" applyAlignment="1">
      <alignment vertical="center"/>
    </xf>
    <xf numFmtId="0" fontId="13" fillId="7" borderId="1" xfId="16" quotePrefix="1" applyFont="1" applyFill="1" applyBorder="1" applyAlignment="1">
      <alignment horizontal="justify" vertical="center" wrapText="1"/>
    </xf>
    <xf numFmtId="1" fontId="13" fillId="7" borderId="1" xfId="16" quotePrefix="1" applyNumberFormat="1" applyFont="1" applyFill="1" applyBorder="1" applyAlignment="1">
      <alignment vertical="center" wrapText="1"/>
    </xf>
    <xf numFmtId="0" fontId="13" fillId="7" borderId="1" xfId="16" applyFont="1" applyFill="1" applyBorder="1" applyAlignment="1">
      <alignment vertical="center" wrapText="1"/>
    </xf>
    <xf numFmtId="0" fontId="5" fillId="17" borderId="19" xfId="16" applyFont="1" applyFill="1" applyBorder="1" applyAlignment="1">
      <alignment horizontal="justify" vertical="center" wrapText="1"/>
    </xf>
    <xf numFmtId="0" fontId="5" fillId="17" borderId="19" xfId="16" applyFont="1" applyFill="1" applyBorder="1" applyAlignment="1">
      <alignment vertical="center"/>
    </xf>
    <xf numFmtId="0" fontId="5" fillId="17" borderId="4" xfId="16" applyFont="1" applyFill="1" applyBorder="1" applyAlignment="1">
      <alignment vertical="center"/>
    </xf>
    <xf numFmtId="0" fontId="5" fillId="17" borderId="4" xfId="16" applyFont="1" applyFill="1" applyBorder="1" applyAlignment="1">
      <alignment horizontal="justify" vertical="center"/>
    </xf>
    <xf numFmtId="0" fontId="5" fillId="17" borderId="1" xfId="16" applyFont="1" applyFill="1" applyBorder="1" applyAlignment="1">
      <alignment vertical="center"/>
    </xf>
    <xf numFmtId="1" fontId="13" fillId="7" borderId="13" xfId="16" quotePrefix="1" applyNumberFormat="1" applyFont="1" applyFill="1" applyBorder="1" applyAlignment="1">
      <alignment horizontal="center" vertical="center" wrapText="1"/>
    </xf>
    <xf numFmtId="0" fontId="13" fillId="7" borderId="3" xfId="16" applyFont="1" applyFill="1" applyBorder="1" applyAlignment="1">
      <alignment horizontal="center" vertical="center" wrapText="1"/>
    </xf>
    <xf numFmtId="0" fontId="5" fillId="17" borderId="2" xfId="16" applyFont="1" applyFill="1" applyBorder="1" applyAlignment="1">
      <alignment horizontal="justify" vertical="center" wrapText="1"/>
    </xf>
    <xf numFmtId="0" fontId="5" fillId="17" borderId="2" xfId="16" applyFont="1" applyFill="1" applyBorder="1" applyAlignment="1">
      <alignment vertical="center"/>
    </xf>
    <xf numFmtId="0" fontId="5" fillId="17" borderId="2" xfId="16" applyFont="1" applyFill="1" applyBorder="1" applyAlignment="1">
      <alignment horizontal="justify" vertical="center"/>
    </xf>
    <xf numFmtId="0" fontId="5" fillId="17" borderId="0" xfId="16" applyFont="1" applyFill="1" applyAlignment="1">
      <alignment horizontal="justify" vertical="center"/>
    </xf>
    <xf numFmtId="1" fontId="13" fillId="7" borderId="1" xfId="16" quotePrefix="1" applyNumberFormat="1" applyFont="1" applyFill="1" applyBorder="1" applyAlignment="1">
      <alignment horizontal="center" vertical="center" wrapText="1"/>
    </xf>
    <xf numFmtId="3" fontId="5" fillId="8" borderId="4" xfId="16" applyNumberFormat="1" applyFont="1" applyFill="1" applyBorder="1" applyAlignment="1">
      <alignment horizontal="justify" vertical="center" wrapText="1"/>
    </xf>
    <xf numFmtId="0" fontId="5" fillId="17" borderId="4" xfId="16" applyFont="1" applyFill="1" applyBorder="1" applyAlignment="1">
      <alignment horizontal="justify" vertical="center" wrapText="1"/>
    </xf>
    <xf numFmtId="0" fontId="17" fillId="17" borderId="4" xfId="16" applyFont="1" applyFill="1" applyBorder="1" applyAlignment="1">
      <alignment vertical="center"/>
    </xf>
    <xf numFmtId="43" fontId="5" fillId="17" borderId="4" xfId="6" applyFont="1" applyFill="1" applyBorder="1" applyAlignment="1">
      <alignment horizontal="center" vertical="center"/>
    </xf>
    <xf numFmtId="0" fontId="5" fillId="17" borderId="62" xfId="16" applyFont="1" applyFill="1" applyBorder="1" applyAlignment="1">
      <alignment vertical="center"/>
    </xf>
    <xf numFmtId="0" fontId="13" fillId="0" borderId="13" xfId="16" applyFont="1" applyBorder="1" applyAlignment="1">
      <alignment horizontal="justify" vertical="center" wrapText="1"/>
    </xf>
    <xf numFmtId="0" fontId="13" fillId="0" borderId="13" xfId="16" applyFont="1" applyBorder="1" applyAlignment="1">
      <alignment horizontal="center" vertical="center"/>
    </xf>
    <xf numFmtId="9" fontId="13" fillId="7" borderId="13" xfId="7" applyFont="1" applyFill="1" applyBorder="1" applyAlignment="1">
      <alignment horizontal="center" vertical="center" wrapText="1"/>
    </xf>
    <xf numFmtId="1" fontId="13" fillId="7" borderId="13" xfId="16" quotePrefix="1" applyNumberFormat="1" applyFont="1" applyFill="1" applyBorder="1" applyAlignment="1">
      <alignment vertical="center" wrapText="1"/>
    </xf>
    <xf numFmtId="0" fontId="13" fillId="0" borderId="1" xfId="16" applyFont="1" applyBorder="1" applyAlignment="1">
      <alignment horizontal="center"/>
    </xf>
    <xf numFmtId="1" fontId="13" fillId="7" borderId="8" xfId="16" quotePrefix="1" applyNumberFormat="1" applyFont="1" applyFill="1" applyBorder="1" applyAlignment="1">
      <alignment horizontal="center" vertical="center" wrapText="1"/>
    </xf>
    <xf numFmtId="0" fontId="13" fillId="0" borderId="0" xfId="16" applyFont="1" applyAlignment="1">
      <alignment horizontal="center"/>
    </xf>
    <xf numFmtId="1" fontId="13" fillId="7" borderId="9" xfId="16" quotePrefix="1" applyNumberFormat="1" applyFont="1" applyFill="1" applyBorder="1" applyAlignment="1">
      <alignment horizontal="center" vertical="center" wrapText="1"/>
    </xf>
    <xf numFmtId="0" fontId="13" fillId="7" borderId="13" xfId="16" applyFont="1" applyFill="1" applyBorder="1" applyAlignment="1">
      <alignment horizontal="justify" vertical="center" wrapText="1"/>
    </xf>
    <xf numFmtId="0" fontId="13" fillId="7" borderId="16" xfId="16" applyFont="1" applyFill="1" applyBorder="1" applyAlignment="1">
      <alignment vertical="center" wrapText="1"/>
    </xf>
    <xf numFmtId="0" fontId="5" fillId="0" borderId="2" xfId="16" applyFont="1" applyBorder="1" applyAlignment="1">
      <alignment vertical="center" wrapText="1"/>
    </xf>
    <xf numFmtId="0" fontId="5" fillId="0" borderId="14" xfId="16" applyFont="1" applyBorder="1" applyAlignment="1">
      <alignment vertical="center" wrapText="1"/>
    </xf>
    <xf numFmtId="0" fontId="13" fillId="7" borderId="6" xfId="16" quotePrefix="1" applyFont="1" applyFill="1" applyBorder="1" applyAlignment="1">
      <alignment horizontal="justify" vertical="center" wrapText="1"/>
    </xf>
    <xf numFmtId="0" fontId="5" fillId="17" borderId="0" xfId="16" applyFont="1" applyFill="1" applyAlignment="1">
      <alignment horizontal="justify" vertical="center" wrapText="1"/>
    </xf>
    <xf numFmtId="0" fontId="5" fillId="17" borderId="0" xfId="16" applyFont="1" applyFill="1" applyAlignment="1">
      <alignment vertical="center"/>
    </xf>
    <xf numFmtId="168" fontId="5" fillId="17" borderId="7" xfId="6" applyNumberFormat="1" applyFont="1" applyFill="1" applyBorder="1" applyAlignment="1">
      <alignment horizontal="center" vertical="center" textRotation="180" wrapText="1"/>
    </xf>
    <xf numFmtId="0" fontId="5" fillId="17" borderId="7" xfId="6" applyNumberFormat="1" applyFont="1" applyFill="1" applyBorder="1" applyAlignment="1">
      <alignment horizontal="center" vertical="center" textRotation="180" wrapText="1"/>
    </xf>
    <xf numFmtId="0" fontId="13" fillId="7" borderId="59" xfId="16" applyFont="1" applyFill="1" applyBorder="1" applyAlignment="1">
      <alignment horizontal="center" vertical="center" wrapText="1"/>
    </xf>
    <xf numFmtId="0" fontId="13" fillId="7" borderId="0" xfId="16" applyFont="1" applyFill="1" applyAlignment="1">
      <alignment horizontal="center" vertical="center" wrapText="1"/>
    </xf>
    <xf numFmtId="0" fontId="13" fillId="7" borderId="4" xfId="16" applyFont="1" applyFill="1" applyBorder="1" applyAlignment="1">
      <alignment horizontal="center" vertical="center" wrapText="1"/>
    </xf>
    <xf numFmtId="0" fontId="13" fillId="7" borderId="9" xfId="16" applyFont="1" applyFill="1" applyBorder="1" applyAlignment="1">
      <alignment horizontal="center" vertical="center" wrapText="1"/>
    </xf>
    <xf numFmtId="1" fontId="13" fillId="7" borderId="13" xfId="16" applyNumberFormat="1" applyFont="1" applyFill="1" applyBorder="1" applyAlignment="1">
      <alignment vertical="center" wrapText="1"/>
    </xf>
    <xf numFmtId="0" fontId="13" fillId="7" borderId="15" xfId="16" applyFont="1" applyFill="1" applyBorder="1" applyAlignment="1">
      <alignment vertical="center" wrapText="1"/>
    </xf>
    <xf numFmtId="1" fontId="13" fillId="7" borderId="15" xfId="16" applyNumberFormat="1" applyFont="1" applyFill="1" applyBorder="1" applyAlignment="1">
      <alignment vertical="center" wrapText="1"/>
    </xf>
    <xf numFmtId="1" fontId="13" fillId="7" borderId="16" xfId="16" applyNumberFormat="1" applyFont="1" applyFill="1" applyBorder="1" applyAlignment="1">
      <alignment vertical="center" wrapText="1"/>
    </xf>
    <xf numFmtId="168" fontId="5" fillId="17" borderId="1" xfId="6" applyNumberFormat="1" applyFont="1" applyFill="1" applyBorder="1" applyAlignment="1">
      <alignment horizontal="center" vertical="center" textRotation="180" wrapText="1"/>
    </xf>
    <xf numFmtId="0" fontId="5" fillId="17" borderId="0" xfId="6" applyNumberFormat="1" applyFont="1" applyFill="1" applyAlignment="1">
      <alignment horizontal="center" vertical="center" textRotation="180" wrapText="1"/>
    </xf>
    <xf numFmtId="0" fontId="13" fillId="7" borderId="1" xfId="17" quotePrefix="1" applyFont="1" applyFill="1" applyBorder="1" applyAlignment="1">
      <alignment horizontal="justify" vertical="center" wrapText="1"/>
    </xf>
    <xf numFmtId="49" fontId="13" fillId="7" borderId="1" xfId="17" quotePrefix="1" applyNumberFormat="1" applyFont="1" applyFill="1" applyBorder="1" applyAlignment="1">
      <alignment horizontal="justify" vertical="center" wrapText="1"/>
    </xf>
    <xf numFmtId="49" fontId="13" fillId="7" borderId="13" xfId="17" quotePrefix="1" applyNumberFormat="1" applyFont="1" applyFill="1" applyBorder="1" applyAlignment="1">
      <alignment horizontal="justify" vertical="center" wrapText="1"/>
    </xf>
    <xf numFmtId="0" fontId="5" fillId="17" borderId="7" xfId="6" applyNumberFormat="1" applyFont="1" applyFill="1" applyBorder="1" applyAlignment="1">
      <alignment vertical="center" textRotation="180" wrapText="1"/>
    </xf>
    <xf numFmtId="168" fontId="5" fillId="17" borderId="7" xfId="6" applyNumberFormat="1" applyFont="1" applyFill="1" applyBorder="1" applyAlignment="1">
      <alignment vertical="center" textRotation="180" wrapText="1"/>
    </xf>
    <xf numFmtId="49" fontId="13" fillId="0" borderId="8" xfId="17" applyNumberFormat="1" applyFont="1" applyBorder="1" applyAlignment="1">
      <alignment horizontal="justify" vertical="center" wrapText="1"/>
    </xf>
    <xf numFmtId="0" fontId="13" fillId="7" borderId="2" xfId="16" applyFont="1" applyFill="1" applyBorder="1" applyAlignment="1">
      <alignment horizontal="center" vertical="center" wrapText="1"/>
    </xf>
    <xf numFmtId="0" fontId="13" fillId="7" borderId="23" xfId="16" applyFont="1" applyFill="1" applyBorder="1" applyAlignment="1">
      <alignment vertical="center" wrapText="1"/>
    </xf>
    <xf numFmtId="0" fontId="13" fillId="7" borderId="8" xfId="16" applyFont="1" applyFill="1" applyBorder="1" applyAlignment="1">
      <alignment horizontal="justify" vertical="center" wrapText="1"/>
    </xf>
    <xf numFmtId="0" fontId="13" fillId="0" borderId="15" xfId="16" applyFont="1" applyBorder="1" applyAlignment="1">
      <alignment horizontal="left" vertical="center" wrapText="1"/>
    </xf>
    <xf numFmtId="0" fontId="13" fillId="0" borderId="1" xfId="16" applyFont="1" applyBorder="1" applyAlignment="1">
      <alignment horizontal="justify" vertical="center" wrapText="1"/>
    </xf>
    <xf numFmtId="0" fontId="5" fillId="8" borderId="7" xfId="6" applyNumberFormat="1" applyFont="1" applyFill="1" applyBorder="1" applyAlignment="1">
      <alignment vertical="center" textRotation="180" wrapText="1"/>
    </xf>
    <xf numFmtId="168" fontId="5" fillId="8" borderId="7" xfId="6" applyNumberFormat="1" applyFont="1" applyFill="1" applyBorder="1" applyAlignment="1">
      <alignment vertical="center" textRotation="180" wrapText="1"/>
    </xf>
    <xf numFmtId="0" fontId="5" fillId="8" borderId="7" xfId="6" applyNumberFormat="1" applyFont="1" applyFill="1" applyBorder="1" applyAlignment="1">
      <alignment horizontal="center" vertical="center" textRotation="180" wrapText="1"/>
    </xf>
    <xf numFmtId="0" fontId="5" fillId="17" borderId="2" xfId="16" applyFont="1" applyFill="1" applyBorder="1" applyAlignment="1">
      <alignment horizontal="center" vertical="center"/>
    </xf>
    <xf numFmtId="0" fontId="5" fillId="17" borderId="2" xfId="6" applyNumberFormat="1" applyFont="1" applyFill="1" applyBorder="1" applyAlignment="1">
      <alignment vertical="center" textRotation="180" wrapText="1"/>
    </xf>
    <xf numFmtId="168" fontId="5" fillId="17" borderId="2" xfId="6" applyNumberFormat="1" applyFont="1" applyFill="1" applyBorder="1" applyAlignment="1">
      <alignment vertical="center" textRotation="180" wrapText="1"/>
    </xf>
    <xf numFmtId="0" fontId="5" fillId="17" borderId="2" xfId="6" applyNumberFormat="1" applyFont="1" applyFill="1" applyBorder="1" applyAlignment="1">
      <alignment horizontal="center" vertical="center" textRotation="180" wrapText="1"/>
    </xf>
    <xf numFmtId="9" fontId="13" fillId="7" borderId="16" xfId="7" applyFont="1" applyFill="1" applyBorder="1" applyAlignment="1">
      <alignment horizontal="center" vertical="center" wrapText="1"/>
    </xf>
    <xf numFmtId="1" fontId="13" fillId="7" borderId="1" xfId="16" applyNumberFormat="1" applyFont="1" applyFill="1" applyBorder="1" applyAlignment="1">
      <alignment horizontal="center" vertical="center"/>
    </xf>
    <xf numFmtId="0" fontId="13" fillId="7" borderId="1" xfId="17" applyFont="1" applyFill="1" applyBorder="1" applyAlignment="1">
      <alignment horizontal="justify" vertical="center" wrapText="1"/>
    </xf>
    <xf numFmtId="0" fontId="13" fillId="7" borderId="13" xfId="17" applyFont="1" applyFill="1" applyBorder="1" applyAlignment="1">
      <alignment horizontal="justify" vertical="center" wrapText="1"/>
    </xf>
    <xf numFmtId="1" fontId="13" fillId="7" borderId="13" xfId="16" applyNumberFormat="1" applyFont="1" applyFill="1" applyBorder="1" applyAlignment="1">
      <alignment horizontal="center" vertical="center"/>
    </xf>
    <xf numFmtId="0" fontId="13" fillId="0" borderId="1" xfId="16" applyFont="1" applyBorder="1"/>
    <xf numFmtId="43" fontId="5" fillId="0" borderId="33" xfId="6" applyFont="1" applyBorder="1" applyAlignment="1">
      <alignment horizontal="center" vertical="center"/>
    </xf>
    <xf numFmtId="0" fontId="13" fillId="7" borderId="30" xfId="16" applyFont="1" applyFill="1" applyBorder="1"/>
    <xf numFmtId="0" fontId="13" fillId="7" borderId="31" xfId="16" applyFont="1" applyFill="1" applyBorder="1" applyAlignment="1">
      <alignment horizontal="justify"/>
    </xf>
    <xf numFmtId="0" fontId="13" fillId="7" borderId="32" xfId="16" applyFont="1" applyFill="1" applyBorder="1" applyAlignment="1">
      <alignment horizontal="right" vertical="center"/>
    </xf>
    <xf numFmtId="43" fontId="5" fillId="0" borderId="33" xfId="6" applyFont="1" applyBorder="1" applyAlignment="1">
      <alignment horizontal="justify" vertical="center"/>
    </xf>
    <xf numFmtId="0" fontId="13" fillId="7" borderId="33" xfId="16" applyFont="1" applyFill="1" applyBorder="1" applyAlignment="1">
      <alignment horizontal="center" vertical="center"/>
    </xf>
    <xf numFmtId="0" fontId="13" fillId="0" borderId="33" xfId="6" applyNumberFormat="1" applyFont="1" applyBorder="1"/>
    <xf numFmtId="168" fontId="13" fillId="0" borderId="33" xfId="6" applyNumberFormat="1" applyFont="1" applyBorder="1"/>
    <xf numFmtId="0" fontId="13" fillId="0" borderId="33" xfId="6" applyNumberFormat="1" applyFont="1" applyBorder="1" applyAlignment="1">
      <alignment horizontal="center" vertical="center"/>
    </xf>
    <xf numFmtId="0" fontId="13" fillId="0" borderId="33" xfId="16" applyFont="1" applyBorder="1"/>
    <xf numFmtId="0" fontId="13" fillId="7" borderId="0" xfId="16" applyFont="1" applyFill="1" applyAlignment="1">
      <alignment horizontal="justify"/>
    </xf>
    <xf numFmtId="0" fontId="13" fillId="7" borderId="0" xfId="16" applyFont="1" applyFill="1" applyAlignment="1">
      <alignment horizontal="center" vertical="center"/>
    </xf>
    <xf numFmtId="0" fontId="13" fillId="7" borderId="0" xfId="16" applyFont="1" applyFill="1" applyAlignment="1">
      <alignment horizontal="justify" vertical="center"/>
    </xf>
    <xf numFmtId="168" fontId="13" fillId="7" borderId="0" xfId="16" applyNumberFormat="1" applyFont="1" applyFill="1" applyAlignment="1">
      <alignment horizontal="justify" vertical="center"/>
    </xf>
    <xf numFmtId="0" fontId="13" fillId="0" borderId="0" xfId="6" applyNumberFormat="1" applyFont="1"/>
    <xf numFmtId="168" fontId="13" fillId="0" borderId="0" xfId="6" applyNumberFormat="1" applyFont="1"/>
    <xf numFmtId="0" fontId="13" fillId="0" borderId="0" xfId="6" applyNumberFormat="1" applyFont="1" applyAlignment="1">
      <alignment horizontal="center" vertical="center"/>
    </xf>
    <xf numFmtId="175" fontId="13" fillId="7" borderId="0" xfId="16" applyNumberFormat="1" applyFont="1" applyFill="1" applyAlignment="1">
      <alignment horizontal="center"/>
    </xf>
    <xf numFmtId="176" fontId="13" fillId="7" borderId="0" xfId="19" applyFont="1" applyFill="1" applyAlignment="1">
      <alignment horizontal="justify" vertical="center"/>
    </xf>
    <xf numFmtId="0" fontId="5" fillId="7" borderId="0" xfId="16" applyFont="1" applyFill="1" applyAlignment="1">
      <alignment horizontal="center"/>
    </xf>
    <xf numFmtId="176" fontId="13" fillId="7" borderId="0" xfId="16" applyNumberFormat="1" applyFont="1" applyFill="1" applyAlignment="1">
      <alignment horizontal="justify" vertical="center"/>
    </xf>
    <xf numFmtId="168" fontId="5" fillId="0" borderId="33" xfId="6" applyNumberFormat="1" applyFont="1" applyBorder="1" applyAlignment="1">
      <alignment horizontal="center" vertical="center"/>
    </xf>
    <xf numFmtId="0" fontId="5" fillId="0" borderId="38" xfId="0" applyFont="1" applyBorder="1"/>
    <xf numFmtId="0" fontId="5" fillId="0" borderId="73" xfId="0" applyFont="1" applyBorder="1"/>
    <xf numFmtId="0" fontId="5" fillId="0" borderId="1" xfId="0" applyFont="1" applyBorder="1" applyAlignment="1">
      <alignment horizontal="left"/>
    </xf>
    <xf numFmtId="164" fontId="5" fillId="0" borderId="39" xfId="0" applyNumberFormat="1" applyFont="1" applyBorder="1" applyAlignment="1">
      <alignment horizontal="left"/>
    </xf>
    <xf numFmtId="17" fontId="5" fillId="0" borderId="39" xfId="0" applyNumberFormat="1" applyFont="1" applyBorder="1" applyAlignment="1">
      <alignment horizontal="left"/>
    </xf>
    <xf numFmtId="0" fontId="5" fillId="0" borderId="1" xfId="0" applyFont="1" applyBorder="1" applyAlignment="1">
      <alignment vertical="center"/>
    </xf>
    <xf numFmtId="3" fontId="5" fillId="2" borderId="39" xfId="0" applyNumberFormat="1" applyFont="1" applyFill="1" applyBorder="1" applyAlignment="1">
      <alignment horizontal="left" vertical="center" wrapText="1"/>
    </xf>
    <xf numFmtId="174" fontId="6" fillId="0" borderId="7" xfId="20" applyFont="1" applyBorder="1" applyAlignment="1">
      <alignment horizontal="center" vertical="center"/>
    </xf>
    <xf numFmtId="9" fontId="6" fillId="0" borderId="7" xfId="3" applyFont="1" applyBorder="1" applyAlignment="1">
      <alignment horizontal="center" vertical="center"/>
    </xf>
    <xf numFmtId="166" fontId="6" fillId="3" borderId="1" xfId="0" applyNumberFormat="1" applyFont="1" applyFill="1" applyBorder="1" applyAlignment="1">
      <alignment horizontal="center" vertical="center" wrapText="1"/>
    </xf>
    <xf numFmtId="1" fontId="5" fillId="19" borderId="6" xfId="0" applyNumberFormat="1" applyFont="1" applyFill="1" applyBorder="1" applyAlignment="1">
      <alignment horizontal="left" vertical="center" wrapText="1"/>
    </xf>
    <xf numFmtId="0" fontId="5" fillId="19" borderId="7" xfId="0" applyFont="1" applyFill="1" applyBorder="1" applyAlignment="1">
      <alignment vertical="center"/>
    </xf>
    <xf numFmtId="0" fontId="5" fillId="19" borderId="7" xfId="0" applyFont="1" applyFill="1" applyBorder="1" applyAlignment="1">
      <alignment horizontal="justify" vertical="center"/>
    </xf>
    <xf numFmtId="0" fontId="5" fillId="19" borderId="7" xfId="0" applyFont="1" applyFill="1" applyBorder="1" applyAlignment="1">
      <alignment horizontal="center" vertical="center"/>
    </xf>
    <xf numFmtId="170" fontId="5" fillId="19" borderId="7" xfId="0" applyNumberFormat="1" applyFont="1" applyFill="1" applyBorder="1" applyAlignment="1">
      <alignment horizontal="center" vertical="center"/>
    </xf>
    <xf numFmtId="169" fontId="5" fillId="19" borderId="7" xfId="0" applyNumberFormat="1" applyFont="1" applyFill="1" applyBorder="1" applyAlignment="1">
      <alignment vertical="center"/>
    </xf>
    <xf numFmtId="1" fontId="5" fillId="19" borderId="7" xfId="0" applyNumberFormat="1" applyFont="1" applyFill="1" applyBorder="1" applyAlignment="1">
      <alignment horizontal="center" vertical="center"/>
    </xf>
    <xf numFmtId="167" fontId="4" fillId="19" borderId="7" xfId="0" applyNumberFormat="1" applyFont="1" applyFill="1" applyBorder="1" applyAlignment="1">
      <alignment horizontal="left" vertical="center"/>
    </xf>
    <xf numFmtId="174" fontId="4" fillId="19" borderId="7" xfId="20" applyFont="1" applyFill="1" applyBorder="1" applyAlignment="1">
      <alignment horizontal="left" vertical="center"/>
    </xf>
    <xf numFmtId="9" fontId="4" fillId="19" borderId="1" xfId="3" applyFont="1" applyFill="1" applyBorder="1" applyAlignment="1">
      <alignment horizontal="left" vertical="center"/>
    </xf>
    <xf numFmtId="167" fontId="5" fillId="19" borderId="7" xfId="0" applyNumberFormat="1" applyFont="1" applyFill="1" applyBorder="1" applyAlignment="1">
      <alignment vertical="center"/>
    </xf>
    <xf numFmtId="0" fontId="5" fillId="19" borderId="8" xfId="0" applyFont="1" applyFill="1" applyBorder="1" applyAlignment="1">
      <alignment horizontal="justify" vertical="center"/>
    </xf>
    <xf numFmtId="0" fontId="13" fillId="7" borderId="3" xfId="0" applyFont="1" applyFill="1" applyBorder="1" applyAlignment="1">
      <alignment vertical="center" wrapText="1"/>
    </xf>
    <xf numFmtId="0" fontId="13" fillId="7" borderId="4" xfId="0" applyFont="1" applyFill="1" applyBorder="1" applyAlignment="1">
      <alignment vertical="center" wrapText="1"/>
    </xf>
    <xf numFmtId="0" fontId="13" fillId="7" borderId="9" xfId="0" applyFont="1" applyFill="1" applyBorder="1" applyAlignment="1">
      <alignment vertical="center" wrapText="1"/>
    </xf>
    <xf numFmtId="1" fontId="5" fillId="16" borderId="5" xfId="0" applyNumberFormat="1" applyFont="1" applyFill="1" applyBorder="1" applyAlignment="1">
      <alignment horizontal="center" vertical="center"/>
    </xf>
    <xf numFmtId="0" fontId="5" fillId="16" borderId="2" xfId="0" applyFont="1" applyFill="1" applyBorder="1" applyAlignment="1">
      <alignment vertical="center"/>
    </xf>
    <xf numFmtId="0" fontId="5" fillId="16" borderId="2" xfId="0" applyFont="1" applyFill="1" applyBorder="1" applyAlignment="1">
      <alignment horizontal="justify" vertical="center"/>
    </xf>
    <xf numFmtId="0" fontId="5" fillId="16" borderId="2" xfId="0" applyFont="1" applyFill="1" applyBorder="1" applyAlignment="1">
      <alignment horizontal="center" vertical="center"/>
    </xf>
    <xf numFmtId="170" fontId="5" fillId="16" borderId="2" xfId="0" applyNumberFormat="1" applyFont="1" applyFill="1" applyBorder="1" applyAlignment="1">
      <alignment horizontal="center" vertical="center"/>
    </xf>
    <xf numFmtId="169" fontId="5" fillId="16" borderId="2" xfId="0" applyNumberFormat="1" applyFont="1" applyFill="1" applyBorder="1" applyAlignment="1">
      <alignment vertical="center"/>
    </xf>
    <xf numFmtId="169" fontId="5" fillId="16" borderId="2" xfId="0" applyNumberFormat="1" applyFont="1" applyFill="1" applyBorder="1" applyAlignment="1">
      <alignment horizontal="center" vertical="center"/>
    </xf>
    <xf numFmtId="1" fontId="5" fillId="16" borderId="2" xfId="0" applyNumberFormat="1" applyFont="1" applyFill="1" applyBorder="1" applyAlignment="1">
      <alignment horizontal="center" vertical="center"/>
    </xf>
    <xf numFmtId="167" fontId="4" fillId="16" borderId="2" xfId="0" applyNumberFormat="1" applyFont="1" applyFill="1" applyBorder="1" applyAlignment="1">
      <alignment horizontal="left" vertical="center"/>
    </xf>
    <xf numFmtId="174" fontId="4" fillId="16" borderId="2" xfId="20" applyFont="1" applyFill="1" applyBorder="1" applyAlignment="1">
      <alignment horizontal="left" vertical="center"/>
    </xf>
    <xf numFmtId="9" fontId="4" fillId="16" borderId="2" xfId="3" applyFont="1" applyFill="1" applyBorder="1" applyAlignment="1">
      <alignment horizontal="left" vertical="center"/>
    </xf>
    <xf numFmtId="167" fontId="4" fillId="16" borderId="1" xfId="0" applyNumberFormat="1" applyFont="1" applyFill="1" applyBorder="1" applyAlignment="1">
      <alignment horizontal="left" vertical="center"/>
    </xf>
    <xf numFmtId="167" fontId="5" fillId="16" borderId="2" xfId="0" applyNumberFormat="1" applyFont="1" applyFill="1" applyBorder="1" applyAlignment="1">
      <alignment vertical="center"/>
    </xf>
    <xf numFmtId="0" fontId="5" fillId="16" borderId="14" xfId="0" applyFont="1" applyFill="1" applyBorder="1" applyAlignment="1">
      <alignment horizontal="justify" vertical="center"/>
    </xf>
    <xf numFmtId="0" fontId="13" fillId="7" borderId="17" xfId="0" applyFont="1" applyFill="1" applyBorder="1" applyAlignment="1">
      <alignment vertical="center" wrapText="1"/>
    </xf>
    <xf numFmtId="0" fontId="13" fillId="7" borderId="0" xfId="0" applyFont="1" applyFill="1" applyAlignment="1">
      <alignment vertical="center" wrapText="1"/>
    </xf>
    <xf numFmtId="0" fontId="13" fillId="7" borderId="18" xfId="0" applyFont="1" applyFill="1" applyBorder="1" applyAlignment="1">
      <alignment vertical="center" wrapText="1"/>
    </xf>
    <xf numFmtId="0" fontId="5" fillId="7" borderId="3" xfId="0" applyFont="1" applyFill="1" applyBorder="1" applyAlignment="1">
      <alignment horizontal="center" vertical="center" wrapText="1"/>
    </xf>
    <xf numFmtId="0" fontId="5" fillId="7" borderId="0" xfId="0" applyFont="1" applyFill="1" applyAlignment="1">
      <alignment horizontal="center" vertical="center" wrapText="1"/>
    </xf>
    <xf numFmtId="1" fontId="5" fillId="20" borderId="6" xfId="0" applyNumberFormat="1" applyFont="1" applyFill="1" applyBorder="1" applyAlignment="1">
      <alignment horizontal="left" vertical="center" wrapText="1" indent="1"/>
    </xf>
    <xf numFmtId="0" fontId="5" fillId="20" borderId="7" xfId="0" applyFont="1" applyFill="1" applyBorder="1" applyAlignment="1">
      <alignment vertical="center"/>
    </xf>
    <xf numFmtId="0" fontId="5" fillId="20" borderId="7" xfId="0" applyFont="1" applyFill="1" applyBorder="1" applyAlignment="1">
      <alignment horizontal="justify" vertical="center"/>
    </xf>
    <xf numFmtId="0" fontId="5" fillId="20" borderId="7" xfId="0" applyFont="1" applyFill="1" applyBorder="1" applyAlignment="1">
      <alignment horizontal="center" vertical="center"/>
    </xf>
    <xf numFmtId="170" fontId="5" fillId="20" borderId="7" xfId="0" applyNumberFormat="1" applyFont="1" applyFill="1" applyBorder="1" applyAlignment="1">
      <alignment horizontal="center" vertical="center"/>
    </xf>
    <xf numFmtId="169" fontId="5" fillId="20" borderId="7" xfId="0" applyNumberFormat="1" applyFont="1" applyFill="1" applyBorder="1" applyAlignment="1">
      <alignment vertical="center"/>
    </xf>
    <xf numFmtId="169" fontId="5" fillId="20" borderId="7" xfId="0" applyNumberFormat="1" applyFont="1" applyFill="1" applyBorder="1" applyAlignment="1">
      <alignment horizontal="center" vertical="center"/>
    </xf>
    <xf numFmtId="1" fontId="5" fillId="20" borderId="7" xfId="0" applyNumberFormat="1" applyFont="1" applyFill="1" applyBorder="1" applyAlignment="1">
      <alignment horizontal="center" vertical="center"/>
    </xf>
    <xf numFmtId="167" fontId="4" fillId="20" borderId="7" xfId="0" applyNumberFormat="1" applyFont="1" applyFill="1" applyBorder="1" applyAlignment="1">
      <alignment horizontal="left" vertical="center"/>
    </xf>
    <xf numFmtId="174" fontId="4" fillId="20" borderId="7" xfId="20" applyFont="1" applyFill="1" applyBorder="1" applyAlignment="1">
      <alignment horizontal="left" vertical="center"/>
    </xf>
    <xf numFmtId="9" fontId="4" fillId="20" borderId="7" xfId="3" applyFont="1" applyFill="1" applyBorder="1" applyAlignment="1">
      <alignment horizontal="left" vertical="center"/>
    </xf>
    <xf numFmtId="167" fontId="4" fillId="20" borderId="13" xfId="0" applyNumberFormat="1" applyFont="1" applyFill="1" applyBorder="1" applyAlignment="1">
      <alignment horizontal="left" vertical="center"/>
    </xf>
    <xf numFmtId="167" fontId="5" fillId="20" borderId="7" xfId="0" applyNumberFormat="1" applyFont="1" applyFill="1" applyBorder="1" applyAlignment="1">
      <alignment vertical="center"/>
    </xf>
    <xf numFmtId="0" fontId="5" fillId="20" borderId="8" xfId="0" applyFont="1" applyFill="1" applyBorder="1" applyAlignment="1">
      <alignment horizontal="justify" vertical="center"/>
    </xf>
    <xf numFmtId="0" fontId="13" fillId="7" borderId="17" xfId="0" applyFont="1" applyFill="1" applyBorder="1" applyAlignment="1">
      <alignment horizontal="center" vertical="center" wrapText="1"/>
    </xf>
    <xf numFmtId="0" fontId="13" fillId="7" borderId="0" xfId="0" applyFont="1" applyFill="1" applyAlignment="1">
      <alignment horizontal="center" vertical="center" wrapText="1"/>
    </xf>
    <xf numFmtId="0" fontId="13" fillId="7" borderId="3" xfId="0" applyFont="1" applyFill="1" applyBorder="1" applyAlignment="1">
      <alignment horizontal="center" vertical="center" wrapText="1"/>
    </xf>
    <xf numFmtId="0" fontId="13" fillId="7" borderId="1" xfId="0" applyFont="1" applyFill="1" applyBorder="1" applyAlignment="1">
      <alignment horizontal="justify" vertical="center" wrapText="1"/>
    </xf>
    <xf numFmtId="0" fontId="13" fillId="7" borderId="1" xfId="0" applyFont="1" applyFill="1" applyBorder="1" applyAlignment="1">
      <alignment horizontal="center" vertical="center" wrapText="1"/>
    </xf>
    <xf numFmtId="0" fontId="13" fillId="7" borderId="3" xfId="0" applyFont="1" applyFill="1" applyBorder="1" applyAlignment="1">
      <alignment horizontal="justify" vertical="center" wrapText="1"/>
    </xf>
    <xf numFmtId="1" fontId="13" fillId="7" borderId="14" xfId="0" applyNumberFormat="1"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3" fillId="7" borderId="13" xfId="0" applyFont="1" applyFill="1" applyBorder="1" applyAlignment="1">
      <alignment horizontal="center" vertical="center" wrapText="1"/>
    </xf>
    <xf numFmtId="0" fontId="13" fillId="7" borderId="15" xfId="0" applyFont="1" applyFill="1" applyBorder="1" applyAlignment="1">
      <alignment horizontal="center" vertical="center" wrapText="1"/>
    </xf>
    <xf numFmtId="0" fontId="13" fillId="7" borderId="0" xfId="0" applyFont="1" applyFill="1" applyBorder="1" applyAlignment="1">
      <alignment horizontal="center" vertical="center"/>
    </xf>
    <xf numFmtId="0" fontId="13" fillId="7" borderId="1" xfId="0" applyFont="1" applyFill="1" applyBorder="1" applyAlignment="1">
      <alignment horizontal="center" vertical="center"/>
    </xf>
    <xf numFmtId="0" fontId="13" fillId="7" borderId="15" xfId="0" applyFont="1" applyFill="1" applyBorder="1" applyAlignment="1">
      <alignment horizontal="center" vertical="center"/>
    </xf>
    <xf numFmtId="0" fontId="13" fillId="7" borderId="8" xfId="0" applyFont="1" applyFill="1" applyBorder="1" applyAlignment="1">
      <alignment horizontal="center" vertical="center"/>
    </xf>
    <xf numFmtId="0" fontId="13" fillId="7" borderId="0" xfId="0" applyFont="1" applyFill="1" applyAlignment="1">
      <alignment horizontal="center" vertical="center" wrapText="1"/>
    </xf>
    <xf numFmtId="0" fontId="13" fillId="7" borderId="6" xfId="0" applyFont="1" applyFill="1" applyBorder="1" applyAlignment="1">
      <alignment horizontal="justify" vertical="center" wrapText="1"/>
    </xf>
    <xf numFmtId="9" fontId="13" fillId="7" borderId="1" xfId="0" applyNumberFormat="1" applyFont="1" applyFill="1" applyBorder="1" applyAlignment="1">
      <alignment horizontal="center" vertical="center" wrapText="1"/>
    </xf>
    <xf numFmtId="0" fontId="13" fillId="7" borderId="5" xfId="0" applyFont="1" applyFill="1" applyBorder="1" applyAlignment="1">
      <alignment horizontal="justify" vertical="center" wrapText="1"/>
    </xf>
    <xf numFmtId="0" fontId="13" fillId="20" borderId="7" xfId="0" applyFont="1" applyFill="1" applyBorder="1" applyAlignment="1">
      <alignment vertical="center"/>
    </xf>
    <xf numFmtId="9" fontId="13" fillId="20" borderId="7" xfId="3" applyFont="1" applyFill="1" applyBorder="1" applyAlignment="1">
      <alignment vertical="center"/>
    </xf>
    <xf numFmtId="0" fontId="5" fillId="20" borderId="0" xfId="0" applyFont="1" applyFill="1" applyBorder="1" applyAlignment="1">
      <alignment horizontal="center" vertical="center"/>
    </xf>
    <xf numFmtId="0" fontId="13" fillId="20" borderId="8" xfId="0" applyFont="1" applyFill="1" applyBorder="1" applyAlignment="1">
      <alignment horizontal="justify" vertical="center"/>
    </xf>
    <xf numFmtId="0" fontId="13" fillId="7" borderId="12" xfId="0" applyFont="1" applyFill="1" applyBorder="1" applyAlignment="1">
      <alignment horizontal="center" vertical="center" wrapText="1"/>
    </xf>
    <xf numFmtId="0" fontId="13" fillId="7" borderId="38"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7" borderId="6" xfId="0" applyFont="1" applyFill="1" applyBorder="1" applyAlignment="1">
      <alignment horizontal="justify" vertical="center" wrapText="1"/>
    </xf>
    <xf numFmtId="1" fontId="13" fillId="7" borderId="8" xfId="0" applyNumberFormat="1" applyFont="1" applyFill="1" applyBorder="1" applyAlignment="1">
      <alignment horizontal="center" vertical="center" wrapText="1"/>
    </xf>
    <xf numFmtId="9" fontId="5" fillId="16" borderId="2" xfId="3" applyFont="1" applyFill="1" applyBorder="1" applyAlignment="1">
      <alignment horizontal="left" vertical="center"/>
    </xf>
    <xf numFmtId="167" fontId="5" fillId="16" borderId="2" xfId="0" applyNumberFormat="1" applyFont="1" applyFill="1" applyBorder="1" applyAlignment="1">
      <alignment horizontal="left" vertical="center"/>
    </xf>
    <xf numFmtId="0" fontId="5" fillId="20" borderId="4" xfId="0" applyFont="1" applyFill="1" applyBorder="1" applyAlignment="1">
      <alignment horizontal="center" vertical="center"/>
    </xf>
    <xf numFmtId="0" fontId="13" fillId="7" borderId="13" xfId="0" applyFont="1" applyFill="1" applyBorder="1" applyAlignment="1">
      <alignment horizontal="justify" vertical="center" wrapText="1"/>
    </xf>
    <xf numFmtId="0" fontId="13" fillId="7" borderId="15" xfId="0" applyFont="1" applyFill="1" applyBorder="1" applyAlignment="1">
      <alignment horizontal="justify"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5" xfId="0" applyFont="1" applyBorder="1" applyAlignment="1">
      <alignment horizontal="justify" vertical="center" wrapText="1"/>
    </xf>
    <xf numFmtId="0" fontId="13" fillId="7" borderId="40" xfId="0" applyFont="1" applyFill="1" applyBorder="1" applyAlignment="1">
      <alignment horizontal="center" vertical="center" wrapText="1"/>
    </xf>
    <xf numFmtId="0" fontId="13" fillId="7" borderId="8" xfId="0" applyFont="1" applyFill="1" applyBorder="1"/>
    <xf numFmtId="0" fontId="13" fillId="7" borderId="16" xfId="0" applyFont="1" applyFill="1" applyBorder="1" applyAlignment="1">
      <alignment horizontal="justify"/>
    </xf>
    <xf numFmtId="0" fontId="5" fillId="20" borderId="2" xfId="0" applyFont="1" applyFill="1" applyBorder="1" applyAlignment="1">
      <alignment horizontal="center" vertical="center"/>
    </xf>
    <xf numFmtId="0" fontId="13" fillId="7" borderId="0" xfId="0" applyFont="1" applyFill="1" applyAlignment="1">
      <alignment vertical="center"/>
    </xf>
    <xf numFmtId="0" fontId="13" fillId="7" borderId="13" xfId="0" applyFont="1" applyFill="1" applyBorder="1" applyAlignment="1">
      <alignment vertical="center" wrapText="1"/>
    </xf>
    <xf numFmtId="0" fontId="13" fillId="7" borderId="15" xfId="0" applyFont="1" applyFill="1" applyBorder="1" applyAlignment="1">
      <alignment vertical="center" wrapText="1"/>
    </xf>
    <xf numFmtId="0" fontId="13" fillId="7" borderId="16" xfId="0" applyFont="1" applyFill="1" applyBorder="1" applyAlignment="1">
      <alignment vertical="center" wrapText="1"/>
    </xf>
    <xf numFmtId="167" fontId="5" fillId="16" borderId="1" xfId="0" applyNumberFormat="1" applyFont="1" applyFill="1" applyBorder="1" applyAlignment="1">
      <alignment horizontal="left" vertical="center"/>
    </xf>
    <xf numFmtId="0" fontId="13" fillId="20" borderId="4" xfId="0" applyFont="1" applyFill="1" applyBorder="1" applyAlignment="1">
      <alignment vertical="center"/>
    </xf>
    <xf numFmtId="0" fontId="13" fillId="7" borderId="1" xfId="0" applyFont="1" applyFill="1" applyBorder="1" applyAlignment="1">
      <alignment vertical="center" wrapText="1"/>
    </xf>
    <xf numFmtId="1" fontId="13" fillId="7" borderId="8" xfId="0" applyNumberFormat="1" applyFont="1" applyFill="1" applyBorder="1" applyAlignment="1">
      <alignment vertical="center" wrapText="1"/>
    </xf>
    <xf numFmtId="0" fontId="13" fillId="7" borderId="5" xfId="0" applyFont="1" applyFill="1" applyBorder="1" applyAlignment="1">
      <alignment vertical="center" wrapText="1"/>
    </xf>
    <xf numFmtId="0" fontId="13" fillId="7" borderId="2" xfId="0" applyFont="1" applyFill="1" applyBorder="1" applyAlignment="1">
      <alignment vertical="center" wrapText="1"/>
    </xf>
    <xf numFmtId="0" fontId="13" fillId="7" borderId="14" xfId="0" applyFont="1" applyFill="1" applyBorder="1" applyAlignment="1">
      <alignment vertical="center" wrapText="1"/>
    </xf>
    <xf numFmtId="0" fontId="13" fillId="7" borderId="5" xfId="0" applyFont="1" applyFill="1" applyBorder="1" applyAlignment="1">
      <alignment horizontal="center" vertical="center" wrapText="1"/>
    </xf>
    <xf numFmtId="0" fontId="13" fillId="7" borderId="2" xfId="0" applyFont="1" applyFill="1" applyBorder="1" applyAlignment="1">
      <alignment horizontal="center" vertical="center" wrapText="1"/>
    </xf>
    <xf numFmtId="1" fontId="13" fillId="0" borderId="6" xfId="0" applyNumberFormat="1" applyFont="1" applyBorder="1"/>
    <xf numFmtId="0" fontId="13" fillId="0" borderId="7" xfId="0" applyFont="1" applyBorder="1"/>
    <xf numFmtId="0" fontId="13" fillId="7" borderId="7" xfId="0" applyFont="1" applyFill="1" applyBorder="1" applyAlignment="1">
      <alignment horizontal="justify" vertical="center"/>
    </xf>
    <xf numFmtId="0" fontId="13" fillId="7" borderId="7" xfId="0" applyFont="1" applyFill="1" applyBorder="1"/>
    <xf numFmtId="0" fontId="13" fillId="7" borderId="7" xfId="0" applyFont="1" applyFill="1" applyBorder="1" applyAlignment="1">
      <alignment horizontal="center"/>
    </xf>
    <xf numFmtId="170" fontId="13" fillId="7" borderId="7" xfId="0" applyNumberFormat="1" applyFont="1" applyFill="1" applyBorder="1" applyAlignment="1">
      <alignment horizontal="center" vertical="center"/>
    </xf>
    <xf numFmtId="0" fontId="13" fillId="7" borderId="8" xfId="0" applyFont="1" applyFill="1" applyBorder="1" applyAlignment="1">
      <alignment horizontal="justify" vertical="center"/>
    </xf>
    <xf numFmtId="1" fontId="13" fillId="7" borderId="6" xfId="0" applyNumberFormat="1" applyFont="1" applyFill="1" applyBorder="1" applyAlignment="1">
      <alignment horizontal="center" vertical="center"/>
    </xf>
    <xf numFmtId="0" fontId="13" fillId="7" borderId="7" xfId="0" applyFont="1" applyFill="1" applyBorder="1" applyAlignment="1">
      <alignment horizontal="center" vertical="center"/>
    </xf>
    <xf numFmtId="0" fontId="12" fillId="0" borderId="8" xfId="0" applyFont="1" applyBorder="1"/>
    <xf numFmtId="174" fontId="13" fillId="0" borderId="1" xfId="20" applyFont="1" applyBorder="1"/>
    <xf numFmtId="9" fontId="13" fillId="0" borderId="6" xfId="3" applyFont="1" applyBorder="1"/>
    <xf numFmtId="0" fontId="13" fillId="0" borderId="2" xfId="0" applyFont="1" applyBorder="1"/>
    <xf numFmtId="167" fontId="13" fillId="0" borderId="7" xfId="0" applyNumberFormat="1" applyFont="1" applyBorder="1" applyAlignment="1">
      <alignment horizontal="right" vertical="center"/>
    </xf>
    <xf numFmtId="167" fontId="13" fillId="0" borderId="7" xfId="0" applyNumberFormat="1" applyFont="1" applyBorder="1" applyAlignment="1">
      <alignment horizontal="center"/>
    </xf>
    <xf numFmtId="0" fontId="13" fillId="0" borderId="7" xfId="0" applyFont="1" applyBorder="1" applyAlignment="1">
      <alignment horizontal="justify" vertical="center"/>
    </xf>
    <xf numFmtId="0" fontId="13" fillId="0" borderId="8" xfId="0" applyFont="1" applyBorder="1"/>
    <xf numFmtId="1" fontId="13" fillId="0" borderId="0" xfId="0" applyNumberFormat="1" applyFont="1"/>
    <xf numFmtId="0" fontId="13" fillId="7" borderId="0" xfId="0" applyFont="1" applyFill="1" applyAlignment="1">
      <alignment horizontal="justify" vertical="center"/>
    </xf>
    <xf numFmtId="0" fontId="13" fillId="7" borderId="0" xfId="0" applyFont="1" applyFill="1" applyAlignment="1">
      <alignment horizontal="center"/>
    </xf>
    <xf numFmtId="170" fontId="13" fillId="7" borderId="0" xfId="0" applyNumberFormat="1" applyFont="1" applyFill="1" applyAlignment="1">
      <alignment horizontal="center" vertical="center"/>
    </xf>
    <xf numFmtId="169" fontId="13" fillId="7" borderId="0" xfId="0" applyNumberFormat="1" applyFont="1" applyFill="1" applyAlignment="1">
      <alignment vertical="center"/>
    </xf>
    <xf numFmtId="177" fontId="13" fillId="7" borderId="0" xfId="0" applyNumberFormat="1" applyFont="1" applyFill="1" applyAlignment="1">
      <alignment horizontal="center" vertical="center"/>
    </xf>
    <xf numFmtId="1" fontId="13" fillId="7" borderId="0" xfId="0" applyNumberFormat="1" applyFont="1" applyFill="1" applyAlignment="1">
      <alignment horizontal="center" vertical="center"/>
    </xf>
    <xf numFmtId="0" fontId="12" fillId="0" borderId="0" xfId="0" applyFont="1"/>
    <xf numFmtId="174" fontId="12" fillId="0" borderId="0" xfId="20" applyFont="1"/>
    <xf numFmtId="9" fontId="12" fillId="0" borderId="0" xfId="3" applyFont="1"/>
    <xf numFmtId="167" fontId="13" fillId="0" borderId="0" xfId="0" applyNumberFormat="1" applyFont="1" applyAlignment="1">
      <alignment horizontal="right" vertical="center"/>
    </xf>
    <xf numFmtId="167" fontId="13" fillId="0" borderId="0" xfId="0" applyNumberFormat="1" applyFont="1" applyAlignment="1">
      <alignment horizontal="center"/>
    </xf>
    <xf numFmtId="0" fontId="13" fillId="0" borderId="0" xfId="0" applyFont="1" applyAlignment="1">
      <alignment horizontal="justify" vertical="center"/>
    </xf>
    <xf numFmtId="169" fontId="13" fillId="7" borderId="0" xfId="0" applyNumberFormat="1" applyFont="1" applyFill="1" applyAlignment="1">
      <alignment horizontal="center" vertical="center"/>
    </xf>
    <xf numFmtId="169" fontId="19" fillId="7" borderId="0" xfId="0" applyNumberFormat="1" applyFont="1" applyFill="1" applyAlignment="1">
      <alignment vertical="center"/>
    </xf>
    <xf numFmtId="169" fontId="19" fillId="7" borderId="0" xfId="0" applyNumberFormat="1" applyFont="1" applyFill="1" applyAlignment="1">
      <alignment horizontal="justify" vertical="center"/>
    </xf>
    <xf numFmtId="169" fontId="10" fillId="7" borderId="0" xfId="0" applyNumberFormat="1" applyFont="1" applyFill="1" applyAlignment="1">
      <alignment vertical="center"/>
    </xf>
    <xf numFmtId="43" fontId="13" fillId="7" borderId="13" xfId="1" applyFont="1" applyFill="1" applyBorder="1" applyAlignment="1">
      <alignment horizontal="center" vertical="center" wrapText="1"/>
    </xf>
    <xf numFmtId="43" fontId="5" fillId="20" borderId="7" xfId="1" applyFont="1" applyFill="1" applyBorder="1" applyAlignment="1">
      <alignment vertical="center"/>
    </xf>
    <xf numFmtId="43" fontId="5" fillId="16" borderId="2" xfId="1" applyFont="1" applyFill="1" applyBorder="1" applyAlignment="1">
      <alignment vertical="center"/>
    </xf>
    <xf numFmtId="43" fontId="13" fillId="7" borderId="7" xfId="1" applyFont="1" applyFill="1" applyBorder="1" applyAlignment="1">
      <alignment vertical="center"/>
    </xf>
    <xf numFmtId="43" fontId="13" fillId="7" borderId="1" xfId="1" applyFont="1" applyFill="1" applyBorder="1" applyAlignment="1">
      <alignment horizontal="center" vertical="center" wrapText="1"/>
    </xf>
    <xf numFmtId="43" fontId="13" fillId="0" borderId="1" xfId="1" applyFont="1" applyFill="1" applyBorder="1" applyAlignment="1">
      <alignment vertical="center" wrapText="1"/>
    </xf>
    <xf numFmtId="43" fontId="13" fillId="10" borderId="1" xfId="1" applyFont="1" applyFill="1" applyBorder="1" applyAlignment="1" applyProtection="1">
      <alignment horizontal="center" vertical="center" wrapText="1"/>
      <protection locked="0"/>
    </xf>
    <xf numFmtId="43" fontId="13" fillId="7" borderId="1" xfId="1" applyFont="1" applyFill="1" applyBorder="1" applyAlignment="1">
      <alignment horizontal="center"/>
    </xf>
    <xf numFmtId="43" fontId="13" fillId="7" borderId="1" xfId="1" applyFont="1" applyFill="1" applyBorder="1" applyAlignment="1">
      <alignment horizontal="center" vertical="center"/>
    </xf>
    <xf numFmtId="43" fontId="13" fillId="0" borderId="1" xfId="1" applyFont="1" applyFill="1" applyBorder="1" applyAlignment="1" applyProtection="1">
      <alignment horizontal="center" vertical="center" wrapText="1"/>
      <protection locked="0"/>
    </xf>
    <xf numFmtId="43" fontId="13" fillId="0" borderId="1" xfId="1" applyFont="1" applyFill="1" applyBorder="1" applyAlignment="1">
      <alignment horizontal="center" vertical="center" wrapText="1"/>
    </xf>
    <xf numFmtId="43" fontId="5" fillId="20" borderId="1" xfId="1" applyFont="1" applyFill="1" applyBorder="1" applyAlignment="1">
      <alignment horizontal="center" vertical="center"/>
    </xf>
    <xf numFmtId="43" fontId="5" fillId="16" borderId="1" xfId="1" applyFont="1" applyFill="1" applyBorder="1" applyAlignment="1">
      <alignment horizontal="center" vertical="center"/>
    </xf>
    <xf numFmtId="43" fontId="13" fillId="0" borderId="1" xfId="1" applyFont="1" applyBorder="1" applyAlignment="1">
      <alignment horizontal="left" vertical="center" indent="7"/>
    </xf>
    <xf numFmtId="43" fontId="13" fillId="0" borderId="1" xfId="1" applyFont="1" applyBorder="1" applyAlignment="1">
      <alignment horizontal="left" vertical="center" indent="6"/>
    </xf>
    <xf numFmtId="43" fontId="13" fillId="0" borderId="1" xfId="1" applyFont="1" applyFill="1" applyBorder="1" applyAlignment="1" applyProtection="1">
      <alignment vertical="center" wrapText="1"/>
      <protection locked="0"/>
    </xf>
    <xf numFmtId="43" fontId="13" fillId="7" borderId="1" xfId="1" applyFont="1" applyFill="1" applyBorder="1" applyAlignment="1">
      <alignment vertical="center" wrapText="1"/>
    </xf>
    <xf numFmtId="43" fontId="5" fillId="7" borderId="6" xfId="1" applyFont="1" applyFill="1" applyBorder="1" applyAlignment="1">
      <alignment horizontal="center" vertical="center"/>
    </xf>
    <xf numFmtId="43" fontId="13" fillId="20" borderId="7" xfId="1" applyFont="1" applyFill="1" applyBorder="1" applyAlignment="1">
      <alignment vertical="center"/>
    </xf>
    <xf numFmtId="43" fontId="5" fillId="16" borderId="2" xfId="1" applyFont="1" applyFill="1" applyBorder="1" applyAlignment="1">
      <alignment horizontal="left" vertical="center"/>
    </xf>
    <xf numFmtId="0" fontId="13" fillId="0" borderId="0" xfId="0" applyFont="1" applyAlignment="1">
      <alignment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vertical="center"/>
    </xf>
    <xf numFmtId="0" fontId="5" fillId="0" borderId="2" xfId="0" applyFont="1" applyBorder="1" applyAlignment="1">
      <alignment vertical="center"/>
    </xf>
    <xf numFmtId="10" fontId="5" fillId="0" borderId="2" xfId="0" applyNumberFormat="1" applyFont="1" applyBorder="1" applyAlignment="1">
      <alignment vertical="center"/>
    </xf>
    <xf numFmtId="4" fontId="5" fillId="0" borderId="2" xfId="0" applyNumberFormat="1" applyFont="1" applyBorder="1" applyAlignment="1">
      <alignment horizontal="center" vertical="center"/>
    </xf>
    <xf numFmtId="9" fontId="5" fillId="0" borderId="2" xfId="3" applyFont="1" applyBorder="1" applyAlignment="1">
      <alignment horizontal="center" vertical="center"/>
    </xf>
    <xf numFmtId="0" fontId="5" fillId="0" borderId="14" xfId="0" applyFont="1" applyBorder="1" applyAlignment="1">
      <alignment vertical="center"/>
    </xf>
    <xf numFmtId="1" fontId="5" fillId="3" borderId="13" xfId="0" applyNumberFormat="1" applyFont="1" applyFill="1" applyBorder="1" applyAlignment="1">
      <alignment horizontal="center" vertical="center" wrapText="1"/>
    </xf>
    <xf numFmtId="0" fontId="4" fillId="3" borderId="1" xfId="0" applyFont="1" applyFill="1" applyBorder="1" applyAlignment="1">
      <alignment vertical="center" wrapText="1"/>
    </xf>
    <xf numFmtId="1" fontId="13" fillId="3" borderId="15" xfId="0" applyNumberFormat="1" applyFont="1" applyFill="1" applyBorder="1" applyAlignment="1">
      <alignment horizontal="center" vertical="center" wrapText="1"/>
    </xf>
    <xf numFmtId="1" fontId="5" fillId="6" borderId="6" xfId="0" applyNumberFormat="1" applyFont="1" applyFill="1" applyBorder="1" applyAlignment="1">
      <alignment horizontal="center" vertical="center" wrapText="1"/>
    </xf>
    <xf numFmtId="1" fontId="5" fillId="6" borderId="7" xfId="0" applyNumberFormat="1" applyFont="1" applyFill="1" applyBorder="1" applyAlignment="1">
      <alignment vertical="center" wrapText="1"/>
    </xf>
    <xf numFmtId="1" fontId="5" fillId="6" borderId="7" xfId="0" applyNumberFormat="1" applyFont="1" applyFill="1" applyBorder="1" applyAlignment="1">
      <alignment horizontal="center" vertical="center" wrapText="1"/>
    </xf>
    <xf numFmtId="10" fontId="5" fillId="6" borderId="7" xfId="0" applyNumberFormat="1" applyFont="1" applyFill="1" applyBorder="1" applyAlignment="1">
      <alignment vertical="center" wrapText="1"/>
    </xf>
    <xf numFmtId="1" fontId="5" fillId="21" borderId="1" xfId="0" applyNumberFormat="1" applyFont="1" applyFill="1" applyBorder="1" applyAlignment="1">
      <alignment horizontal="center" vertical="center" wrapText="1"/>
    </xf>
    <xf numFmtId="1" fontId="5" fillId="6" borderId="8" xfId="0" applyNumberFormat="1" applyFont="1" applyFill="1" applyBorder="1" applyAlignment="1">
      <alignment vertical="center" wrapText="1"/>
    </xf>
    <xf numFmtId="1" fontId="5" fillId="8" borderId="6" xfId="0" applyNumberFormat="1" applyFont="1" applyFill="1" applyBorder="1" applyAlignment="1">
      <alignment horizontal="center" vertical="center"/>
    </xf>
    <xf numFmtId="0" fontId="5" fillId="8" borderId="2" xfId="0" applyFont="1" applyFill="1" applyBorder="1" applyAlignment="1">
      <alignment vertical="center"/>
    </xf>
    <xf numFmtId="0" fontId="5" fillId="8" borderId="2" xfId="0" applyFont="1" applyFill="1" applyBorder="1" applyAlignment="1">
      <alignment horizontal="center" vertical="center"/>
    </xf>
    <xf numFmtId="0" fontId="5" fillId="8" borderId="2" xfId="0" applyFont="1" applyFill="1" applyBorder="1" applyAlignment="1">
      <alignment horizontal="justify" vertical="center"/>
    </xf>
    <xf numFmtId="10" fontId="5" fillId="8" borderId="2" xfId="0" applyNumberFormat="1" applyFont="1" applyFill="1" applyBorder="1" applyAlignment="1">
      <alignment horizontal="center" vertical="center"/>
    </xf>
    <xf numFmtId="169" fontId="5" fillId="8" borderId="2" xfId="0" applyNumberFormat="1" applyFont="1" applyFill="1" applyBorder="1" applyAlignment="1">
      <alignment vertical="center"/>
    </xf>
    <xf numFmtId="1" fontId="5" fillId="8" borderId="2" xfId="0" applyNumberFormat="1" applyFont="1" applyFill="1" applyBorder="1" applyAlignment="1">
      <alignment horizontal="center" vertical="center"/>
    </xf>
    <xf numFmtId="4" fontId="5" fillId="8" borderId="2" xfId="0" applyNumberFormat="1" applyFont="1" applyFill="1" applyBorder="1" applyAlignment="1">
      <alignment vertical="center"/>
    </xf>
    <xf numFmtId="9" fontId="5" fillId="8" borderId="2" xfId="3" applyFont="1" applyFill="1" applyBorder="1" applyAlignment="1">
      <alignment vertical="center"/>
    </xf>
    <xf numFmtId="167" fontId="5" fillId="8" borderId="2" xfId="0" applyNumberFormat="1" applyFont="1" applyFill="1" applyBorder="1" applyAlignment="1">
      <alignment vertical="center"/>
    </xf>
    <xf numFmtId="0" fontId="5" fillId="8" borderId="14" xfId="0" applyFont="1" applyFill="1" applyBorder="1" applyAlignment="1">
      <alignment horizontal="justify" vertical="center"/>
    </xf>
    <xf numFmtId="0" fontId="5" fillId="7" borderId="4" xfId="0" applyFont="1" applyFill="1" applyBorder="1" applyAlignment="1">
      <alignment horizontal="center" vertical="center" wrapText="1"/>
    </xf>
    <xf numFmtId="1" fontId="5" fillId="9" borderId="1" xfId="0" applyNumberFormat="1" applyFont="1" applyFill="1" applyBorder="1" applyAlignment="1">
      <alignment horizontal="center" vertical="center" wrapText="1"/>
    </xf>
    <xf numFmtId="0" fontId="5" fillId="9" borderId="7" xfId="0" applyFont="1" applyFill="1" applyBorder="1" applyAlignment="1">
      <alignment vertical="center"/>
    </xf>
    <xf numFmtId="0" fontId="5" fillId="9" borderId="7" xfId="0" applyFont="1" applyFill="1" applyBorder="1" applyAlignment="1">
      <alignment horizontal="center" vertical="center"/>
    </xf>
    <xf numFmtId="0" fontId="5" fillId="9" borderId="7" xfId="0" applyFont="1" applyFill="1" applyBorder="1" applyAlignment="1">
      <alignment horizontal="justify" vertical="center"/>
    </xf>
    <xf numFmtId="10" fontId="5" fillId="9" borderId="7" xfId="0" applyNumberFormat="1" applyFont="1" applyFill="1" applyBorder="1" applyAlignment="1">
      <alignment horizontal="center" vertical="center"/>
    </xf>
    <xf numFmtId="169" fontId="5" fillId="9" borderId="7" xfId="0" applyNumberFormat="1" applyFont="1" applyFill="1" applyBorder="1" applyAlignment="1">
      <alignment vertical="center"/>
    </xf>
    <xf numFmtId="1" fontId="5" fillId="9" borderId="7" xfId="0" applyNumberFormat="1" applyFont="1" applyFill="1" applyBorder="1" applyAlignment="1">
      <alignment horizontal="center" vertical="center"/>
    </xf>
    <xf numFmtId="4" fontId="5" fillId="9" borderId="7" xfId="0" applyNumberFormat="1" applyFont="1" applyFill="1" applyBorder="1" applyAlignment="1">
      <alignment vertical="center"/>
    </xf>
    <xf numFmtId="9" fontId="5" fillId="9" borderId="7" xfId="3" applyFont="1" applyFill="1" applyBorder="1" applyAlignment="1">
      <alignment vertical="center"/>
    </xf>
    <xf numFmtId="167" fontId="5" fillId="9" borderId="7" xfId="0" applyNumberFormat="1" applyFont="1" applyFill="1" applyBorder="1" applyAlignment="1">
      <alignment vertical="center"/>
    </xf>
    <xf numFmtId="0" fontId="5" fillId="9" borderId="8" xfId="0" applyFont="1" applyFill="1" applyBorder="1" applyAlignment="1">
      <alignment horizontal="justify" vertical="center"/>
    </xf>
    <xf numFmtId="0" fontId="5" fillId="7" borderId="0" xfId="0" applyFont="1" applyFill="1" applyAlignment="1">
      <alignment horizontal="center" vertical="center" wrapText="1"/>
    </xf>
    <xf numFmtId="0" fontId="13" fillId="7" borderId="3" xfId="0" applyFont="1" applyFill="1" applyBorder="1" applyAlignment="1">
      <alignment horizontal="center" vertical="center" wrapText="1"/>
    </xf>
    <xf numFmtId="0" fontId="13" fillId="7" borderId="17" xfId="0" applyFont="1" applyFill="1" applyBorder="1" applyAlignment="1">
      <alignment horizontal="center" vertical="center" wrapText="1"/>
    </xf>
    <xf numFmtId="1" fontId="13" fillId="7" borderId="1" xfId="0" applyNumberFormat="1" applyFont="1" applyFill="1" applyBorder="1" applyAlignment="1">
      <alignment horizontal="center" vertical="center" wrapText="1"/>
    </xf>
    <xf numFmtId="4" fontId="13" fillId="7" borderId="1" xfId="1" applyNumberFormat="1" applyFont="1" applyFill="1" applyBorder="1" applyAlignment="1" applyProtection="1">
      <alignment horizontal="center" vertical="center" wrapText="1"/>
      <protection locked="0"/>
    </xf>
    <xf numFmtId="10" fontId="13" fillId="7" borderId="1" xfId="0" applyNumberFormat="1" applyFont="1" applyFill="1" applyBorder="1" applyAlignment="1">
      <alignment horizontal="center" vertical="center" wrapText="1"/>
    </xf>
    <xf numFmtId="4" fontId="13" fillId="7" borderId="13" xfId="1" applyNumberFormat="1" applyFont="1" applyFill="1" applyBorder="1" applyAlignment="1" applyProtection="1">
      <alignment horizontal="center" vertical="center" wrapText="1"/>
      <protection locked="0"/>
    </xf>
    <xf numFmtId="1" fontId="13" fillId="7" borderId="16" xfId="0" applyNumberFormat="1" applyFont="1" applyFill="1" applyBorder="1" applyAlignment="1">
      <alignment horizontal="center" vertical="center" wrapText="1"/>
    </xf>
    <xf numFmtId="0" fontId="13" fillId="7" borderId="5"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13" fillId="9" borderId="1" xfId="0" applyFont="1" applyFill="1" applyBorder="1" applyAlignment="1">
      <alignment vertical="center" wrapText="1"/>
    </xf>
    <xf numFmtId="0" fontId="13" fillId="9" borderId="1" xfId="0" applyFont="1" applyFill="1" applyBorder="1" applyAlignment="1">
      <alignment horizontal="justify" vertical="center" wrapText="1"/>
    </xf>
    <xf numFmtId="10" fontId="13" fillId="9" borderId="1" xfId="0" applyNumberFormat="1" applyFont="1" applyFill="1" applyBorder="1" applyAlignment="1">
      <alignment vertical="center" wrapText="1"/>
    </xf>
    <xf numFmtId="1" fontId="13" fillId="9" borderId="1" xfId="0" applyNumberFormat="1" applyFont="1" applyFill="1" applyBorder="1" applyAlignment="1">
      <alignment horizontal="center" vertical="center" wrapText="1"/>
    </xf>
    <xf numFmtId="0" fontId="13" fillId="9" borderId="1" xfId="0" applyFont="1" applyFill="1" applyBorder="1" applyAlignment="1">
      <alignment horizontal="center" vertical="center" wrapText="1"/>
    </xf>
    <xf numFmtId="1" fontId="5" fillId="9" borderId="1" xfId="0" applyNumberFormat="1" applyFont="1" applyFill="1" applyBorder="1" applyAlignment="1">
      <alignment vertical="center" textRotation="180" wrapText="1" readingOrder="2"/>
    </xf>
    <xf numFmtId="1" fontId="5" fillId="9" borderId="1" xfId="0" applyNumberFormat="1" applyFont="1" applyFill="1" applyBorder="1" applyAlignment="1">
      <alignment vertical="center" textRotation="180" wrapText="1"/>
    </xf>
    <xf numFmtId="1" fontId="13" fillId="9" borderId="1" xfId="0" applyNumberFormat="1" applyFont="1" applyFill="1" applyBorder="1" applyAlignment="1">
      <alignment vertical="center" textRotation="180" wrapText="1"/>
    </xf>
    <xf numFmtId="1" fontId="13" fillId="9" borderId="1" xfId="0" applyNumberFormat="1" applyFont="1" applyFill="1" applyBorder="1" applyAlignment="1">
      <alignment horizontal="center" vertical="center" textRotation="180" wrapText="1"/>
    </xf>
    <xf numFmtId="1" fontId="5" fillId="9" borderId="1" xfId="0" applyNumberFormat="1" applyFont="1" applyFill="1" applyBorder="1" applyAlignment="1">
      <alignment horizontal="center" vertical="center" textRotation="180" wrapText="1"/>
    </xf>
    <xf numFmtId="167" fontId="13" fillId="9" borderId="1" xfId="0" applyNumberFormat="1" applyFont="1" applyFill="1" applyBorder="1" applyAlignment="1">
      <alignment vertical="center" wrapText="1"/>
    </xf>
    <xf numFmtId="0" fontId="13" fillId="9" borderId="1" xfId="0" applyFont="1" applyFill="1" applyBorder="1" applyAlignment="1">
      <alignment vertical="center"/>
    </xf>
    <xf numFmtId="178" fontId="13" fillId="0" borderId="1" xfId="0" applyNumberFormat="1" applyFont="1" applyBorder="1" applyAlignment="1">
      <alignment horizontal="center" vertical="center" wrapText="1"/>
    </xf>
    <xf numFmtId="4" fontId="13" fillId="0" borderId="1" xfId="0" applyNumberFormat="1" applyFont="1" applyBorder="1" applyAlignment="1">
      <alignment horizontal="center" vertical="center" wrapText="1"/>
    </xf>
    <xf numFmtId="1" fontId="13" fillId="7" borderId="1" xfId="0" applyNumberFormat="1" applyFont="1" applyFill="1" applyBorder="1" applyAlignment="1">
      <alignment horizontal="center" vertical="center"/>
    </xf>
    <xf numFmtId="0" fontId="5" fillId="9" borderId="1" xfId="0" applyFont="1" applyFill="1" applyBorder="1" applyAlignment="1">
      <alignment horizontal="center" vertical="center"/>
    </xf>
    <xf numFmtId="0" fontId="5" fillId="9" borderId="1" xfId="0" applyFont="1" applyFill="1" applyBorder="1" applyAlignment="1">
      <alignment vertical="center"/>
    </xf>
    <xf numFmtId="0" fontId="13" fillId="9" borderId="0" xfId="0" applyFont="1" applyFill="1" applyAlignment="1">
      <alignment horizontal="center" vertical="center"/>
    </xf>
    <xf numFmtId="0" fontId="13" fillId="9" borderId="0" xfId="0" applyFont="1" applyFill="1" applyAlignment="1">
      <alignment horizontal="justify" vertical="center"/>
    </xf>
    <xf numFmtId="0" fontId="13" fillId="9" borderId="0" xfId="0" applyFont="1" applyFill="1" applyAlignment="1">
      <alignment vertical="center"/>
    </xf>
    <xf numFmtId="0" fontId="13" fillId="9" borderId="0" xfId="0" applyFont="1" applyFill="1" applyAlignment="1">
      <alignment vertical="center" wrapText="1"/>
    </xf>
    <xf numFmtId="10" fontId="13" fillId="9" borderId="0" xfId="0" applyNumberFormat="1" applyFont="1" applyFill="1" applyAlignment="1">
      <alignment horizontal="center" vertical="center"/>
    </xf>
    <xf numFmtId="0" fontId="13" fillId="9" borderId="0" xfId="0" applyFont="1" applyFill="1" applyAlignment="1">
      <alignment horizontal="justify" vertical="center" wrapText="1"/>
    </xf>
    <xf numFmtId="1" fontId="13" fillId="9" borderId="0" xfId="0" applyNumberFormat="1" applyFont="1" applyFill="1" applyAlignment="1">
      <alignment horizontal="center" vertical="center"/>
    </xf>
    <xf numFmtId="167" fontId="13" fillId="9" borderId="0" xfId="0" applyNumberFormat="1" applyFont="1" applyFill="1" applyAlignment="1">
      <alignment vertical="center" wrapText="1"/>
    </xf>
    <xf numFmtId="0" fontId="13" fillId="0" borderId="1" xfId="0" applyFont="1" applyBorder="1" applyAlignment="1">
      <alignment horizontal="center" vertical="center"/>
    </xf>
    <xf numFmtId="0" fontId="13" fillId="0" borderId="1" xfId="0" applyFont="1" applyBorder="1" applyAlignment="1">
      <alignment horizontal="justify" vertical="center" wrapText="1" readingOrder="2"/>
    </xf>
    <xf numFmtId="0" fontId="14" fillId="0" borderId="0" xfId="0" applyFont="1" applyAlignment="1">
      <alignment horizontal="justify" vertical="center" wrapText="1"/>
    </xf>
    <xf numFmtId="1" fontId="5" fillId="6" borderId="1" xfId="0" applyNumberFormat="1" applyFont="1" applyFill="1" applyBorder="1" applyAlignment="1">
      <alignment horizontal="center" vertical="center"/>
    </xf>
    <xf numFmtId="0" fontId="13" fillId="6" borderId="7" xfId="0" applyFont="1" applyFill="1" applyBorder="1" applyAlignment="1">
      <alignment vertical="center"/>
    </xf>
    <xf numFmtId="0" fontId="13" fillId="6" borderId="7" xfId="0" applyFont="1" applyFill="1" applyBorder="1" applyAlignment="1">
      <alignment horizontal="center" vertical="center"/>
    </xf>
    <xf numFmtId="0" fontId="13" fillId="6" borderId="4" xfId="0" applyFont="1" applyFill="1" applyBorder="1" applyAlignment="1">
      <alignment horizontal="justify" vertical="center"/>
    </xf>
    <xf numFmtId="0" fontId="13" fillId="6" borderId="4" xfId="0" applyFont="1" applyFill="1" applyBorder="1" applyAlignment="1">
      <alignment vertical="center"/>
    </xf>
    <xf numFmtId="0" fontId="13" fillId="6" borderId="4" xfId="0" applyFont="1" applyFill="1" applyBorder="1" applyAlignment="1">
      <alignment horizontal="center" vertical="center"/>
    </xf>
    <xf numFmtId="10" fontId="13" fillId="6" borderId="4" xfId="0" applyNumberFormat="1" applyFont="1" applyFill="1" applyBorder="1" applyAlignment="1">
      <alignment horizontal="center" vertical="center"/>
    </xf>
    <xf numFmtId="1" fontId="13" fillId="6" borderId="4" xfId="0" applyNumberFormat="1" applyFont="1" applyFill="1" applyBorder="1" applyAlignment="1">
      <alignment horizontal="center" vertical="center"/>
    </xf>
    <xf numFmtId="167" fontId="13" fillId="6" borderId="4" xfId="0" applyNumberFormat="1" applyFont="1" applyFill="1" applyBorder="1" applyAlignment="1">
      <alignment horizontal="center" vertical="center"/>
    </xf>
    <xf numFmtId="0" fontId="13" fillId="6" borderId="1" xfId="0" applyFont="1" applyFill="1" applyBorder="1" applyAlignment="1">
      <alignment vertical="center"/>
    </xf>
    <xf numFmtId="0" fontId="5" fillId="8" borderId="16" xfId="0" applyFont="1" applyFill="1" applyBorder="1" applyAlignment="1">
      <alignment horizontal="center" vertical="center"/>
    </xf>
    <xf numFmtId="0" fontId="13" fillId="8" borderId="2" xfId="0" applyFont="1" applyFill="1" applyBorder="1" applyAlignment="1">
      <alignment horizontal="center" vertical="center"/>
    </xf>
    <xf numFmtId="0" fontId="13" fillId="8" borderId="7" xfId="0" applyFont="1" applyFill="1" applyBorder="1" applyAlignment="1">
      <alignment horizontal="justify" vertical="center"/>
    </xf>
    <xf numFmtId="0" fontId="13" fillId="8" borderId="7" xfId="0" applyFont="1" applyFill="1" applyBorder="1" applyAlignment="1">
      <alignment vertical="center"/>
    </xf>
    <xf numFmtId="0" fontId="13" fillId="8" borderId="7" xfId="0" applyFont="1" applyFill="1" applyBorder="1" applyAlignment="1">
      <alignment horizontal="center" vertical="center"/>
    </xf>
    <xf numFmtId="10" fontId="13" fillId="8" borderId="7" xfId="0" applyNumberFormat="1" applyFont="1" applyFill="1" applyBorder="1" applyAlignment="1">
      <alignment horizontal="center" vertical="center"/>
    </xf>
    <xf numFmtId="1" fontId="13" fillId="8" borderId="7" xfId="0" applyNumberFormat="1" applyFont="1" applyFill="1" applyBorder="1" applyAlignment="1">
      <alignment horizontal="center" vertical="center"/>
    </xf>
    <xf numFmtId="167" fontId="13" fillId="8" borderId="7" xfId="0" applyNumberFormat="1" applyFont="1" applyFill="1" applyBorder="1" applyAlignment="1">
      <alignment horizontal="center" vertical="center"/>
    </xf>
    <xf numFmtId="0" fontId="13" fillId="8" borderId="1" xfId="0" applyFont="1" applyFill="1" applyBorder="1" applyAlignment="1">
      <alignment vertical="center"/>
    </xf>
    <xf numFmtId="0" fontId="5" fillId="9" borderId="4" xfId="0" applyFont="1" applyFill="1" applyBorder="1" applyAlignment="1">
      <alignment vertical="center"/>
    </xf>
    <xf numFmtId="0" fontId="13" fillId="9" borderId="7" xfId="0" applyFont="1" applyFill="1" applyBorder="1" applyAlignment="1">
      <alignment horizontal="justify" vertical="center"/>
    </xf>
    <xf numFmtId="10" fontId="13" fillId="9" borderId="7" xfId="0" applyNumberFormat="1" applyFont="1" applyFill="1" applyBorder="1" applyAlignment="1">
      <alignment horizontal="center" vertical="center"/>
    </xf>
    <xf numFmtId="1" fontId="13" fillId="9" borderId="7" xfId="0" applyNumberFormat="1" applyFont="1" applyFill="1" applyBorder="1" applyAlignment="1">
      <alignment horizontal="center" vertical="center"/>
    </xf>
    <xf numFmtId="0" fontId="13" fillId="9" borderId="7" xfId="0" applyFont="1" applyFill="1" applyBorder="1" applyAlignment="1">
      <alignment horizontal="center" vertical="center"/>
    </xf>
    <xf numFmtId="0" fontId="13" fillId="9" borderId="7" xfId="0" applyFont="1" applyFill="1" applyBorder="1" applyAlignment="1">
      <alignment vertical="center"/>
    </xf>
    <xf numFmtId="167" fontId="13" fillId="9" borderId="7" xfId="0" applyNumberFormat="1" applyFont="1" applyFill="1" applyBorder="1" applyAlignment="1">
      <alignment horizontal="center" vertical="center"/>
    </xf>
    <xf numFmtId="0" fontId="5" fillId="9" borderId="0" xfId="0" applyFont="1" applyFill="1" applyAlignment="1">
      <alignment vertical="center"/>
    </xf>
    <xf numFmtId="0" fontId="13" fillId="7" borderId="16" xfId="0" applyFont="1" applyFill="1" applyBorder="1" applyAlignment="1">
      <alignment vertical="center"/>
    </xf>
    <xf numFmtId="0" fontId="5" fillId="9" borderId="6" xfId="0" applyFont="1" applyFill="1" applyBorder="1" applyAlignment="1">
      <alignment vertical="center"/>
    </xf>
    <xf numFmtId="3" fontId="13" fillId="7" borderId="38" xfId="0" applyNumberFormat="1" applyFont="1" applyFill="1" applyBorder="1" applyAlignment="1">
      <alignment horizontal="center" vertical="center" wrapText="1"/>
    </xf>
    <xf numFmtId="3" fontId="13" fillId="7" borderId="40" xfId="0" applyNumberFormat="1" applyFont="1" applyFill="1" applyBorder="1" applyAlignment="1">
      <alignment horizontal="center" vertical="center" wrapText="1"/>
    </xf>
    <xf numFmtId="0" fontId="5" fillId="9" borderId="6" xfId="0" applyFont="1" applyFill="1" applyBorder="1" applyAlignment="1">
      <alignment horizontal="justify" vertical="center"/>
    </xf>
    <xf numFmtId="0" fontId="13" fillId="9" borderId="7" xfId="0" applyFont="1" applyFill="1" applyBorder="1" applyAlignment="1">
      <alignment horizontal="justify" vertical="center" wrapText="1"/>
    </xf>
    <xf numFmtId="1" fontId="13" fillId="0" borderId="16" xfId="0" applyNumberFormat="1" applyFont="1" applyBorder="1" applyAlignment="1">
      <alignment horizontal="center" vertical="center" wrapText="1"/>
    </xf>
    <xf numFmtId="1" fontId="13" fillId="0" borderId="1" xfId="0" applyNumberFormat="1" applyFont="1" applyBorder="1" applyAlignment="1">
      <alignment horizontal="center" vertical="center" wrapText="1"/>
    </xf>
    <xf numFmtId="0" fontId="13" fillId="7" borderId="1" xfId="0" applyFont="1" applyFill="1" applyBorder="1" applyAlignment="1">
      <alignment horizontal="justify" vertical="center"/>
    </xf>
    <xf numFmtId="2" fontId="13" fillId="0" borderId="1" xfId="0" applyNumberFormat="1" applyFont="1" applyBorder="1" applyAlignment="1">
      <alignment horizontal="center" vertical="center" wrapText="1"/>
    </xf>
    <xf numFmtId="1" fontId="5" fillId="6" borderId="6" xfId="0" applyNumberFormat="1" applyFont="1" applyFill="1" applyBorder="1" applyAlignment="1">
      <alignment horizontal="center" vertical="center"/>
    </xf>
    <xf numFmtId="0" fontId="5" fillId="6" borderId="4" xfId="0" applyFont="1" applyFill="1" applyBorder="1" applyAlignment="1">
      <alignment vertical="center"/>
    </xf>
    <xf numFmtId="0" fontId="13" fillId="6" borderId="0" xfId="0" applyFont="1" applyFill="1" applyAlignment="1">
      <alignment vertical="center"/>
    </xf>
    <xf numFmtId="0" fontId="13" fillId="6" borderId="2" xfId="0" applyFont="1" applyFill="1" applyBorder="1" applyAlignment="1">
      <alignment vertical="center"/>
    </xf>
    <xf numFmtId="0" fontId="13" fillId="6" borderId="2" xfId="0" applyFont="1" applyFill="1" applyBorder="1" applyAlignment="1">
      <alignment horizontal="center" vertical="center"/>
    </xf>
    <xf numFmtId="0" fontId="13" fillId="6" borderId="2" xfId="0" applyFont="1" applyFill="1" applyBorder="1" applyAlignment="1">
      <alignment horizontal="justify" vertical="center"/>
    </xf>
    <xf numFmtId="10" fontId="13" fillId="6" borderId="2" xfId="0" applyNumberFormat="1" applyFont="1" applyFill="1" applyBorder="1" applyAlignment="1">
      <alignment horizontal="center" vertical="center"/>
    </xf>
    <xf numFmtId="1" fontId="13" fillId="6" borderId="2" xfId="0" applyNumberFormat="1" applyFont="1" applyFill="1" applyBorder="1" applyAlignment="1">
      <alignment horizontal="center" vertical="center"/>
    </xf>
    <xf numFmtId="167" fontId="13" fillId="6" borderId="2" xfId="0" applyNumberFormat="1" applyFont="1" applyFill="1" applyBorder="1" applyAlignment="1">
      <alignment horizontal="center" vertical="center"/>
    </xf>
    <xf numFmtId="0" fontId="5" fillId="22" borderId="1" xfId="0" applyFont="1" applyFill="1" applyBorder="1" applyAlignment="1">
      <alignment horizontal="center" vertical="center"/>
    </xf>
    <xf numFmtId="0" fontId="5" fillId="22" borderId="7" xfId="0" applyFont="1" applyFill="1" applyBorder="1" applyAlignment="1">
      <alignment vertical="center"/>
    </xf>
    <xf numFmtId="0" fontId="5" fillId="22" borderId="7" xfId="0" applyFont="1" applyFill="1" applyBorder="1" applyAlignment="1">
      <alignment horizontal="center" vertical="center"/>
    </xf>
    <xf numFmtId="0" fontId="13" fillId="22" borderId="7" xfId="0" applyFont="1" applyFill="1" applyBorder="1" applyAlignment="1">
      <alignment horizontal="center" vertical="center"/>
    </xf>
    <xf numFmtId="0" fontId="13" fillId="22" borderId="7" xfId="0" applyFont="1" applyFill="1" applyBorder="1" applyAlignment="1">
      <alignment horizontal="justify" vertical="center"/>
    </xf>
    <xf numFmtId="0" fontId="13" fillId="22" borderId="7" xfId="0" applyFont="1" applyFill="1" applyBorder="1" applyAlignment="1">
      <alignment vertical="center"/>
    </xf>
    <xf numFmtId="10" fontId="13" fillId="22" borderId="7" xfId="0" applyNumberFormat="1" applyFont="1" applyFill="1" applyBorder="1" applyAlignment="1">
      <alignment horizontal="center" vertical="center"/>
    </xf>
    <xf numFmtId="1" fontId="13" fillId="22" borderId="7" xfId="0" applyNumberFormat="1" applyFont="1" applyFill="1" applyBorder="1" applyAlignment="1">
      <alignment horizontal="center" vertical="center"/>
    </xf>
    <xf numFmtId="167" fontId="13" fillId="22" borderId="7" xfId="0" applyNumberFormat="1" applyFont="1" applyFill="1" applyBorder="1" applyAlignment="1">
      <alignment horizontal="center" vertical="center"/>
    </xf>
    <xf numFmtId="0" fontId="13" fillId="16" borderId="1" xfId="0" applyFont="1" applyFill="1" applyBorder="1" applyAlignment="1">
      <alignment vertical="center"/>
    </xf>
    <xf numFmtId="1" fontId="5" fillId="0" borderId="1" xfId="0" applyNumberFormat="1" applyFont="1" applyBorder="1" applyAlignment="1">
      <alignment vertical="center"/>
    </xf>
    <xf numFmtId="0" fontId="5" fillId="0" borderId="1" xfId="0" applyFont="1" applyBorder="1" applyAlignment="1">
      <alignment horizontal="center" vertical="center"/>
    </xf>
    <xf numFmtId="0" fontId="5" fillId="7" borderId="1" xfId="0" applyFont="1" applyFill="1" applyBorder="1" applyAlignment="1">
      <alignment horizontal="justify" vertical="center"/>
    </xf>
    <xf numFmtId="0" fontId="6" fillId="7" borderId="1" xfId="0" applyFont="1" applyFill="1" applyBorder="1" applyAlignment="1">
      <alignment vertical="center" wrapText="1"/>
    </xf>
    <xf numFmtId="0" fontId="5" fillId="7" borderId="1" xfId="0" applyFont="1" applyFill="1" applyBorder="1" applyAlignment="1">
      <alignment vertical="center"/>
    </xf>
    <xf numFmtId="10" fontId="5" fillId="7" borderId="1" xfId="0" applyNumberFormat="1" applyFont="1" applyFill="1" applyBorder="1" applyAlignment="1">
      <alignment horizontal="center" vertical="center"/>
    </xf>
    <xf numFmtId="0" fontId="6" fillId="7" borderId="1" xfId="0" applyFont="1" applyFill="1" applyBorder="1" applyAlignment="1">
      <alignment horizontal="justify" vertical="center" wrapText="1"/>
    </xf>
    <xf numFmtId="1" fontId="5" fillId="7" borderId="1" xfId="0" applyNumberFormat="1" applyFont="1" applyFill="1" applyBorder="1" applyAlignment="1">
      <alignment horizontal="center" vertical="center"/>
    </xf>
    <xf numFmtId="9" fontId="5" fillId="0" borderId="1" xfId="3" applyFont="1" applyBorder="1" applyAlignment="1">
      <alignment vertical="center"/>
    </xf>
    <xf numFmtId="167" fontId="5" fillId="0" borderId="1" xfId="0" applyNumberFormat="1" applyFont="1" applyBorder="1" applyAlignment="1">
      <alignment horizontal="right" vertical="center"/>
    </xf>
    <xf numFmtId="167" fontId="5" fillId="0" borderId="1" xfId="0" applyNumberFormat="1" applyFont="1" applyBorder="1" applyAlignment="1">
      <alignment horizontal="center" vertical="center"/>
    </xf>
    <xf numFmtId="1" fontId="13" fillId="0" borderId="0" xfId="0" applyNumberFormat="1" applyFont="1" applyAlignment="1">
      <alignment vertical="center"/>
    </xf>
    <xf numFmtId="0" fontId="3" fillId="7" borderId="0" xfId="0" applyFont="1" applyFill="1" applyAlignment="1">
      <alignment vertical="center" wrapText="1"/>
    </xf>
    <xf numFmtId="10" fontId="13" fillId="7" borderId="0" xfId="0" applyNumberFormat="1" applyFont="1" applyFill="1" applyAlignment="1">
      <alignment horizontal="center" vertical="center"/>
    </xf>
    <xf numFmtId="4" fontId="13" fillId="0" borderId="0" xfId="0" applyNumberFormat="1" applyFont="1" applyAlignment="1">
      <alignment vertical="center"/>
    </xf>
    <xf numFmtId="9" fontId="13" fillId="0" borderId="0" xfId="3" applyFont="1" applyAlignment="1">
      <alignment vertical="center"/>
    </xf>
    <xf numFmtId="167" fontId="13" fillId="0" borderId="0" xfId="0" applyNumberFormat="1" applyFont="1" applyAlignment="1">
      <alignment horizontal="center" vertical="center"/>
    </xf>
    <xf numFmtId="3" fontId="20" fillId="0" borderId="0" xfId="22" applyNumberFormat="1" applyFont="1" applyAlignment="1">
      <alignment horizontal="center" vertical="center"/>
    </xf>
    <xf numFmtId="3" fontId="20" fillId="0" borderId="0" xfId="0" applyNumberFormat="1" applyFont="1" applyAlignment="1">
      <alignment horizontal="center" vertical="center"/>
    </xf>
    <xf numFmtId="168" fontId="20" fillId="0" borderId="0" xfId="22" applyNumberFormat="1" applyFont="1" applyAlignment="1">
      <alignment horizontal="center" vertical="center"/>
    </xf>
    <xf numFmtId="43" fontId="13" fillId="9" borderId="1" xfId="1" applyFont="1" applyFill="1" applyBorder="1" applyAlignment="1">
      <alignment vertical="center" wrapText="1"/>
    </xf>
    <xf numFmtId="43" fontId="13" fillId="9" borderId="0" xfId="1" applyFont="1" applyFill="1" applyAlignment="1">
      <alignment vertical="center"/>
    </xf>
    <xf numFmtId="43" fontId="13" fillId="6" borderId="4" xfId="1" applyFont="1" applyFill="1" applyBorder="1" applyAlignment="1">
      <alignment vertical="center"/>
    </xf>
    <xf numFmtId="43" fontId="13" fillId="8" borderId="7" xfId="1" applyFont="1" applyFill="1" applyBorder="1" applyAlignment="1">
      <alignment vertical="center"/>
    </xf>
    <xf numFmtId="43" fontId="13" fillId="9" borderId="7" xfId="1" applyFont="1" applyFill="1" applyBorder="1" applyAlignment="1">
      <alignment vertical="center"/>
    </xf>
    <xf numFmtId="43" fontId="5" fillId="9" borderId="7" xfId="1" applyFont="1" applyFill="1" applyBorder="1" applyAlignment="1">
      <alignment vertical="center"/>
    </xf>
    <xf numFmtId="43" fontId="13" fillId="6" borderId="2" xfId="1" applyFont="1" applyFill="1" applyBorder="1" applyAlignment="1">
      <alignment vertical="center"/>
    </xf>
    <xf numFmtId="43" fontId="13" fillId="22" borderId="7" xfId="1" applyFont="1" applyFill="1" applyBorder="1" applyAlignment="1">
      <alignment vertical="center"/>
    </xf>
    <xf numFmtId="43" fontId="5" fillId="7" borderId="1" xfId="1" applyFont="1" applyFill="1" applyBorder="1" applyAlignment="1">
      <alignment horizontal="center" vertical="center"/>
    </xf>
    <xf numFmtId="43" fontId="13" fillId="7" borderId="1" xfId="1" applyFont="1" applyFill="1" applyBorder="1" applyAlignment="1">
      <alignment horizontal="right" vertical="center" wrapText="1"/>
    </xf>
    <xf numFmtId="43" fontId="13" fillId="7" borderId="16" xfId="1" applyFont="1" applyFill="1" applyBorder="1" applyAlignment="1">
      <alignment horizontal="right" vertical="center" wrapText="1"/>
    </xf>
    <xf numFmtId="43" fontId="13" fillId="7" borderId="15" xfId="1" applyFont="1" applyFill="1" applyBorder="1" applyAlignment="1">
      <alignment horizontal="right" vertical="center" wrapText="1"/>
    </xf>
    <xf numFmtId="43" fontId="13" fillId="9" borderId="1" xfId="1" applyFont="1" applyFill="1" applyBorder="1" applyAlignment="1">
      <alignment horizontal="center" vertical="center" wrapText="1"/>
    </xf>
    <xf numFmtId="43" fontId="13" fillId="7" borderId="1" xfId="1" applyFont="1" applyFill="1" applyBorder="1" applyAlignment="1">
      <alignment horizontal="right" vertical="center"/>
    </xf>
    <xf numFmtId="43" fontId="13" fillId="9" borderId="0" xfId="1" applyFont="1" applyFill="1" applyAlignment="1">
      <alignment horizontal="center" vertical="center"/>
    </xf>
    <xf numFmtId="43" fontId="13" fillId="7" borderId="1" xfId="1" applyFont="1" applyFill="1" applyBorder="1" applyAlignment="1">
      <alignment vertical="center"/>
    </xf>
    <xf numFmtId="43" fontId="13" fillId="7" borderId="13" xfId="1" applyFont="1" applyFill="1" applyBorder="1" applyAlignment="1">
      <alignment vertical="center"/>
    </xf>
    <xf numFmtId="43" fontId="13" fillId="6" borderId="4" xfId="1" applyFont="1" applyFill="1" applyBorder="1" applyAlignment="1">
      <alignment horizontal="center" vertical="center"/>
    </xf>
    <xf numFmtId="43" fontId="13" fillId="8" borderId="7" xfId="1" applyFont="1" applyFill="1" applyBorder="1" applyAlignment="1">
      <alignment horizontal="center" vertical="center"/>
    </xf>
    <xf numFmtId="43" fontId="13" fillId="9" borderId="7" xfId="1" applyFont="1" applyFill="1" applyBorder="1" applyAlignment="1">
      <alignment horizontal="center" vertical="center"/>
    </xf>
    <xf numFmtId="43" fontId="3" fillId="0" borderId="16" xfId="1" applyFont="1" applyBorder="1" applyAlignment="1">
      <alignment horizontal="right" vertical="center" wrapText="1"/>
    </xf>
    <xf numFmtId="43" fontId="13" fillId="7" borderId="16" xfId="1" applyFont="1" applyFill="1" applyBorder="1" applyAlignment="1">
      <alignment horizontal="right" vertical="center"/>
    </xf>
    <xf numFmtId="43" fontId="13" fillId="6" borderId="2" xfId="1" applyFont="1" applyFill="1" applyBorder="1" applyAlignment="1">
      <alignment horizontal="center" vertical="center"/>
    </xf>
    <xf numFmtId="43" fontId="13" fillId="22" borderId="7" xfId="1" applyFont="1" applyFill="1" applyBorder="1" applyAlignment="1">
      <alignment horizontal="center" vertical="center"/>
    </xf>
    <xf numFmtId="43" fontId="13" fillId="9" borderId="1" xfId="1" applyFont="1" applyFill="1" applyBorder="1" applyAlignment="1">
      <alignment vertical="center"/>
    </xf>
    <xf numFmtId="43" fontId="13" fillId="6" borderId="1" xfId="1" applyFont="1" applyFill="1" applyBorder="1" applyAlignment="1">
      <alignment horizontal="justify" vertical="center"/>
    </xf>
    <xf numFmtId="43" fontId="13" fillId="6" borderId="1" xfId="1" applyFont="1" applyFill="1" applyBorder="1" applyAlignment="1">
      <alignment vertical="center"/>
    </xf>
    <xf numFmtId="43" fontId="13" fillId="8" borderId="1" xfId="1" applyFont="1" applyFill="1" applyBorder="1" applyAlignment="1">
      <alignment horizontal="justify" vertical="center"/>
    </xf>
    <xf numFmtId="43" fontId="13" fillId="8" borderId="1" xfId="1" applyFont="1" applyFill="1" applyBorder="1" applyAlignment="1">
      <alignment vertical="center"/>
    </xf>
    <xf numFmtId="43" fontId="13" fillId="9" borderId="1" xfId="1" applyFont="1" applyFill="1" applyBorder="1" applyAlignment="1">
      <alignment horizontal="justify" vertical="center"/>
    </xf>
    <xf numFmtId="43" fontId="5" fillId="9" borderId="1" xfId="1" applyFont="1" applyFill="1" applyBorder="1" applyAlignment="1">
      <alignment vertical="center"/>
    </xf>
    <xf numFmtId="43" fontId="13" fillId="6" borderId="14" xfId="1" applyFont="1" applyFill="1" applyBorder="1" applyAlignment="1">
      <alignment horizontal="justify" vertical="center"/>
    </xf>
    <xf numFmtId="43" fontId="13" fillId="16" borderId="1" xfId="1" applyFont="1" applyFill="1" applyBorder="1" applyAlignment="1">
      <alignment horizontal="justify" vertical="center"/>
    </xf>
    <xf numFmtId="43" fontId="13" fillId="16" borderId="1" xfId="1" applyFont="1" applyFill="1" applyBorder="1" applyAlignment="1">
      <alignment vertical="center"/>
    </xf>
    <xf numFmtId="0" fontId="6" fillId="6" borderId="7" xfId="0" applyFont="1" applyFill="1" applyBorder="1" applyAlignment="1">
      <alignment vertical="center" wrapText="1"/>
    </xf>
    <xf numFmtId="0" fontId="6" fillId="23" borderId="7" xfId="0" applyFont="1" applyFill="1" applyBorder="1" applyAlignment="1">
      <alignment vertical="center" wrapText="1"/>
    </xf>
    <xf numFmtId="0" fontId="3" fillId="9" borderId="7" xfId="0" applyFont="1" applyFill="1" applyBorder="1" applyAlignment="1">
      <alignment vertical="center" wrapText="1"/>
    </xf>
    <xf numFmtId="1" fontId="18" fillId="7" borderId="13" xfId="0" applyNumberFormat="1" applyFont="1" applyFill="1" applyBorder="1" applyAlignment="1">
      <alignment horizontal="center" vertical="center" wrapText="1"/>
    </xf>
    <xf numFmtId="1" fontId="18" fillId="7" borderId="15" xfId="0" applyNumberFormat="1" applyFont="1" applyFill="1" applyBorder="1" applyAlignment="1">
      <alignment horizontal="center" vertical="center" wrapText="1"/>
    </xf>
    <xf numFmtId="1" fontId="18" fillId="7" borderId="16" xfId="0" applyNumberFormat="1" applyFont="1" applyFill="1" applyBorder="1" applyAlignment="1">
      <alignment horizontal="center" vertical="center" wrapText="1"/>
    </xf>
    <xf numFmtId="0" fontId="18" fillId="9" borderId="7" xfId="0" applyFont="1" applyFill="1" applyBorder="1" applyAlignment="1">
      <alignment vertical="center" wrapText="1"/>
    </xf>
    <xf numFmtId="1" fontId="18" fillId="9" borderId="7" xfId="0" applyNumberFormat="1" applyFont="1" applyFill="1" applyBorder="1" applyAlignment="1">
      <alignment horizontal="center" vertical="center" wrapText="1"/>
    </xf>
    <xf numFmtId="43" fontId="18" fillId="9" borderId="7" xfId="6" applyFont="1" applyFill="1" applyBorder="1" applyAlignment="1">
      <alignment vertical="center" wrapText="1"/>
    </xf>
    <xf numFmtId="43" fontId="18" fillId="9" borderId="6" xfId="6" applyFont="1" applyFill="1" applyBorder="1" applyAlignment="1">
      <alignment vertical="center" wrapText="1"/>
    </xf>
    <xf numFmtId="0" fontId="18" fillId="9" borderId="66" xfId="0" applyFont="1" applyFill="1" applyBorder="1" applyAlignment="1">
      <alignment vertical="center" wrapText="1"/>
    </xf>
    <xf numFmtId="1" fontId="18" fillId="7" borderId="1" xfId="0" applyNumberFormat="1" applyFont="1" applyFill="1" applyBorder="1" applyAlignment="1">
      <alignment horizontal="center" vertical="center" wrapText="1"/>
    </xf>
    <xf numFmtId="0" fontId="22" fillId="23" borderId="7" xfId="0" applyFont="1" applyFill="1" applyBorder="1" applyAlignment="1">
      <alignment vertical="center" wrapText="1"/>
    </xf>
    <xf numFmtId="1" fontId="22" fillId="23" borderId="7" xfId="0" applyNumberFormat="1" applyFont="1" applyFill="1" applyBorder="1" applyAlignment="1">
      <alignment horizontal="center" vertical="center" wrapText="1"/>
    </xf>
    <xf numFmtId="43" fontId="22" fillId="23" borderId="7" xfId="6" applyFont="1" applyFill="1" applyBorder="1" applyAlignment="1">
      <alignment vertical="center" wrapText="1"/>
    </xf>
    <xf numFmtId="0" fontId="22" fillId="23" borderId="66" xfId="0" applyFont="1" applyFill="1" applyBorder="1" applyAlignment="1">
      <alignment vertical="center" wrapText="1"/>
    </xf>
    <xf numFmtId="0" fontId="22" fillId="9" borderId="7" xfId="0" applyFont="1" applyFill="1" applyBorder="1" applyAlignment="1">
      <alignment vertical="center" wrapText="1"/>
    </xf>
    <xf numFmtId="1" fontId="22" fillId="9" borderId="7" xfId="0" applyNumberFormat="1" applyFont="1" applyFill="1" applyBorder="1" applyAlignment="1">
      <alignment horizontal="center" vertical="center" wrapText="1"/>
    </xf>
    <xf numFmtId="43" fontId="22" fillId="9" borderId="7" xfId="6" applyFont="1" applyFill="1" applyBorder="1" applyAlignment="1">
      <alignment vertical="center" wrapText="1"/>
    </xf>
    <xf numFmtId="0" fontId="22" fillId="9" borderId="66" xfId="0" applyFont="1" applyFill="1" applyBorder="1" applyAlignment="1">
      <alignment vertical="center" wrapText="1"/>
    </xf>
    <xf numFmtId="0" fontId="18" fillId="7" borderId="1" xfId="0" applyFont="1" applyFill="1" applyBorder="1" applyAlignment="1">
      <alignment vertical="center" wrapText="1"/>
    </xf>
    <xf numFmtId="3" fontId="18" fillId="7" borderId="13" xfId="0" applyNumberFormat="1" applyFont="1" applyFill="1" applyBorder="1" applyAlignment="1">
      <alignment horizontal="center" vertical="center" wrapText="1"/>
    </xf>
    <xf numFmtId="3" fontId="18" fillId="7" borderId="15" xfId="0" applyNumberFormat="1" applyFont="1" applyFill="1" applyBorder="1" applyAlignment="1">
      <alignment horizontal="center" vertical="center" wrapText="1"/>
    </xf>
    <xf numFmtId="0" fontId="18" fillId="0" borderId="19" xfId="0" applyFont="1" applyBorder="1" applyAlignment="1">
      <alignment horizontal="center" vertical="center"/>
    </xf>
    <xf numFmtId="1" fontId="18" fillId="7" borderId="14" xfId="0" applyNumberFormat="1" applyFont="1" applyFill="1" applyBorder="1" applyAlignment="1">
      <alignment horizontal="center" vertical="center" wrapText="1"/>
    </xf>
    <xf numFmtId="0" fontId="18" fillId="7" borderId="1" xfId="0" applyFont="1" applyFill="1" applyBorder="1" applyAlignment="1">
      <alignment horizontal="center" vertical="center" wrapText="1"/>
    </xf>
    <xf numFmtId="3" fontId="18" fillId="7" borderId="16" xfId="0" applyNumberFormat="1" applyFont="1" applyFill="1" applyBorder="1" applyAlignment="1">
      <alignment horizontal="center" vertical="center" wrapText="1"/>
    </xf>
    <xf numFmtId="0" fontId="18" fillId="9" borderId="7" xfId="0" applyFont="1" applyFill="1" applyBorder="1" applyAlignment="1">
      <alignment horizontal="center" vertical="center" wrapText="1"/>
    </xf>
    <xf numFmtId="0" fontId="18" fillId="7" borderId="13" xfId="0" applyFont="1" applyFill="1" applyBorder="1" applyAlignment="1">
      <alignment horizontal="center" vertical="center" wrapText="1"/>
    </xf>
    <xf numFmtId="0" fontId="18" fillId="7" borderId="15" xfId="0" applyFont="1" applyFill="1" applyBorder="1" applyAlignment="1">
      <alignment horizontal="center" vertical="center" wrapText="1"/>
    </xf>
    <xf numFmtId="0" fontId="18" fillId="0" borderId="31" xfId="0" applyFont="1" applyBorder="1" applyAlignment="1">
      <alignment horizontal="center" vertical="center" wrapText="1"/>
    </xf>
    <xf numFmtId="43" fontId="22" fillId="0" borderId="33" xfId="6" applyFont="1" applyBorder="1" applyAlignment="1">
      <alignment horizontal="right" vertical="center" wrapText="1"/>
    </xf>
    <xf numFmtId="176" fontId="3" fillId="0" borderId="0" xfId="19" applyFont="1" applyAlignment="1">
      <alignment horizontal="justify" vertical="center"/>
    </xf>
    <xf numFmtId="0" fontId="4" fillId="0" borderId="38" xfId="0" applyFont="1" applyBorder="1"/>
    <xf numFmtId="0" fontId="4" fillId="0" borderId="73" xfId="0" applyFont="1" applyBorder="1"/>
    <xf numFmtId="0" fontId="4" fillId="0" borderId="1" xfId="0" applyFont="1" applyBorder="1" applyAlignment="1">
      <alignment horizontal="left"/>
    </xf>
    <xf numFmtId="164" fontId="4" fillId="0" borderId="39" xfId="0" applyNumberFormat="1" applyFont="1" applyBorder="1" applyAlignment="1">
      <alignment horizontal="left"/>
    </xf>
    <xf numFmtId="0" fontId="4" fillId="0" borderId="1" xfId="0" applyFont="1" applyBorder="1"/>
    <xf numFmtId="17" fontId="4" fillId="0" borderId="39" xfId="0" applyNumberFormat="1" applyFont="1" applyBorder="1" applyAlignment="1">
      <alignment horizontal="left"/>
    </xf>
    <xf numFmtId="3" fontId="4" fillId="2" borderId="39" xfId="0" applyNumberFormat="1" applyFont="1" applyFill="1" applyBorder="1" applyAlignment="1">
      <alignment horizontal="left" vertical="center" wrapText="1"/>
    </xf>
    <xf numFmtId="0" fontId="6" fillId="0" borderId="7" xfId="0" applyFont="1" applyBorder="1" applyAlignment="1">
      <alignment horizontal="justify" vertical="center" wrapText="1"/>
    </xf>
    <xf numFmtId="0" fontId="6" fillId="0" borderId="0" xfId="0" applyFont="1" applyAlignment="1">
      <alignment horizontal="center" vertical="center"/>
    </xf>
    <xf numFmtId="1" fontId="4" fillId="5" borderId="15" xfId="0" applyNumberFormat="1" applyFont="1" applyFill="1" applyBorder="1" applyAlignment="1">
      <alignment horizontal="center" vertical="center" wrapText="1"/>
    </xf>
    <xf numFmtId="1" fontId="4" fillId="5" borderId="16" xfId="0" applyNumberFormat="1" applyFont="1" applyFill="1" applyBorder="1" applyAlignment="1">
      <alignment horizontal="center" vertical="center" wrapText="1"/>
    </xf>
    <xf numFmtId="41" fontId="4" fillId="3" borderId="8" xfId="11" applyNumberFormat="1" applyFont="1" applyFill="1" applyBorder="1" applyAlignment="1">
      <alignment horizontal="right" vertical="center" wrapText="1"/>
    </xf>
    <xf numFmtId="179" fontId="4" fillId="3" borderId="1" xfId="11" applyNumberFormat="1" applyFont="1" applyFill="1" applyBorder="1" applyAlignment="1">
      <alignment horizontal="right" vertical="center" wrapText="1"/>
    </xf>
    <xf numFmtId="180" fontId="4" fillId="3" borderId="1" xfId="11" applyNumberFormat="1" applyFont="1" applyFill="1" applyBorder="1" applyAlignment="1">
      <alignment horizontal="right" vertical="center" wrapText="1"/>
    </xf>
    <xf numFmtId="0" fontId="4" fillId="3" borderId="13" xfId="0" applyFont="1" applyFill="1" applyBorder="1" applyAlignment="1">
      <alignment horizontal="center" vertical="center" textRotation="90" wrapText="1"/>
    </xf>
    <xf numFmtId="0" fontId="4" fillId="3" borderId="13" xfId="0" applyFont="1" applyFill="1" applyBorder="1" applyAlignment="1">
      <alignment horizontal="center" vertical="center" textRotation="255" wrapText="1"/>
    </xf>
    <xf numFmtId="49" fontId="4" fillId="3" borderId="13" xfId="0" applyNumberFormat="1" applyFont="1" applyFill="1" applyBorder="1" applyAlignment="1">
      <alignment horizontal="center" vertical="center" textRotation="90" wrapText="1"/>
    </xf>
    <xf numFmtId="49" fontId="4" fillId="3" borderId="3" xfId="0" applyNumberFormat="1" applyFont="1" applyFill="1" applyBorder="1" applyAlignment="1">
      <alignment horizontal="center" vertical="center" textRotation="255" wrapText="1"/>
    </xf>
    <xf numFmtId="0" fontId="4" fillId="3" borderId="3" xfId="0" applyFont="1" applyFill="1" applyBorder="1" applyAlignment="1">
      <alignment horizontal="center" vertical="center" textRotation="90" wrapText="1"/>
    </xf>
    <xf numFmtId="1" fontId="4" fillId="3" borderId="1" xfId="0" applyNumberFormat="1" applyFont="1" applyFill="1" applyBorder="1" applyAlignment="1">
      <alignment horizontal="center" vertical="center" wrapText="1"/>
    </xf>
    <xf numFmtId="179" fontId="4" fillId="3" borderId="1" xfId="0" applyNumberFormat="1" applyFont="1" applyFill="1" applyBorder="1" applyAlignment="1">
      <alignment horizontal="center" vertical="center" wrapText="1"/>
    </xf>
    <xf numFmtId="10" fontId="4" fillId="3" borderId="1" xfId="0" applyNumberFormat="1" applyFont="1" applyFill="1" applyBorder="1" applyAlignment="1">
      <alignment horizontal="center" vertical="center" wrapText="1"/>
    </xf>
    <xf numFmtId="166" fontId="4" fillId="3" borderId="1" xfId="0" applyNumberFormat="1" applyFont="1" applyFill="1" applyBorder="1" applyAlignment="1">
      <alignment horizontal="justify" vertical="center" wrapText="1"/>
    </xf>
    <xf numFmtId="166" fontId="4" fillId="3" borderId="1" xfId="0" applyNumberFormat="1" applyFont="1" applyFill="1" applyBorder="1" applyAlignment="1">
      <alignment vertical="center" wrapText="1"/>
    </xf>
    <xf numFmtId="166" fontId="4" fillId="3" borderId="1" xfId="0" applyNumberFormat="1" applyFont="1" applyFill="1" applyBorder="1" applyAlignment="1">
      <alignment horizontal="center" vertical="center" wrapText="1"/>
    </xf>
    <xf numFmtId="0" fontId="6" fillId="6" borderId="75" xfId="0" applyFont="1" applyFill="1" applyBorder="1" applyAlignment="1">
      <alignment horizontal="center" vertical="center" wrapText="1"/>
    </xf>
    <xf numFmtId="0" fontId="6" fillId="6" borderId="6" xfId="0" applyFont="1" applyFill="1" applyBorder="1" applyAlignment="1">
      <alignment vertical="center" wrapText="1"/>
    </xf>
    <xf numFmtId="0" fontId="6" fillId="6" borderId="4" xfId="0" applyFont="1" applyFill="1" applyBorder="1" applyAlignment="1">
      <alignment vertical="center" wrapText="1"/>
    </xf>
    <xf numFmtId="0" fontId="6" fillId="6" borderId="7" xfId="0" applyFont="1" applyFill="1" applyBorder="1" applyAlignment="1">
      <alignment horizontal="justify" vertical="center" wrapText="1"/>
    </xf>
    <xf numFmtId="2" fontId="6" fillId="6" borderId="7" xfId="0" applyNumberFormat="1" applyFont="1" applyFill="1" applyBorder="1" applyAlignment="1">
      <alignment horizontal="right" vertical="center" wrapText="1"/>
    </xf>
    <xf numFmtId="41" fontId="6" fillId="6" borderId="7" xfId="11" applyNumberFormat="1" applyFont="1" applyFill="1" applyBorder="1" applyAlignment="1">
      <alignment horizontal="right" vertical="center" wrapText="1"/>
    </xf>
    <xf numFmtId="179" fontId="6" fillId="6" borderId="7" xfId="11" applyNumberFormat="1" applyFont="1" applyFill="1" applyBorder="1" applyAlignment="1">
      <alignment horizontal="right" vertical="center" wrapText="1"/>
    </xf>
    <xf numFmtId="180" fontId="6" fillId="6" borderId="7" xfId="11" applyNumberFormat="1" applyFont="1" applyFill="1" applyBorder="1" applyAlignment="1">
      <alignment horizontal="right" vertical="center" wrapText="1"/>
    </xf>
    <xf numFmtId="1" fontId="6" fillId="6" borderId="7" xfId="0" applyNumberFormat="1"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7" borderId="75"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9" xfId="0" applyFont="1" applyFill="1" applyBorder="1"/>
    <xf numFmtId="0" fontId="6" fillId="23" borderId="9" xfId="0" applyFont="1" applyFill="1" applyBorder="1" applyAlignment="1">
      <alignment horizontal="center" vertical="center" wrapText="1"/>
    </xf>
    <xf numFmtId="0" fontId="6" fillId="23" borderId="7" xfId="0" applyFont="1" applyFill="1" applyBorder="1" applyAlignment="1">
      <alignment horizontal="justify" vertical="center" wrapText="1"/>
    </xf>
    <xf numFmtId="2" fontId="6" fillId="23" borderId="7" xfId="0" applyNumberFormat="1" applyFont="1" applyFill="1" applyBorder="1" applyAlignment="1">
      <alignment horizontal="right" vertical="center" wrapText="1"/>
    </xf>
    <xf numFmtId="41" fontId="6" fillId="23" borderId="7" xfId="11" applyNumberFormat="1" applyFont="1" applyFill="1" applyBorder="1" applyAlignment="1">
      <alignment horizontal="right" vertical="center" wrapText="1"/>
    </xf>
    <xf numFmtId="179" fontId="6" fillId="23" borderId="7" xfId="11" applyNumberFormat="1" applyFont="1" applyFill="1" applyBorder="1" applyAlignment="1">
      <alignment horizontal="right" vertical="center" wrapText="1"/>
    </xf>
    <xf numFmtId="180" fontId="6" fillId="23" borderId="7" xfId="11" applyNumberFormat="1" applyFont="1" applyFill="1" applyBorder="1" applyAlignment="1">
      <alignment horizontal="right" vertical="center" wrapText="1"/>
    </xf>
    <xf numFmtId="1" fontId="6" fillId="23" borderId="7" xfId="0" applyNumberFormat="1" applyFont="1" applyFill="1" applyBorder="1" applyAlignment="1">
      <alignment horizontal="center" vertical="center" wrapText="1"/>
    </xf>
    <xf numFmtId="0" fontId="6" fillId="23" borderId="7" xfId="0" applyFont="1" applyFill="1" applyBorder="1" applyAlignment="1">
      <alignment horizontal="center" vertical="center" wrapText="1"/>
    </xf>
    <xf numFmtId="0" fontId="3" fillId="7" borderId="76"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4" xfId="0" applyFont="1" applyFill="1" applyBorder="1"/>
    <xf numFmtId="0" fontId="3" fillId="7" borderId="9" xfId="0" applyFont="1" applyFill="1" applyBorder="1"/>
    <xf numFmtId="0" fontId="6" fillId="9" borderId="1" xfId="0" applyFont="1" applyFill="1" applyBorder="1" applyAlignment="1">
      <alignment horizontal="center" vertical="center" wrapText="1"/>
    </xf>
    <xf numFmtId="2" fontId="3" fillId="9" borderId="7" xfId="0" applyNumberFormat="1" applyFont="1" applyFill="1" applyBorder="1" applyAlignment="1">
      <alignment horizontal="right" vertical="center" wrapText="1"/>
    </xf>
    <xf numFmtId="41" fontId="3" fillId="9" borderId="7" xfId="11" applyNumberFormat="1" applyFont="1" applyFill="1" applyBorder="1" applyAlignment="1">
      <alignment horizontal="right" vertical="center" wrapText="1"/>
    </xf>
    <xf numFmtId="179" fontId="3" fillId="9" borderId="7" xfId="11" applyNumberFormat="1" applyFont="1" applyFill="1" applyBorder="1" applyAlignment="1">
      <alignment horizontal="right" vertical="center" wrapText="1"/>
    </xf>
    <xf numFmtId="180" fontId="3" fillId="9" borderId="7" xfId="11" applyNumberFormat="1" applyFont="1" applyFill="1" applyBorder="1" applyAlignment="1">
      <alignment horizontal="right" vertical="center" wrapText="1"/>
    </xf>
    <xf numFmtId="1" fontId="3" fillId="9" borderId="7" xfId="0" applyNumberFormat="1" applyFont="1" applyFill="1" applyBorder="1" applyAlignment="1">
      <alignment horizontal="center" vertical="center" wrapText="1"/>
    </xf>
    <xf numFmtId="0" fontId="3" fillId="9" borderId="7" xfId="0" applyFont="1" applyFill="1" applyBorder="1" applyAlignment="1">
      <alignment horizontal="center" vertical="center" wrapText="1"/>
    </xf>
    <xf numFmtId="0" fontId="18" fillId="7" borderId="76" xfId="0" applyFont="1" applyFill="1" applyBorder="1" applyAlignment="1">
      <alignment vertical="center" wrapText="1"/>
    </xf>
    <xf numFmtId="0" fontId="18" fillId="7" borderId="0" xfId="0" applyFont="1" applyFill="1" applyAlignment="1">
      <alignment vertical="center" textRotation="90" wrapText="1"/>
    </xf>
    <xf numFmtId="0" fontId="18" fillId="7" borderId="18" xfId="0" applyFont="1" applyFill="1" applyBorder="1" applyAlignment="1">
      <alignment vertical="center" textRotation="90" wrapText="1"/>
    </xf>
    <xf numFmtId="0" fontId="18" fillId="7" borderId="15" xfId="0" applyFont="1" applyFill="1" applyBorder="1" applyAlignment="1">
      <alignment vertical="center" wrapText="1"/>
    </xf>
    <xf numFmtId="1" fontId="18" fillId="7" borderId="1" xfId="24" applyNumberFormat="1" applyFont="1" applyFill="1" applyBorder="1" applyAlignment="1">
      <alignment horizontal="center" vertical="center" wrapText="1"/>
    </xf>
    <xf numFmtId="0" fontId="18" fillId="7" borderId="0" xfId="0" applyFont="1" applyFill="1"/>
    <xf numFmtId="0" fontId="18" fillId="7" borderId="3" xfId="0" applyFont="1" applyFill="1" applyBorder="1" applyAlignment="1">
      <alignment horizontal="justify" vertical="center" wrapText="1"/>
    </xf>
    <xf numFmtId="0" fontId="18" fillId="0" borderId="5" xfId="0" applyFont="1" applyBorder="1" applyAlignment="1">
      <alignment horizontal="justify" vertical="center" wrapText="1"/>
    </xf>
    <xf numFmtId="0" fontId="18" fillId="0" borderId="3" xfId="0" applyFont="1" applyBorder="1" applyAlignment="1">
      <alignment horizontal="justify" vertical="center" wrapText="1"/>
    </xf>
    <xf numFmtId="0" fontId="18" fillId="0" borderId="6" xfId="0" applyFont="1" applyBorder="1" applyAlignment="1">
      <alignment horizontal="justify" vertical="center" wrapText="1"/>
    </xf>
    <xf numFmtId="0" fontId="18" fillId="7" borderId="15" xfId="0" applyFont="1" applyFill="1" applyBorder="1" applyAlignment="1">
      <alignment horizontal="justify" vertical="center" wrapText="1"/>
    </xf>
    <xf numFmtId="0" fontId="18" fillId="7" borderId="1" xfId="0" applyFont="1" applyFill="1" applyBorder="1" applyAlignment="1">
      <alignment horizontal="justify" vertical="center" wrapText="1"/>
    </xf>
    <xf numFmtId="0" fontId="18" fillId="7" borderId="1" xfId="0" applyFont="1" applyFill="1" applyBorder="1" applyAlignment="1">
      <alignment horizontal="left" vertical="center" wrapText="1"/>
    </xf>
    <xf numFmtId="0" fontId="18" fillId="7" borderId="16" xfId="0" applyFont="1" applyFill="1" applyBorder="1" applyAlignment="1">
      <alignment vertical="center" wrapText="1"/>
    </xf>
    <xf numFmtId="0" fontId="22" fillId="9" borderId="1" xfId="0" applyFont="1" applyFill="1" applyBorder="1" applyAlignment="1">
      <alignment horizontal="center" vertical="center" wrapText="1"/>
    </xf>
    <xf numFmtId="0" fontId="18" fillId="9" borderId="7" xfId="0" applyFont="1" applyFill="1" applyBorder="1" applyAlignment="1">
      <alignment horizontal="justify" vertical="center" wrapText="1"/>
    </xf>
    <xf numFmtId="0" fontId="18" fillId="0" borderId="0" xfId="0" applyFont="1"/>
    <xf numFmtId="0" fontId="18" fillId="7" borderId="18" xfId="0" applyFont="1" applyFill="1" applyBorder="1" applyAlignment="1">
      <alignment vertical="center" wrapText="1"/>
    </xf>
    <xf numFmtId="0" fontId="18" fillId="7" borderId="6" xfId="0" applyFont="1" applyFill="1" applyBorder="1" applyAlignment="1">
      <alignment horizontal="justify" vertical="center" wrapText="1"/>
    </xf>
    <xf numFmtId="0" fontId="22" fillId="7" borderId="75"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7" borderId="9" xfId="0" applyFont="1" applyFill="1" applyBorder="1"/>
    <xf numFmtId="0" fontId="22" fillId="23" borderId="9" xfId="0" applyFont="1" applyFill="1" applyBorder="1" applyAlignment="1">
      <alignment horizontal="center" vertical="center" wrapText="1"/>
    </xf>
    <xf numFmtId="0" fontId="22" fillId="23" borderId="7" xfId="0" applyFont="1" applyFill="1" applyBorder="1" applyAlignment="1">
      <alignment horizontal="justify" vertical="center" wrapText="1"/>
    </xf>
    <xf numFmtId="0" fontId="22" fillId="23" borderId="7" xfId="0" applyFont="1" applyFill="1" applyBorder="1" applyAlignment="1">
      <alignment horizontal="center" vertical="center" wrapText="1"/>
    </xf>
    <xf numFmtId="0" fontId="22" fillId="0" borderId="0" xfId="0" applyFont="1"/>
    <xf numFmtId="0" fontId="22" fillId="7" borderId="76" xfId="0" applyFont="1" applyFill="1" applyBorder="1" applyAlignment="1">
      <alignment horizontal="center" vertical="center" wrapText="1"/>
    </xf>
    <xf numFmtId="0" fontId="22" fillId="7" borderId="0" xfId="0" applyFont="1" applyFill="1" applyAlignment="1">
      <alignment horizontal="center" vertical="center" wrapText="1"/>
    </xf>
    <xf numFmtId="0" fontId="22" fillId="7" borderId="13" xfId="0" applyFont="1" applyFill="1" applyBorder="1" applyAlignment="1">
      <alignment horizontal="center" vertical="center" wrapText="1"/>
    </xf>
    <xf numFmtId="0" fontId="22" fillId="7" borderId="4" xfId="0" applyFont="1" applyFill="1" applyBorder="1"/>
    <xf numFmtId="0" fontId="22" fillId="9" borderId="7" xfId="0" applyFont="1" applyFill="1" applyBorder="1" applyAlignment="1">
      <alignment horizontal="justify" vertical="center" wrapText="1"/>
    </xf>
    <xf numFmtId="0" fontId="22" fillId="9" borderId="7" xfId="0" applyFont="1" applyFill="1" applyBorder="1" applyAlignment="1">
      <alignment horizontal="center" vertical="center" wrapText="1"/>
    </xf>
    <xf numFmtId="0" fontId="18" fillId="7" borderId="13" xfId="0" applyFont="1" applyFill="1" applyBorder="1" applyAlignment="1">
      <alignment vertical="center" wrapText="1"/>
    </xf>
    <xf numFmtId="0" fontId="18" fillId="7" borderId="76" xfId="0" applyFont="1" applyFill="1" applyBorder="1" applyAlignment="1">
      <alignment horizontal="center" vertical="center" wrapText="1"/>
    </xf>
    <xf numFmtId="0" fontId="18" fillId="7" borderId="0" xfId="0" applyFont="1" applyFill="1" applyAlignment="1">
      <alignment horizontal="center" vertical="center" wrapText="1"/>
    </xf>
    <xf numFmtId="0" fontId="18" fillId="7" borderId="1" xfId="0" applyFont="1" applyFill="1" applyBorder="1" applyAlignment="1">
      <alignment horizontal="center" vertical="center"/>
    </xf>
    <xf numFmtId="0" fontId="18" fillId="7" borderId="5" xfId="0" applyFont="1" applyFill="1" applyBorder="1" applyAlignment="1">
      <alignment horizontal="justify" vertical="center" wrapText="1"/>
    </xf>
    <xf numFmtId="0" fontId="18" fillId="7" borderId="17" xfId="0" applyFont="1" applyFill="1" applyBorder="1" applyAlignment="1">
      <alignment horizontal="justify" vertical="center" wrapText="1"/>
    </xf>
    <xf numFmtId="0" fontId="18" fillId="0" borderId="30" xfId="0" applyFont="1" applyBorder="1" applyAlignment="1">
      <alignment horizontal="center" vertical="center" wrapText="1"/>
    </xf>
    <xf numFmtId="181" fontId="18" fillId="0" borderId="31" xfId="0" applyNumberFormat="1" applyFont="1" applyBorder="1" applyAlignment="1">
      <alignment horizontal="center" vertical="center" wrapText="1"/>
    </xf>
    <xf numFmtId="0" fontId="18" fillId="0" borderId="31" xfId="0" applyFont="1" applyBorder="1" applyAlignment="1">
      <alignment horizontal="justify" vertical="center" wrapText="1"/>
    </xf>
    <xf numFmtId="0" fontId="18" fillId="0" borderId="31" xfId="0" applyFont="1" applyBorder="1" applyAlignment="1">
      <alignment vertical="center" wrapText="1"/>
    </xf>
    <xf numFmtId="0" fontId="22" fillId="0" borderId="31" xfId="0" applyFont="1" applyBorder="1" applyAlignment="1">
      <alignment horizontal="justify" vertical="center" wrapText="1"/>
    </xf>
    <xf numFmtId="10" fontId="18" fillId="0" borderId="31" xfId="0" applyNumberFormat="1" applyFont="1" applyBorder="1" applyAlignment="1">
      <alignment horizontal="center" vertical="center" wrapText="1"/>
    </xf>
    <xf numFmtId="0" fontId="18" fillId="0" borderId="31" xfId="0" applyFont="1" applyBorder="1" applyAlignment="1">
      <alignment horizontal="center" vertical="center" textRotation="180" wrapText="1"/>
    </xf>
    <xf numFmtId="49" fontId="18" fillId="0" borderId="31" xfId="0" applyNumberFormat="1" applyFont="1" applyBorder="1" applyAlignment="1">
      <alignment horizontal="center" vertical="center" textRotation="180" wrapText="1"/>
    </xf>
    <xf numFmtId="10" fontId="18" fillId="0" borderId="31" xfId="0" applyNumberFormat="1" applyFont="1" applyBorder="1" applyAlignment="1">
      <alignment horizontal="center"/>
    </xf>
    <xf numFmtId="0" fontId="18" fillId="0" borderId="31" xfId="0" applyFont="1" applyBorder="1" applyAlignment="1">
      <alignment vertical="center"/>
    </xf>
    <xf numFmtId="0" fontId="18" fillId="0" borderId="32" xfId="0" applyFont="1" applyBorder="1"/>
    <xf numFmtId="0" fontId="3" fillId="7" borderId="0" xfId="0" applyFont="1" applyFill="1" applyAlignment="1">
      <alignment horizontal="justify" vertical="center" wrapText="1"/>
    </xf>
    <xf numFmtId="0" fontId="3" fillId="7" borderId="0" xfId="0" applyFont="1" applyFill="1" applyAlignment="1">
      <alignment vertical="center"/>
    </xf>
    <xf numFmtId="2" fontId="3" fillId="7" borderId="0" xfId="0" applyNumberFormat="1" applyFont="1" applyFill="1" applyAlignment="1">
      <alignment horizontal="right"/>
    </xf>
    <xf numFmtId="41" fontId="3" fillId="7" borderId="0" xfId="0" applyNumberFormat="1" applyFont="1" applyFill="1" applyAlignment="1">
      <alignment horizontal="right" vertical="center"/>
    </xf>
    <xf numFmtId="179" fontId="3" fillId="7" borderId="0" xfId="0" applyNumberFormat="1" applyFont="1" applyFill="1" applyAlignment="1">
      <alignment horizontal="right" vertical="center"/>
    </xf>
    <xf numFmtId="180" fontId="3" fillId="7" borderId="0" xfId="0" applyNumberFormat="1" applyFont="1" applyFill="1" applyAlignment="1">
      <alignment horizontal="right" vertical="center"/>
    </xf>
    <xf numFmtId="1" fontId="3" fillId="0" borderId="0" xfId="0" applyNumberFormat="1" applyFont="1" applyAlignment="1">
      <alignment horizontal="center" vertical="center"/>
    </xf>
    <xf numFmtId="179" fontId="3" fillId="0" borderId="0" xfId="0" applyNumberFormat="1" applyFont="1" applyAlignment="1">
      <alignment horizontal="center"/>
    </xf>
    <xf numFmtId="179" fontId="3" fillId="0" borderId="0" xfId="0" applyNumberFormat="1" applyFont="1" applyAlignment="1">
      <alignment horizontal="left"/>
    </xf>
    <xf numFmtId="10" fontId="3" fillId="0" borderId="0" xfId="0" applyNumberFormat="1" applyFont="1" applyAlignment="1">
      <alignment horizontal="center"/>
    </xf>
    <xf numFmtId="0" fontId="3" fillId="0" borderId="0" xfId="0" applyFont="1" applyAlignment="1">
      <alignment vertical="center"/>
    </xf>
    <xf numFmtId="2" fontId="3" fillId="7" borderId="0" xfId="0" applyNumberFormat="1" applyFont="1" applyFill="1" applyAlignment="1">
      <alignment horizontal="right" vertical="center"/>
    </xf>
    <xf numFmtId="169" fontId="3" fillId="7" borderId="0" xfId="0" applyNumberFormat="1" applyFont="1" applyFill="1" applyAlignment="1">
      <alignment horizontal="justify" vertical="center" wrapText="1"/>
    </xf>
    <xf numFmtId="169" fontId="3" fillId="7" borderId="0" xfId="0" applyNumberFormat="1" applyFont="1" applyFill="1" applyAlignment="1">
      <alignment horizontal="center" vertical="center" wrapText="1"/>
    </xf>
    <xf numFmtId="3" fontId="3" fillId="7" borderId="0" xfId="0" applyNumberFormat="1" applyFont="1" applyFill="1" applyAlignment="1">
      <alignment horizontal="center" vertical="center"/>
    </xf>
    <xf numFmtId="179" fontId="3" fillId="0" borderId="0" xfId="0" applyNumberFormat="1" applyFont="1"/>
    <xf numFmtId="0" fontId="3" fillId="0" borderId="0" xfId="0" applyFont="1" applyAlignment="1">
      <alignment horizontal="right" vertical="center"/>
    </xf>
    <xf numFmtId="166" fontId="3" fillId="0" borderId="0" xfId="0" applyNumberFormat="1" applyFont="1" applyAlignment="1">
      <alignment horizontal="center"/>
    </xf>
    <xf numFmtId="0" fontId="3" fillId="0" borderId="0" xfId="0" applyFont="1" applyAlignment="1">
      <alignment horizontal="left"/>
    </xf>
    <xf numFmtId="41" fontId="6" fillId="0" borderId="0" xfId="0" applyNumberFormat="1" applyFont="1" applyAlignment="1">
      <alignment horizontal="right" vertical="center"/>
    </xf>
    <xf numFmtId="179" fontId="6" fillId="0" borderId="0" xfId="0" applyNumberFormat="1" applyFont="1" applyAlignment="1">
      <alignment horizontal="right" vertical="center"/>
    </xf>
    <xf numFmtId="180" fontId="6" fillId="0" borderId="0" xfId="0" applyNumberFormat="1" applyFont="1" applyAlignment="1">
      <alignment horizontal="right" vertical="center"/>
    </xf>
    <xf numFmtId="41" fontId="13" fillId="0" borderId="0" xfId="0" applyNumberFormat="1" applyFont="1"/>
    <xf numFmtId="179" fontId="13" fillId="0" borderId="0" xfId="0" applyNumberFormat="1" applyFont="1"/>
    <xf numFmtId="41" fontId="22" fillId="0" borderId="33" xfId="6" applyNumberFormat="1" applyFont="1" applyBorder="1" applyAlignment="1">
      <alignment horizontal="right" vertical="center" wrapText="1"/>
    </xf>
    <xf numFmtId="0" fontId="18" fillId="7" borderId="13" xfId="0" applyFont="1" applyFill="1" applyBorder="1" applyAlignment="1">
      <alignment horizontal="center" vertical="center"/>
    </xf>
    <xf numFmtId="1" fontId="18" fillId="0" borderId="30" xfId="0" applyNumberFormat="1" applyFont="1" applyBorder="1" applyAlignment="1">
      <alignment horizontal="center" vertical="center" wrapText="1"/>
    </xf>
    <xf numFmtId="1" fontId="18" fillId="0" borderId="32" xfId="0" applyNumberFormat="1" applyFont="1" applyBorder="1" applyAlignment="1">
      <alignment horizontal="center" vertical="center" wrapText="1"/>
    </xf>
    <xf numFmtId="43" fontId="18" fillId="7" borderId="1" xfId="1" applyFont="1" applyFill="1" applyBorder="1" applyAlignment="1">
      <alignment horizontal="right" vertical="center" wrapText="1"/>
    </xf>
    <xf numFmtId="43" fontId="18" fillId="7" borderId="1" xfId="1" applyFont="1" applyFill="1" applyBorder="1" applyAlignment="1">
      <alignment vertical="center" wrapText="1"/>
    </xf>
    <xf numFmtId="43" fontId="18" fillId="7" borderId="15" xfId="1" applyFont="1" applyFill="1" applyBorder="1" applyAlignment="1">
      <alignment vertical="center" wrapText="1"/>
    </xf>
    <xf numFmtId="43" fontId="22" fillId="0" borderId="32" xfId="1" applyFont="1" applyBorder="1" applyAlignment="1">
      <alignment horizontal="right" vertical="center" wrapText="1"/>
    </xf>
    <xf numFmtId="43" fontId="18" fillId="7" borderId="13" xfId="1" applyFont="1" applyFill="1" applyBorder="1" applyAlignment="1">
      <alignment horizontal="right" vertical="center" wrapText="1"/>
    </xf>
    <xf numFmtId="43" fontId="18" fillId="7" borderId="16" xfId="1" applyFont="1" applyFill="1" applyBorder="1" applyAlignment="1">
      <alignment vertical="center" wrapText="1"/>
    </xf>
    <xf numFmtId="43" fontId="18" fillId="9" borderId="1" xfId="1" applyFont="1" applyFill="1" applyBorder="1" applyAlignment="1">
      <alignment horizontal="right" vertical="center" wrapText="1"/>
    </xf>
    <xf numFmtId="43" fontId="18" fillId="9" borderId="7" xfId="1" applyFont="1" applyFill="1" applyBorder="1" applyAlignment="1">
      <alignment horizontal="right" vertical="center" wrapText="1"/>
    </xf>
    <xf numFmtId="43" fontId="18" fillId="7" borderId="13" xfId="1" applyFont="1" applyFill="1" applyBorder="1" applyAlignment="1">
      <alignment horizontal="center" vertical="center" wrapText="1"/>
    </xf>
    <xf numFmtId="43" fontId="18" fillId="0" borderId="1" xfId="1" applyFont="1" applyBorder="1" applyAlignment="1">
      <alignment horizontal="right" vertical="center" wrapText="1"/>
    </xf>
    <xf numFmtId="43" fontId="18" fillId="7" borderId="1" xfId="1" applyFont="1" applyFill="1" applyBorder="1" applyAlignment="1">
      <alignment horizontal="center" vertical="center" wrapText="1"/>
    </xf>
    <xf numFmtId="43" fontId="18" fillId="23" borderId="1" xfId="1" applyFont="1" applyFill="1" applyBorder="1" applyAlignment="1">
      <alignment horizontal="right" vertical="center" wrapText="1"/>
    </xf>
    <xf numFmtId="43" fontId="18" fillId="23" borderId="7" xfId="1" applyFont="1" applyFill="1" applyBorder="1" applyAlignment="1">
      <alignment horizontal="right" vertical="center" wrapText="1"/>
    </xf>
    <xf numFmtId="43" fontId="18" fillId="7" borderId="6" xfId="1" applyFont="1" applyFill="1" applyBorder="1" applyAlignment="1">
      <alignment horizontal="center" vertical="center" wrapText="1"/>
    </xf>
    <xf numFmtId="43" fontId="18" fillId="7" borderId="3" xfId="1" applyFont="1" applyFill="1" applyBorder="1" applyAlignment="1">
      <alignment horizontal="center" vertical="center" wrapText="1"/>
    </xf>
    <xf numFmtId="43" fontId="18" fillId="0" borderId="21" xfId="1" applyFont="1" applyBorder="1" applyAlignment="1">
      <alignment horizontal="center" vertical="center"/>
    </xf>
    <xf numFmtId="43" fontId="18" fillId="0" borderId="20" xfId="1" applyFont="1" applyBorder="1" applyAlignment="1">
      <alignment horizontal="center" vertical="center"/>
    </xf>
    <xf numFmtId="43" fontId="18" fillId="0" borderId="19" xfId="1" applyFont="1" applyBorder="1" applyAlignment="1">
      <alignment horizontal="center" vertical="center" wrapText="1"/>
    </xf>
    <xf numFmtId="43" fontId="18" fillId="7" borderId="2" xfId="1" applyFont="1" applyFill="1" applyBorder="1" applyAlignment="1">
      <alignment horizontal="center" vertical="center" wrapText="1"/>
    </xf>
    <xf numFmtId="43" fontId="18" fillId="0" borderId="15" xfId="1" applyFont="1" applyBorder="1" applyAlignment="1">
      <alignment horizontal="right" vertical="center" wrapText="1"/>
    </xf>
    <xf numFmtId="43" fontId="18" fillId="0" borderId="13" xfId="1" applyFont="1" applyBorder="1" applyAlignment="1">
      <alignment horizontal="right" vertical="center" wrapText="1"/>
    </xf>
    <xf numFmtId="43" fontId="18" fillId="7" borderId="6" xfId="1" applyFont="1" applyFill="1" applyBorder="1" applyAlignment="1">
      <alignment horizontal="right" vertical="center" wrapText="1"/>
    </xf>
    <xf numFmtId="43" fontId="18" fillId="7" borderId="5" xfId="1" applyFont="1" applyFill="1" applyBorder="1" applyAlignment="1">
      <alignment horizontal="right" vertical="center" wrapText="1"/>
    </xf>
    <xf numFmtId="43" fontId="18" fillId="7" borderId="17" xfId="1" applyFont="1" applyFill="1" applyBorder="1" applyAlignment="1">
      <alignment horizontal="right" vertical="center" wrapText="1"/>
    </xf>
    <xf numFmtId="0" fontId="2" fillId="0" borderId="4" xfId="0" applyFont="1" applyBorder="1" applyAlignment="1">
      <alignment horizontal="center" vertical="center" wrapText="1"/>
    </xf>
    <xf numFmtId="0" fontId="14" fillId="0" borderId="4" xfId="0" applyFont="1" applyBorder="1"/>
    <xf numFmtId="0" fontId="2" fillId="0" borderId="0" xfId="0" applyFont="1" applyBorder="1" applyAlignment="1">
      <alignment horizontal="center" vertical="center" wrapText="1"/>
    </xf>
    <xf numFmtId="0" fontId="14" fillId="0" borderId="0" xfId="0" applyFont="1" applyBorder="1"/>
    <xf numFmtId="183" fontId="6" fillId="0" borderId="2" xfId="2" applyNumberFormat="1" applyFont="1" applyBorder="1" applyAlignment="1">
      <alignment horizontal="justify" vertical="center"/>
    </xf>
    <xf numFmtId="183" fontId="6" fillId="0" borderId="2" xfId="2" applyNumberFormat="1" applyFont="1" applyBorder="1" applyAlignment="1">
      <alignment horizontal="right" vertical="center"/>
    </xf>
    <xf numFmtId="3" fontId="6" fillId="4"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0" xfId="0" applyFont="1" applyFill="1" applyBorder="1" applyAlignment="1">
      <alignment horizontal="center" vertical="center" wrapText="1"/>
    </xf>
    <xf numFmtId="0" fontId="6" fillId="3" borderId="13" xfId="0" applyFont="1" applyFill="1" applyBorder="1" applyAlignment="1">
      <alignment vertical="center"/>
    </xf>
    <xf numFmtId="0" fontId="6" fillId="3" borderId="13" xfId="0" applyFont="1" applyFill="1" applyBorder="1" applyAlignment="1">
      <alignment horizontal="center" vertical="center" wrapText="1"/>
    </xf>
    <xf numFmtId="1" fontId="6" fillId="6" borderId="65" xfId="0" applyNumberFormat="1" applyFont="1" applyFill="1" applyBorder="1" applyAlignment="1">
      <alignment horizontal="left" vertical="center" wrapText="1"/>
    </xf>
    <xf numFmtId="0" fontId="6" fillId="6" borderId="7" xfId="0" applyFont="1" applyFill="1" applyBorder="1" applyAlignment="1">
      <alignment vertical="center"/>
    </xf>
    <xf numFmtId="0" fontId="6" fillId="6" borderId="7" xfId="0" applyFont="1" applyFill="1" applyBorder="1" applyAlignment="1">
      <alignment horizontal="left" vertical="center"/>
    </xf>
    <xf numFmtId="0" fontId="6" fillId="6" borderId="7" xfId="0" applyFont="1" applyFill="1" applyBorder="1" applyAlignment="1">
      <alignment horizontal="justify" vertical="center"/>
    </xf>
    <xf numFmtId="0" fontId="6" fillId="6" borderId="7" xfId="0" applyFont="1" applyFill="1" applyBorder="1" applyAlignment="1">
      <alignment horizontal="center" vertical="center"/>
    </xf>
    <xf numFmtId="170" fontId="6" fillId="6" borderId="7" xfId="0" applyNumberFormat="1" applyFont="1" applyFill="1" applyBorder="1" applyAlignment="1">
      <alignment horizontal="center" vertical="center"/>
    </xf>
    <xf numFmtId="183" fontId="6" fillId="6" borderId="7" xfId="2" applyNumberFormat="1" applyFont="1" applyFill="1" applyBorder="1" applyAlignment="1">
      <alignment horizontal="justify" vertical="center"/>
    </xf>
    <xf numFmtId="1" fontId="6" fillId="6" borderId="7" xfId="0" applyNumberFormat="1" applyFont="1" applyFill="1" applyBorder="1" applyAlignment="1">
      <alignment vertical="center"/>
    </xf>
    <xf numFmtId="167" fontId="6" fillId="3" borderId="1" xfId="0" applyNumberFormat="1" applyFont="1" applyFill="1" applyBorder="1" applyAlignment="1">
      <alignment horizontal="center" vertical="center"/>
    </xf>
    <xf numFmtId="1" fontId="6" fillId="7" borderId="59" xfId="0" applyNumberFormat="1" applyFont="1" applyFill="1" applyBorder="1" applyAlignment="1">
      <alignment horizontal="center" vertical="center" wrapText="1"/>
    </xf>
    <xf numFmtId="0" fontId="6" fillId="7" borderId="0" xfId="0" applyFont="1" applyFill="1" applyAlignment="1">
      <alignment horizontal="center" vertical="center" wrapText="1"/>
    </xf>
    <xf numFmtId="1" fontId="6" fillId="8" borderId="5" xfId="0" applyNumberFormat="1" applyFont="1" applyFill="1" applyBorder="1" applyAlignment="1">
      <alignment horizontal="center" vertical="center"/>
    </xf>
    <xf numFmtId="0" fontId="6" fillId="8" borderId="0" xfId="0" applyFont="1" applyFill="1" applyBorder="1" applyAlignment="1">
      <alignment horizontal="center" vertical="center"/>
    </xf>
    <xf numFmtId="0" fontId="6" fillId="8" borderId="0" xfId="0" applyFont="1" applyFill="1" applyAlignment="1">
      <alignment horizontal="justify" vertical="center"/>
    </xf>
    <xf numFmtId="170" fontId="6" fillId="8" borderId="2" xfId="0" applyNumberFormat="1" applyFont="1" applyFill="1" applyBorder="1" applyAlignment="1">
      <alignment horizontal="center" vertical="center"/>
    </xf>
    <xf numFmtId="183" fontId="6" fillId="8" borderId="2" xfId="2" applyNumberFormat="1" applyFont="1" applyFill="1" applyBorder="1" applyAlignment="1">
      <alignment horizontal="justify" vertical="center"/>
    </xf>
    <xf numFmtId="1" fontId="6" fillId="8" borderId="2" xfId="0" applyNumberFormat="1" applyFont="1" applyFill="1" applyBorder="1" applyAlignment="1">
      <alignment vertical="center"/>
    </xf>
    <xf numFmtId="0" fontId="6" fillId="8" borderId="70" xfId="0" applyFont="1" applyFill="1" applyBorder="1" applyAlignment="1">
      <alignment horizontal="justify" vertical="center"/>
    </xf>
    <xf numFmtId="0" fontId="6" fillId="7" borderId="3" xfId="0" applyFont="1" applyFill="1" applyBorder="1" applyAlignment="1">
      <alignment horizontal="center" vertical="center" wrapText="1"/>
    </xf>
    <xf numFmtId="0" fontId="6" fillId="9" borderId="4" xfId="0" applyFont="1" applyFill="1" applyBorder="1" applyAlignment="1">
      <alignment horizontal="justify" vertical="center"/>
    </xf>
    <xf numFmtId="0" fontId="6" fillId="9" borderId="13" xfId="0" applyFont="1" applyFill="1" applyBorder="1" applyAlignment="1">
      <alignment horizontal="justify" vertical="center"/>
    </xf>
    <xf numFmtId="170" fontId="6" fillId="9" borderId="4" xfId="0" applyNumberFormat="1" applyFont="1" applyFill="1" applyBorder="1" applyAlignment="1">
      <alignment horizontal="center" vertical="center"/>
    </xf>
    <xf numFmtId="183" fontId="6" fillId="9" borderId="4" xfId="2" applyNumberFormat="1" applyFont="1" applyFill="1" applyBorder="1" applyAlignment="1">
      <alignment horizontal="justify" vertical="center"/>
    </xf>
    <xf numFmtId="1" fontId="6" fillId="9" borderId="4" xfId="0" applyNumberFormat="1" applyFont="1" applyFill="1" applyBorder="1" applyAlignment="1">
      <alignment vertical="center"/>
    </xf>
    <xf numFmtId="0" fontId="6" fillId="9" borderId="4" xfId="0" applyFont="1" applyFill="1" applyBorder="1" applyAlignment="1">
      <alignment vertical="center"/>
    </xf>
    <xf numFmtId="167" fontId="6" fillId="9" borderId="4" xfId="0" applyNumberFormat="1" applyFont="1" applyFill="1" applyBorder="1" applyAlignment="1">
      <alignment vertical="center"/>
    </xf>
    <xf numFmtId="0" fontId="6" fillId="9" borderId="62" xfId="0" applyFont="1" applyFill="1" applyBorder="1" applyAlignment="1">
      <alignment horizontal="justify" vertical="center"/>
    </xf>
    <xf numFmtId="1" fontId="3" fillId="7" borderId="59" xfId="0" applyNumberFormat="1"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3" xfId="0" applyFont="1" applyFill="1" applyBorder="1" applyAlignment="1">
      <alignment horizontal="center" vertical="center" wrapText="1"/>
    </xf>
    <xf numFmtId="43" fontId="3" fillId="7" borderId="1" xfId="1" applyFont="1" applyFill="1" applyBorder="1" applyAlignment="1">
      <alignment horizontal="right" vertical="center" wrapText="1"/>
    </xf>
    <xf numFmtId="184" fontId="3" fillId="0" borderId="23" xfId="25" applyNumberFormat="1" applyFont="1" applyBorder="1" applyAlignment="1">
      <alignment vertical="center" wrapText="1"/>
    </xf>
    <xf numFmtId="0" fontId="3" fillId="0" borderId="19" xfId="0" applyFont="1" applyBorder="1" applyAlignment="1">
      <alignment vertical="center" wrapText="1"/>
    </xf>
    <xf numFmtId="43" fontId="3" fillId="7" borderId="1" xfId="1" applyFont="1" applyFill="1" applyBorder="1" applyAlignment="1">
      <alignment vertical="center" wrapText="1"/>
    </xf>
    <xf numFmtId="9" fontId="3" fillId="0" borderId="1" xfId="3" applyFont="1" applyBorder="1" applyAlignment="1">
      <alignment horizontal="center" vertical="center" wrapText="1"/>
    </xf>
    <xf numFmtId="43" fontId="3" fillId="7" borderId="13" xfId="1" applyFont="1" applyFill="1" applyBorder="1" applyAlignment="1">
      <alignment horizontal="right" vertical="center" wrapText="1"/>
    </xf>
    <xf numFmtId="184" fontId="3" fillId="0" borderId="24" xfId="25" applyNumberFormat="1" applyFont="1" applyBorder="1" applyAlignment="1">
      <alignment vertical="center" wrapText="1"/>
    </xf>
    <xf numFmtId="0" fontId="3" fillId="0" borderId="21" xfId="0" applyFont="1" applyBorder="1" applyAlignment="1">
      <alignment vertical="center" wrapText="1"/>
    </xf>
    <xf numFmtId="1" fontId="3" fillId="0" borderId="30" xfId="0" applyNumberFormat="1" applyFont="1" applyBorder="1" applyAlignment="1">
      <alignment vertical="center"/>
    </xf>
    <xf numFmtId="0" fontId="3" fillId="0" borderId="31" xfId="0" applyFont="1" applyBorder="1" applyAlignment="1">
      <alignment vertical="center"/>
    </xf>
    <xf numFmtId="0" fontId="3" fillId="0" borderId="31" xfId="0" applyFont="1" applyBorder="1" applyAlignment="1">
      <alignment vertical="center" wrapText="1"/>
    </xf>
    <xf numFmtId="0" fontId="3" fillId="0" borderId="31" xfId="0" applyFont="1" applyBorder="1" applyAlignment="1">
      <alignment horizontal="justify" vertical="center"/>
    </xf>
    <xf numFmtId="0" fontId="3" fillId="0" borderId="42" xfId="0" applyFont="1" applyBorder="1" applyAlignment="1">
      <alignment horizontal="center" vertical="center"/>
    </xf>
    <xf numFmtId="170" fontId="3" fillId="0" borderId="32" xfId="0" applyNumberFormat="1" applyFont="1" applyBorder="1" applyAlignment="1">
      <alignment horizontal="center" vertical="center"/>
    </xf>
    <xf numFmtId="43" fontId="6" fillId="0" borderId="33" xfId="1" applyFont="1" applyBorder="1" applyAlignment="1">
      <alignment horizontal="justify" vertical="center"/>
    </xf>
    <xf numFmtId="0" fontId="3" fillId="0" borderId="30" xfId="0" applyFont="1" applyBorder="1" applyAlignment="1">
      <alignment horizontal="justify" vertical="center"/>
    </xf>
    <xf numFmtId="43" fontId="6" fillId="0" borderId="77" xfId="1" applyFont="1" applyBorder="1" applyAlignment="1">
      <alignment horizontal="right" vertical="center"/>
    </xf>
    <xf numFmtId="43" fontId="6" fillId="0" borderId="78" xfId="1" applyFont="1" applyBorder="1" applyAlignment="1">
      <alignment horizontal="right" vertical="center"/>
    </xf>
    <xf numFmtId="43" fontId="6" fillId="0" borderId="79" xfId="1" applyFont="1" applyBorder="1" applyAlignment="1">
      <alignment horizontal="right" vertical="center"/>
    </xf>
    <xf numFmtId="1" fontId="3" fillId="7" borderId="30" xfId="0" applyNumberFormat="1" applyFont="1" applyFill="1" applyBorder="1" applyAlignment="1">
      <alignment vertical="center"/>
    </xf>
    <xf numFmtId="4" fontId="6" fillId="0" borderId="31" xfId="0" applyNumberFormat="1" applyFont="1" applyBorder="1" applyAlignment="1">
      <alignment vertical="center"/>
    </xf>
    <xf numFmtId="167" fontId="3" fillId="0" borderId="31" xfId="0" applyNumberFormat="1" applyFont="1" applyBorder="1" applyAlignment="1">
      <alignment horizontal="center" vertical="center"/>
    </xf>
    <xf numFmtId="183" fontId="6" fillId="0" borderId="0" xfId="2" applyNumberFormat="1" applyFont="1" applyAlignment="1">
      <alignment horizontal="justify" vertical="center"/>
    </xf>
    <xf numFmtId="183" fontId="6" fillId="0" borderId="0" xfId="2" applyNumberFormat="1" applyFont="1" applyAlignment="1">
      <alignment horizontal="right" vertical="center"/>
    </xf>
    <xf numFmtId="169" fontId="6" fillId="7" borderId="0" xfId="0" applyNumberFormat="1" applyFont="1" applyFill="1" applyAlignment="1">
      <alignment vertical="center"/>
    </xf>
    <xf numFmtId="180" fontId="6" fillId="7" borderId="0" xfId="0" applyNumberFormat="1" applyFont="1" applyFill="1" applyAlignment="1">
      <alignment horizontal="right" vertical="center"/>
    </xf>
    <xf numFmtId="179" fontId="3" fillId="7" borderId="0" xfId="0" applyNumberFormat="1" applyFont="1" applyFill="1" applyAlignment="1">
      <alignment vertical="center"/>
    </xf>
    <xf numFmtId="169" fontId="6" fillId="0" borderId="0" xfId="0" applyNumberFormat="1" applyFont="1" applyAlignment="1">
      <alignment horizontal="justify" vertical="center"/>
    </xf>
    <xf numFmtId="1" fontId="3" fillId="7" borderId="0" xfId="0" applyNumberFormat="1" applyFont="1" applyFill="1"/>
    <xf numFmtId="1" fontId="3" fillId="0" borderId="0" xfId="0" applyNumberFormat="1" applyFont="1"/>
    <xf numFmtId="183" fontId="3" fillId="0" borderId="0" xfId="2" applyNumberFormat="1" applyFont="1" applyAlignment="1">
      <alignment horizontal="justify"/>
    </xf>
    <xf numFmtId="183" fontId="3" fillId="0" borderId="0" xfId="2" applyNumberFormat="1" applyFont="1" applyAlignment="1">
      <alignment horizontal="right" vertical="center"/>
    </xf>
    <xf numFmtId="1" fontId="3" fillId="7" borderId="0" xfId="0" applyNumberFormat="1" applyFont="1" applyFill="1" applyAlignment="1">
      <alignment vertical="center"/>
    </xf>
    <xf numFmtId="170" fontId="3" fillId="7" borderId="0" xfId="0" applyNumberFormat="1" applyFont="1" applyFill="1" applyAlignment="1">
      <alignment horizontal="center" vertical="center"/>
    </xf>
    <xf numFmtId="183" fontId="3" fillId="7" borderId="0" xfId="2" applyNumberFormat="1" applyFont="1" applyFill="1" applyAlignment="1">
      <alignment horizontal="justify" vertical="center"/>
    </xf>
    <xf numFmtId="183" fontId="3" fillId="7" borderId="0" xfId="2" applyNumberFormat="1" applyFont="1" applyFill="1" applyAlignment="1">
      <alignment horizontal="right" vertical="center"/>
    </xf>
    <xf numFmtId="0" fontId="5" fillId="0" borderId="1" xfId="0" applyFont="1" applyBorder="1" applyAlignment="1"/>
    <xf numFmtId="0" fontId="5" fillId="5" borderId="1" xfId="0" applyFont="1" applyFill="1" applyBorder="1" applyAlignment="1">
      <alignment horizontal="center" vertical="center" wrapText="1"/>
    </xf>
    <xf numFmtId="0" fontId="5" fillId="24" borderId="1" xfId="0" applyFont="1" applyFill="1" applyBorder="1" applyAlignment="1">
      <alignment horizontal="center" vertical="center" wrapText="1"/>
    </xf>
    <xf numFmtId="3" fontId="5" fillId="24" borderId="1" xfId="0" applyNumberFormat="1" applyFont="1" applyFill="1" applyBorder="1" applyAlignment="1">
      <alignment horizontal="center" vertical="center" wrapText="1"/>
    </xf>
    <xf numFmtId="0" fontId="5" fillId="24" borderId="1" xfId="0" applyFont="1" applyFill="1" applyBorder="1" applyAlignment="1">
      <alignment vertical="center" wrapText="1"/>
    </xf>
    <xf numFmtId="0" fontId="5" fillId="6" borderId="13" xfId="0" applyFont="1" applyFill="1" applyBorder="1" applyAlignment="1">
      <alignment horizontal="center" vertical="center" wrapText="1"/>
    </xf>
    <xf numFmtId="0" fontId="5" fillId="6" borderId="7" xfId="0" applyFont="1" applyFill="1" applyBorder="1" applyAlignment="1">
      <alignment vertical="center" wrapText="1"/>
    </xf>
    <xf numFmtId="0" fontId="5" fillId="6" borderId="7" xfId="0" applyFont="1" applyFill="1" applyBorder="1" applyAlignment="1">
      <alignment horizontal="center" vertical="center" wrapText="1"/>
    </xf>
    <xf numFmtId="14" fontId="5" fillId="6" borderId="7" xfId="0" applyNumberFormat="1" applyFont="1" applyFill="1" applyBorder="1" applyAlignment="1">
      <alignment vertical="center" wrapText="1"/>
    </xf>
    <xf numFmtId="0" fontId="5" fillId="6" borderId="8" xfId="0" applyFont="1" applyFill="1" applyBorder="1" applyAlignment="1">
      <alignment vertical="center" wrapText="1"/>
    </xf>
    <xf numFmtId="0" fontId="5" fillId="7" borderId="13" xfId="0" applyFont="1" applyFill="1" applyBorder="1" applyAlignment="1">
      <alignment horizontal="center" vertical="center" wrapText="1"/>
    </xf>
    <xf numFmtId="0" fontId="5" fillId="7" borderId="13" xfId="0" applyFont="1" applyFill="1" applyBorder="1" applyAlignment="1">
      <alignment vertical="center" wrapText="1"/>
    </xf>
    <xf numFmtId="0" fontId="5" fillId="23" borderId="9"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15" xfId="0" applyFont="1" applyFill="1" applyBorder="1" applyAlignment="1">
      <alignment vertical="center" wrapText="1"/>
    </xf>
    <xf numFmtId="49" fontId="13" fillId="7" borderId="15" xfId="0" applyNumberFormat="1" applyFont="1" applyFill="1" applyBorder="1" applyAlignment="1">
      <alignment vertical="center" wrapText="1"/>
    </xf>
    <xf numFmtId="43" fontId="13" fillId="0" borderId="1" xfId="1" applyFont="1" applyBorder="1" applyAlignment="1">
      <alignment vertical="center" wrapText="1"/>
    </xf>
    <xf numFmtId="37" fontId="13" fillId="0" borderId="1" xfId="24" applyNumberFormat="1" applyFont="1" applyBorder="1" applyAlignment="1">
      <alignment horizontal="center" vertical="center" wrapText="1"/>
    </xf>
    <xf numFmtId="185" fontId="13" fillId="0" borderId="1" xfId="0" applyNumberFormat="1" applyFont="1" applyBorder="1" applyAlignment="1">
      <alignment horizontal="center" vertical="center" wrapText="1"/>
    </xf>
    <xf numFmtId="0" fontId="5" fillId="9" borderId="1" xfId="0" applyFont="1" applyFill="1" applyBorder="1" applyAlignment="1">
      <alignment horizontal="left" vertical="center" wrapText="1"/>
    </xf>
    <xf numFmtId="0" fontId="5" fillId="9" borderId="1" xfId="0" applyFont="1" applyFill="1" applyBorder="1" applyAlignment="1">
      <alignment horizontal="justify" vertical="center" wrapText="1"/>
    </xf>
    <xf numFmtId="43" fontId="5" fillId="9" borderId="1" xfId="1" applyFont="1" applyFill="1" applyBorder="1" applyAlignment="1">
      <alignment horizontal="left" vertical="center" wrapText="1"/>
    </xf>
    <xf numFmtId="0" fontId="5" fillId="9" borderId="16" xfId="0" applyFont="1" applyFill="1" applyBorder="1" applyAlignment="1">
      <alignment horizontal="justify" vertical="center" wrapText="1"/>
    </xf>
    <xf numFmtId="43" fontId="5" fillId="9" borderId="16" xfId="1" applyFont="1" applyFill="1" applyBorder="1" applyAlignment="1">
      <alignment horizontal="left" vertical="center" wrapText="1"/>
    </xf>
    <xf numFmtId="0" fontId="5" fillId="9" borderId="16" xfId="0" applyFont="1" applyFill="1" applyBorder="1" applyAlignment="1">
      <alignment horizontal="center" vertical="center" wrapText="1"/>
    </xf>
    <xf numFmtId="0" fontId="5" fillId="9" borderId="1" xfId="0" applyFont="1" applyFill="1" applyBorder="1" applyAlignment="1">
      <alignment vertical="center" wrapText="1"/>
    </xf>
    <xf numFmtId="14" fontId="5" fillId="9" borderId="1" xfId="0" applyNumberFormat="1" applyFont="1" applyFill="1" applyBorder="1" applyAlignment="1">
      <alignment horizontal="left" vertical="center" wrapText="1"/>
    </xf>
    <xf numFmtId="49" fontId="13" fillId="7" borderId="15" xfId="0" applyNumberFormat="1" applyFont="1" applyFill="1" applyBorder="1" applyAlignment="1">
      <alignment horizontal="center" vertical="center" wrapText="1"/>
    </xf>
    <xf numFmtId="1" fontId="13" fillId="0" borderId="13" xfId="0" applyNumberFormat="1" applyFont="1" applyFill="1" applyBorder="1" applyAlignment="1">
      <alignment horizontal="center" vertical="center" wrapText="1"/>
    </xf>
    <xf numFmtId="9" fontId="13" fillId="7" borderId="13" xfId="3" applyFont="1" applyFill="1" applyBorder="1" applyAlignment="1">
      <alignment horizontal="center" vertical="center" wrapText="1"/>
    </xf>
    <xf numFmtId="43" fontId="13" fillId="0" borderId="13" xfId="1" applyFont="1" applyBorder="1" applyAlignment="1">
      <alignment horizontal="center" vertical="center" wrapText="1"/>
    </xf>
    <xf numFmtId="49" fontId="13" fillId="7" borderId="13" xfId="0" applyNumberFormat="1" applyFont="1" applyFill="1" applyBorder="1" applyAlignment="1">
      <alignment horizontal="center" vertical="center" wrapText="1"/>
    </xf>
    <xf numFmtId="185" fontId="13" fillId="7" borderId="13" xfId="0" applyNumberFormat="1" applyFont="1" applyFill="1" applyBorder="1" applyAlignment="1">
      <alignment horizontal="center" vertical="center" wrapText="1"/>
    </xf>
    <xf numFmtId="49" fontId="13" fillId="7" borderId="1" xfId="0" applyNumberFormat="1" applyFont="1" applyFill="1" applyBorder="1" applyAlignment="1">
      <alignment horizontal="center" vertical="center" wrapText="1"/>
    </xf>
    <xf numFmtId="185" fontId="13" fillId="7" borderId="1" xfId="0" applyNumberFormat="1" applyFont="1" applyFill="1" applyBorder="1" applyAlignment="1">
      <alignment horizontal="center" vertical="center" wrapText="1"/>
    </xf>
    <xf numFmtId="43" fontId="13" fillId="0" borderId="16" xfId="1" applyFont="1" applyBorder="1" applyAlignment="1">
      <alignment horizontal="center" vertical="center" wrapText="1"/>
    </xf>
    <xf numFmtId="49" fontId="13" fillId="7" borderId="16" xfId="0" applyNumberFormat="1" applyFont="1" applyFill="1" applyBorder="1" applyAlignment="1">
      <alignment horizontal="center" vertical="center" wrapText="1"/>
    </xf>
    <xf numFmtId="185" fontId="13" fillId="7" borderId="16" xfId="0" applyNumberFormat="1" applyFont="1" applyFill="1" applyBorder="1" applyAlignment="1">
      <alignment horizontal="center" vertical="center" wrapText="1"/>
    </xf>
    <xf numFmtId="43" fontId="13" fillId="0" borderId="1" xfId="1" applyFont="1" applyBorder="1" applyAlignment="1">
      <alignment horizontal="center" vertical="center" wrapText="1"/>
    </xf>
    <xf numFmtId="43" fontId="5" fillId="7" borderId="1" xfId="1" applyFont="1" applyFill="1" applyBorder="1" applyAlignment="1">
      <alignment horizontal="right" vertical="center" wrapText="1"/>
    </xf>
    <xf numFmtId="186" fontId="5" fillId="7" borderId="1" xfId="0" applyNumberFormat="1" applyFont="1" applyFill="1" applyBorder="1" applyAlignment="1">
      <alignment vertical="center" wrapText="1"/>
    </xf>
    <xf numFmtId="186" fontId="5" fillId="7" borderId="1" xfId="0" applyNumberFormat="1" applyFont="1" applyFill="1" applyBorder="1" applyAlignment="1">
      <alignment horizontal="justify" vertical="center" wrapText="1"/>
    </xf>
    <xf numFmtId="185" fontId="5" fillId="7" borderId="1" xfId="0" applyNumberFormat="1" applyFont="1" applyFill="1" applyBorder="1" applyAlignment="1">
      <alignment horizontal="center" vertical="center" wrapText="1"/>
    </xf>
    <xf numFmtId="41" fontId="13" fillId="7" borderId="1" xfId="0" applyNumberFormat="1" applyFont="1" applyFill="1" applyBorder="1" applyAlignment="1">
      <alignment horizontal="center" vertical="center"/>
    </xf>
    <xf numFmtId="173" fontId="5" fillId="7" borderId="1" xfId="0" applyNumberFormat="1" applyFont="1" applyFill="1" applyBorder="1" applyAlignment="1">
      <alignment vertical="center"/>
    </xf>
    <xf numFmtId="14" fontId="5" fillId="7" borderId="1" xfId="0" applyNumberFormat="1" applyFont="1" applyFill="1" applyBorder="1" applyAlignment="1">
      <alignment horizontal="right" vertical="center"/>
    </xf>
    <xf numFmtId="14" fontId="5" fillId="7" borderId="1" xfId="0" applyNumberFormat="1" applyFont="1" applyFill="1" applyBorder="1" applyAlignment="1">
      <alignment horizontal="left" vertical="center"/>
    </xf>
    <xf numFmtId="0" fontId="5" fillId="7" borderId="1" xfId="0" applyFont="1" applyFill="1" applyBorder="1" applyAlignment="1">
      <alignment horizontal="left" vertical="center"/>
    </xf>
    <xf numFmtId="0" fontId="13" fillId="0" borderId="0" xfId="0" applyFont="1" applyAlignment="1">
      <alignment horizontal="center"/>
    </xf>
    <xf numFmtId="0" fontId="13" fillId="0" borderId="0" xfId="0" applyFont="1" applyAlignment="1"/>
    <xf numFmtId="14" fontId="13" fillId="0" borderId="0" xfId="0" applyNumberFormat="1" applyFont="1" applyAlignment="1">
      <alignment horizontal="right" vertical="center"/>
    </xf>
    <xf numFmtId="14" fontId="13" fillId="0" borderId="0" xfId="0" applyNumberFormat="1" applyFont="1" applyAlignment="1">
      <alignment horizontal="left"/>
    </xf>
    <xf numFmtId="0" fontId="13" fillId="0" borderId="0" xfId="0" applyFont="1" applyAlignment="1">
      <alignment horizontal="right" vertical="center"/>
    </xf>
    <xf numFmtId="166" fontId="13" fillId="0" borderId="0" xfId="0" applyNumberFormat="1" applyFont="1" applyAlignment="1">
      <alignment horizontal="center"/>
    </xf>
    <xf numFmtId="0" fontId="13" fillId="0" borderId="0" xfId="0" applyFont="1" applyAlignment="1">
      <alignment horizontal="left"/>
    </xf>
    <xf numFmtId="0" fontId="5" fillId="0" borderId="0" xfId="0" applyFont="1"/>
    <xf numFmtId="0" fontId="23" fillId="0" borderId="0" xfId="0" applyFont="1"/>
    <xf numFmtId="0" fontId="13" fillId="0" borderId="0" xfId="0" applyFont="1" applyAlignment="1">
      <alignment horizontal="center"/>
    </xf>
    <xf numFmtId="0" fontId="2" fillId="0" borderId="58" xfId="0" applyFont="1" applyBorder="1" applyAlignment="1">
      <alignment horizontal="center" vertical="center" wrapText="1"/>
    </xf>
    <xf numFmtId="0" fontId="5" fillId="0" borderId="38" xfId="0" applyFont="1" applyBorder="1" applyAlignment="1">
      <alignment vertical="center"/>
    </xf>
    <xf numFmtId="0" fontId="5" fillId="0" borderId="1" xfId="0" applyFont="1" applyBorder="1" applyAlignment="1">
      <alignment horizontal="left" vertical="center"/>
    </xf>
    <xf numFmtId="0" fontId="3" fillId="0" borderId="5" xfId="0" applyFont="1" applyBorder="1" applyAlignment="1">
      <alignment horizontal="justify" vertical="center"/>
    </xf>
    <xf numFmtId="0" fontId="3" fillId="0" borderId="2" xfId="0" applyFont="1" applyBorder="1" applyAlignment="1">
      <alignment vertical="center"/>
    </xf>
    <xf numFmtId="0" fontId="6" fillId="0" borderId="2" xfId="0" applyFont="1" applyBorder="1" applyAlignment="1">
      <alignment horizontal="justify" vertical="center" wrapText="1"/>
    </xf>
    <xf numFmtId="41" fontId="6" fillId="0" borderId="2" xfId="0" applyNumberFormat="1" applyFont="1" applyBorder="1" applyAlignment="1">
      <alignment vertical="center"/>
    </xf>
    <xf numFmtId="0" fontId="6" fillId="0" borderId="70" xfId="0" applyFont="1" applyBorder="1" applyAlignment="1">
      <alignment horizontal="justify" vertical="center" wrapText="1"/>
    </xf>
    <xf numFmtId="0" fontId="6" fillId="0" borderId="60" xfId="0" applyFont="1" applyBorder="1" applyAlignment="1">
      <alignment horizontal="center" vertical="center"/>
    </xf>
    <xf numFmtId="0" fontId="6" fillId="0" borderId="0" xfId="0" applyFont="1" applyBorder="1" applyAlignment="1">
      <alignment horizontal="center" vertical="center"/>
    </xf>
    <xf numFmtId="0" fontId="6" fillId="7" borderId="0" xfId="0" applyFont="1" applyFill="1"/>
    <xf numFmtId="41" fontId="6" fillId="3" borderId="16" xfId="0" applyNumberFormat="1" applyFont="1" applyFill="1" applyBorder="1" applyAlignment="1">
      <alignment horizontal="center" vertical="center" wrapText="1"/>
    </xf>
    <xf numFmtId="0" fontId="8" fillId="5" borderId="5" xfId="0" applyFont="1" applyFill="1" applyBorder="1" applyAlignment="1">
      <alignment horizontal="center" vertical="center" wrapText="1"/>
    </xf>
    <xf numFmtId="1" fontId="5" fillId="6" borderId="6" xfId="0" applyNumberFormat="1" applyFont="1" applyFill="1" applyBorder="1" applyAlignment="1">
      <alignment horizontal="left" vertical="center" wrapText="1"/>
    </xf>
    <xf numFmtId="0" fontId="5" fillId="6" borderId="4" xfId="0" applyFont="1" applyFill="1" applyBorder="1" applyAlignment="1">
      <alignment horizontal="justify" vertical="center" wrapText="1"/>
    </xf>
    <xf numFmtId="0" fontId="5" fillId="6" borderId="4" xfId="0" applyFont="1" applyFill="1" applyBorder="1" applyAlignment="1">
      <alignment horizontal="justify" vertical="center"/>
    </xf>
    <xf numFmtId="170" fontId="13" fillId="6" borderId="4" xfId="0" applyNumberFormat="1" applyFont="1" applyFill="1" applyBorder="1" applyAlignment="1">
      <alignment horizontal="center" vertical="center"/>
    </xf>
    <xf numFmtId="169" fontId="5" fillId="6" borderId="4" xfId="0" applyNumberFormat="1" applyFont="1" applyFill="1" applyBorder="1" applyAlignment="1">
      <alignment vertical="center"/>
    </xf>
    <xf numFmtId="167" fontId="5" fillId="6" borderId="4" xfId="0" applyNumberFormat="1" applyFont="1" applyFill="1" applyBorder="1" applyAlignment="1">
      <alignment vertical="center"/>
    </xf>
    <xf numFmtId="0" fontId="5" fillId="6" borderId="9" xfId="0" applyFont="1" applyFill="1" applyBorder="1" applyAlignment="1">
      <alignment horizontal="justify" vertical="center"/>
    </xf>
    <xf numFmtId="0" fontId="13" fillId="0" borderId="0" xfId="0" applyFont="1" applyBorder="1"/>
    <xf numFmtId="1" fontId="5" fillId="8" borderId="7" xfId="0" applyNumberFormat="1" applyFont="1" applyFill="1" applyBorder="1" applyAlignment="1">
      <alignment horizontal="center" vertical="center"/>
    </xf>
    <xf numFmtId="0" fontId="5" fillId="8" borderId="7" xfId="0" applyFont="1" applyFill="1" applyBorder="1" applyAlignment="1">
      <alignment vertical="center"/>
    </xf>
    <xf numFmtId="0" fontId="5" fillId="8" borderId="4" xfId="0" applyFont="1" applyFill="1" applyBorder="1" applyAlignment="1">
      <alignment vertical="center"/>
    </xf>
    <xf numFmtId="0" fontId="13" fillId="8" borderId="4" xfId="0" applyFont="1" applyFill="1" applyBorder="1" applyAlignment="1">
      <alignment vertical="center"/>
    </xf>
    <xf numFmtId="0" fontId="5" fillId="8" borderId="4" xfId="0" applyFont="1" applyFill="1" applyBorder="1" applyAlignment="1">
      <alignment horizontal="justify" vertical="center" wrapText="1"/>
    </xf>
    <xf numFmtId="0" fontId="5" fillId="8" borderId="4" xfId="0" applyFont="1" applyFill="1" applyBorder="1" applyAlignment="1">
      <alignment horizontal="justify" vertical="center"/>
    </xf>
    <xf numFmtId="0" fontId="13" fillId="8" borderId="4" xfId="0" applyFont="1" applyFill="1" applyBorder="1" applyAlignment="1">
      <alignment horizontal="justify" vertical="center"/>
    </xf>
    <xf numFmtId="170" fontId="13" fillId="8" borderId="4" xfId="0" applyNumberFormat="1" applyFont="1" applyFill="1" applyBorder="1" applyAlignment="1">
      <alignment horizontal="center" vertical="center"/>
    </xf>
    <xf numFmtId="169" fontId="5" fillId="8" borderId="4" xfId="0" applyNumberFormat="1" applyFont="1" applyFill="1" applyBorder="1" applyAlignment="1">
      <alignment vertical="center"/>
    </xf>
    <xf numFmtId="169" fontId="5" fillId="8" borderId="4" xfId="0" applyNumberFormat="1" applyFont="1" applyFill="1" applyBorder="1" applyAlignment="1">
      <alignment horizontal="center" vertical="center"/>
    </xf>
    <xf numFmtId="0" fontId="5" fillId="8" borderId="4" xfId="0" applyFont="1" applyFill="1" applyBorder="1" applyAlignment="1">
      <alignment horizontal="center" vertical="center"/>
    </xf>
    <xf numFmtId="167" fontId="5" fillId="8" borderId="4" xfId="0" applyNumberFormat="1" applyFont="1" applyFill="1" applyBorder="1" applyAlignment="1">
      <alignment vertical="center"/>
    </xf>
    <xf numFmtId="0" fontId="5" fillId="8" borderId="9" xfId="0" applyFont="1" applyFill="1" applyBorder="1" applyAlignment="1">
      <alignment horizontal="justify" vertical="center"/>
    </xf>
    <xf numFmtId="0" fontId="5" fillId="7" borderId="8" xfId="0" applyFont="1" applyFill="1" applyBorder="1" applyAlignment="1">
      <alignment horizontal="center" vertical="center" wrapText="1"/>
    </xf>
    <xf numFmtId="1" fontId="5" fillId="9" borderId="7" xfId="0" applyNumberFormat="1" applyFont="1" applyFill="1" applyBorder="1" applyAlignment="1">
      <alignment horizontal="left" vertical="center" wrapText="1" indent="1"/>
    </xf>
    <xf numFmtId="0" fontId="13" fillId="9" borderId="4" xfId="0" applyFont="1" applyFill="1" applyBorder="1" applyAlignment="1">
      <alignment vertical="center"/>
    </xf>
    <xf numFmtId="0" fontId="5" fillId="9" borderId="4" xfId="0" applyFont="1" applyFill="1" applyBorder="1" applyAlignment="1">
      <alignment horizontal="justify" vertical="center" wrapText="1"/>
    </xf>
    <xf numFmtId="0" fontId="5" fillId="9" borderId="4" xfId="0" applyFont="1" applyFill="1" applyBorder="1" applyAlignment="1">
      <alignment horizontal="justify" vertical="center"/>
    </xf>
    <xf numFmtId="170" fontId="13" fillId="9" borderId="4" xfId="0" applyNumberFormat="1" applyFont="1" applyFill="1" applyBorder="1" applyAlignment="1">
      <alignment horizontal="center" vertical="center"/>
    </xf>
    <xf numFmtId="169" fontId="5" fillId="9" borderId="4" xfId="0" applyNumberFormat="1" applyFont="1" applyFill="1" applyBorder="1" applyAlignment="1">
      <alignment vertical="center"/>
    </xf>
    <xf numFmtId="169" fontId="5" fillId="9" borderId="4" xfId="0" applyNumberFormat="1" applyFont="1" applyFill="1" applyBorder="1" applyAlignment="1">
      <alignment horizontal="center" vertical="center"/>
    </xf>
    <xf numFmtId="0" fontId="5" fillId="9" borderId="4" xfId="0" applyFont="1" applyFill="1" applyBorder="1" applyAlignment="1">
      <alignment horizontal="center" vertical="center"/>
    </xf>
    <xf numFmtId="167" fontId="5" fillId="9" borderId="4" xfId="0" applyNumberFormat="1" applyFont="1" applyFill="1" applyBorder="1" applyAlignment="1">
      <alignment vertical="center"/>
    </xf>
    <xf numFmtId="0" fontId="5" fillId="9" borderId="9" xfId="0" applyFont="1" applyFill="1" applyBorder="1" applyAlignment="1">
      <alignment horizontal="justify" vertical="center"/>
    </xf>
    <xf numFmtId="0" fontId="13" fillId="7" borderId="3" xfId="0" applyFont="1" applyFill="1" applyBorder="1"/>
    <xf numFmtId="0" fontId="13" fillId="7" borderId="9" xfId="0" applyFont="1" applyFill="1" applyBorder="1"/>
    <xf numFmtId="3" fontId="13" fillId="0" borderId="1" xfId="21" applyNumberFormat="1" applyFont="1" applyFill="1" applyBorder="1" applyAlignment="1">
      <alignment horizontal="center" vertical="center" wrapText="1"/>
    </xf>
    <xf numFmtId="3" fontId="13" fillId="7" borderId="1" xfId="21" applyNumberFormat="1" applyFont="1" applyFill="1" applyBorder="1" applyAlignment="1">
      <alignment horizontal="center" vertical="center" wrapText="1"/>
    </xf>
    <xf numFmtId="3" fontId="14" fillId="0" borderId="13" xfId="0" applyNumberFormat="1" applyFont="1" applyBorder="1" applyAlignment="1">
      <alignment horizontal="justify" vertical="center"/>
    </xf>
    <xf numFmtId="3" fontId="13" fillId="0" borderId="13" xfId="0" applyNumberFormat="1" applyFont="1" applyBorder="1" applyAlignment="1">
      <alignment horizontal="justify" vertical="center"/>
    </xf>
    <xf numFmtId="3" fontId="13" fillId="0" borderId="13" xfId="0" applyNumberFormat="1" applyFont="1" applyBorder="1" applyAlignment="1">
      <alignment horizontal="center" vertical="center"/>
    </xf>
    <xf numFmtId="0" fontId="13" fillId="7" borderId="17" xfId="0" applyFont="1" applyFill="1" applyBorder="1"/>
    <xf numFmtId="0" fontId="13" fillId="7" borderId="18" xfId="0" applyFont="1" applyFill="1" applyBorder="1"/>
    <xf numFmtId="3" fontId="14" fillId="0" borderId="15" xfId="0" applyNumberFormat="1" applyFont="1" applyBorder="1" applyAlignment="1">
      <alignment horizontal="justify" vertical="center"/>
    </xf>
    <xf numFmtId="3" fontId="13" fillId="0" borderId="15" xfId="0" applyNumberFormat="1" applyFont="1" applyBorder="1" applyAlignment="1">
      <alignment horizontal="justify" vertical="center"/>
    </xf>
    <xf numFmtId="3" fontId="13" fillId="0" borderId="15" xfId="0" applyNumberFormat="1" applyFont="1" applyBorder="1" applyAlignment="1">
      <alignment horizontal="center" vertical="center"/>
    </xf>
    <xf numFmtId="165" fontId="13" fillId="7" borderId="1" xfId="21" applyFont="1" applyFill="1" applyBorder="1" applyAlignment="1">
      <alignment horizontal="justify" vertical="center" wrapText="1"/>
    </xf>
    <xf numFmtId="165" fontId="13" fillId="0" borderId="1" xfId="21" applyFont="1" applyFill="1" applyBorder="1" applyAlignment="1">
      <alignment horizontal="justify" vertical="center" wrapText="1"/>
    </xf>
    <xf numFmtId="3" fontId="13" fillId="7" borderId="1" xfId="21" applyNumberFormat="1" applyFont="1" applyFill="1" applyBorder="1" applyAlignment="1">
      <alignment horizontal="center" vertical="center"/>
    </xf>
    <xf numFmtId="10" fontId="13" fillId="7" borderId="1" xfId="3" applyNumberFormat="1" applyFont="1" applyFill="1" applyBorder="1" applyAlignment="1">
      <alignment horizontal="center" vertical="center" wrapText="1"/>
    </xf>
    <xf numFmtId="165" fontId="13" fillId="0" borderId="6" xfId="21" applyFont="1" applyFill="1" applyBorder="1" applyAlignment="1">
      <alignment horizontal="justify" vertical="center" wrapText="1"/>
    </xf>
    <xf numFmtId="43" fontId="13" fillId="0" borderId="1" xfId="1" applyFont="1" applyFill="1" applyBorder="1" applyAlignment="1">
      <alignment horizontal="center" vertical="center"/>
    </xf>
    <xf numFmtId="0" fontId="13" fillId="0" borderId="1" xfId="0" applyFont="1" applyFill="1" applyBorder="1" applyAlignment="1">
      <alignment horizontal="center" vertical="center"/>
    </xf>
    <xf numFmtId="0" fontId="13" fillId="7" borderId="0" xfId="0" applyFont="1" applyFill="1" applyBorder="1" applyAlignment="1">
      <alignment horizontal="center" vertical="center" wrapText="1"/>
    </xf>
    <xf numFmtId="165" fontId="13" fillId="0" borderId="1" xfId="21" applyFont="1" applyFill="1" applyBorder="1" applyAlignment="1">
      <alignment vertical="center" wrapText="1"/>
    </xf>
    <xf numFmtId="43" fontId="13" fillId="0" borderId="1" xfId="1" applyFont="1" applyFill="1" applyBorder="1" applyAlignment="1">
      <alignment vertical="center"/>
    </xf>
    <xf numFmtId="43" fontId="13" fillId="0" borderId="1" xfId="1" applyFont="1" applyFill="1" applyBorder="1" applyAlignment="1">
      <alignment vertical="top" wrapText="1"/>
    </xf>
    <xf numFmtId="165" fontId="13" fillId="0" borderId="5" xfId="21" applyFont="1" applyFill="1" applyBorder="1" applyAlignment="1">
      <alignment vertical="center" wrapText="1"/>
    </xf>
    <xf numFmtId="165" fontId="13" fillId="7" borderId="0" xfId="21" applyFont="1" applyFill="1" applyBorder="1" applyAlignment="1">
      <alignment horizontal="justify" vertical="center" wrapText="1"/>
    </xf>
    <xf numFmtId="165" fontId="13" fillId="7" borderId="0" xfId="21" applyFont="1" applyFill="1" applyBorder="1" applyAlignment="1">
      <alignment horizontal="center" vertical="center" wrapText="1"/>
    </xf>
    <xf numFmtId="0" fontId="13" fillId="0" borderId="6" xfId="0" applyFont="1" applyFill="1" applyBorder="1" applyAlignment="1">
      <alignment horizontal="justify" vertical="center" wrapText="1"/>
    </xf>
    <xf numFmtId="3" fontId="13" fillId="7" borderId="18" xfId="21" applyNumberFormat="1" applyFont="1" applyFill="1" applyBorder="1" applyAlignment="1">
      <alignment horizontal="center" vertical="center" wrapText="1"/>
    </xf>
    <xf numFmtId="3" fontId="13" fillId="0" borderId="15" xfId="0" applyNumberFormat="1" applyFont="1" applyBorder="1" applyAlignment="1">
      <alignment horizontal="center" vertical="center" wrapText="1"/>
    </xf>
    <xf numFmtId="165" fontId="13" fillId="7" borderId="0" xfId="21" applyFont="1" applyFill="1" applyBorder="1" applyAlignment="1">
      <alignment vertical="center" wrapText="1"/>
    </xf>
    <xf numFmtId="3" fontId="13" fillId="0" borderId="16" xfId="21" applyNumberFormat="1" applyFont="1" applyFill="1" applyBorder="1" applyAlignment="1">
      <alignment horizontal="center" vertical="center" wrapText="1"/>
    </xf>
    <xf numFmtId="0" fontId="13" fillId="7" borderId="5" xfId="0" applyFont="1" applyFill="1" applyBorder="1"/>
    <xf numFmtId="0" fontId="13" fillId="7" borderId="14" xfId="0" applyFont="1" applyFill="1" applyBorder="1"/>
    <xf numFmtId="3" fontId="13" fillId="7" borderId="16" xfId="21" applyNumberFormat="1" applyFont="1" applyFill="1" applyBorder="1" applyAlignment="1">
      <alignment horizontal="center" vertical="center" wrapText="1"/>
    </xf>
    <xf numFmtId="3" fontId="14" fillId="0" borderId="16" xfId="0" applyNumberFormat="1" applyFont="1" applyBorder="1" applyAlignment="1">
      <alignment horizontal="justify" vertical="center"/>
    </xf>
    <xf numFmtId="3" fontId="13" fillId="0" borderId="16" xfId="0" applyNumberFormat="1" applyFont="1" applyBorder="1" applyAlignment="1">
      <alignment horizontal="center" vertical="center"/>
    </xf>
    <xf numFmtId="0" fontId="13" fillId="9" borderId="0" xfId="0" applyFont="1" applyFill="1" applyBorder="1" applyAlignment="1">
      <alignment vertical="center"/>
    </xf>
    <xf numFmtId="0" fontId="5" fillId="9" borderId="0" xfId="0" applyFont="1" applyFill="1" applyBorder="1" applyAlignment="1">
      <alignment horizontal="justify" vertical="center" wrapText="1"/>
    </xf>
    <xf numFmtId="0" fontId="5" fillId="9" borderId="0" xfId="0" applyFont="1" applyFill="1" applyBorder="1" applyAlignment="1">
      <alignment horizontal="justify" vertical="center"/>
    </xf>
    <xf numFmtId="170" fontId="13" fillId="9" borderId="0" xfId="0" applyNumberFormat="1" applyFont="1" applyFill="1" applyBorder="1" applyAlignment="1">
      <alignment horizontal="center" vertical="center"/>
    </xf>
    <xf numFmtId="43" fontId="5" fillId="9" borderId="0" xfId="1" applyFont="1" applyFill="1" applyBorder="1" applyAlignment="1">
      <alignment vertical="center"/>
    </xf>
    <xf numFmtId="43" fontId="5" fillId="9" borderId="1" xfId="1" applyFont="1" applyFill="1" applyBorder="1" applyAlignment="1">
      <alignment horizontal="center" vertical="center"/>
    </xf>
    <xf numFmtId="43" fontId="5" fillId="9" borderId="1" xfId="1" applyFont="1" applyFill="1" applyBorder="1" applyAlignment="1">
      <alignment horizontal="justify" vertical="center"/>
    </xf>
    <xf numFmtId="0" fontId="5" fillId="9" borderId="1" xfId="0" applyFont="1" applyFill="1" applyBorder="1" applyAlignment="1">
      <alignment horizontal="justify" vertical="center"/>
    </xf>
    <xf numFmtId="165" fontId="13" fillId="7" borderId="18" xfId="21" applyFont="1" applyFill="1" applyBorder="1" applyAlignment="1">
      <alignment horizontal="justify" vertical="center" wrapText="1"/>
    </xf>
    <xf numFmtId="43" fontId="14" fillId="0" borderId="1" xfId="1" applyFont="1" applyFill="1" applyBorder="1" applyAlignment="1">
      <alignment vertical="center" wrapText="1"/>
    </xf>
    <xf numFmtId="0" fontId="14" fillId="0" borderId="13" xfId="0" applyFont="1" applyFill="1" applyBorder="1" applyAlignment="1">
      <alignment horizontal="center" vertical="center" wrapText="1"/>
    </xf>
    <xf numFmtId="165" fontId="13" fillId="7" borderId="13" xfId="21" applyFont="1" applyFill="1" applyBorder="1" applyAlignment="1">
      <alignment horizontal="center" vertical="center" wrapText="1"/>
    </xf>
    <xf numFmtId="3" fontId="13" fillId="0" borderId="3" xfId="0" applyNumberFormat="1" applyFont="1" applyBorder="1" applyAlignment="1">
      <alignment horizontal="center" vertical="center" wrapText="1"/>
    </xf>
    <xf numFmtId="3" fontId="13" fillId="0" borderId="13" xfId="0" applyNumberFormat="1" applyFont="1" applyBorder="1" applyAlignment="1">
      <alignment vertical="center" wrapText="1"/>
    </xf>
    <xf numFmtId="165" fontId="13" fillId="7" borderId="15" xfId="21" applyFont="1" applyFill="1" applyBorder="1" applyAlignment="1">
      <alignment horizontal="center" vertical="center" wrapText="1"/>
    </xf>
    <xf numFmtId="3" fontId="13" fillId="0" borderId="17" xfId="0" applyNumberFormat="1" applyFont="1" applyBorder="1" applyAlignment="1">
      <alignment horizontal="center" vertical="center" wrapText="1"/>
    </xf>
    <xf numFmtId="3" fontId="13" fillId="0" borderId="15" xfId="0" applyNumberFormat="1" applyFont="1" applyBorder="1" applyAlignment="1">
      <alignment vertical="center" wrapText="1"/>
    </xf>
    <xf numFmtId="0" fontId="14" fillId="0" borderId="1" xfId="0" applyFont="1" applyFill="1" applyBorder="1" applyAlignment="1">
      <alignment horizontal="center" vertical="center" wrapText="1"/>
    </xf>
    <xf numFmtId="165" fontId="13" fillId="7" borderId="1" xfId="21" applyFont="1" applyFill="1" applyBorder="1" applyAlignment="1">
      <alignment horizontal="center" vertical="center" wrapText="1"/>
    </xf>
    <xf numFmtId="0" fontId="14" fillId="0" borderId="13" xfId="0" applyFont="1" applyFill="1" applyBorder="1" applyAlignment="1">
      <alignment horizontal="center" vertical="top" wrapText="1"/>
    </xf>
    <xf numFmtId="43" fontId="14" fillId="0" borderId="1" xfId="1" applyFont="1" applyFill="1" applyBorder="1" applyAlignment="1">
      <alignment horizontal="center" vertical="center" wrapText="1"/>
    </xf>
    <xf numFmtId="3" fontId="13" fillId="7" borderId="15" xfId="21" applyNumberFormat="1" applyFont="1" applyFill="1" applyBorder="1" applyAlignment="1">
      <alignment horizontal="center" vertical="center" wrapText="1"/>
    </xf>
    <xf numFmtId="3" fontId="14" fillId="0" borderId="17" xfId="0" applyNumberFormat="1" applyFont="1" applyBorder="1" applyAlignment="1">
      <alignment horizontal="center" vertical="center" wrapText="1"/>
    </xf>
    <xf numFmtId="165" fontId="13" fillId="0" borderId="5" xfId="21" applyFont="1" applyFill="1" applyBorder="1" applyAlignment="1">
      <alignment horizontal="justify" vertical="center" wrapText="1"/>
    </xf>
    <xf numFmtId="0" fontId="13" fillId="0" borderId="15" xfId="0" applyFont="1" applyBorder="1" applyAlignment="1">
      <alignment horizontal="center"/>
    </xf>
    <xf numFmtId="1" fontId="13" fillId="7" borderId="1" xfId="13" applyNumberFormat="1" applyFont="1" applyFill="1" applyBorder="1" applyAlignment="1">
      <alignment horizontal="center" vertical="center" wrapText="1"/>
    </xf>
    <xf numFmtId="165" fontId="13" fillId="0" borderId="1" xfId="21" applyFont="1" applyBorder="1" applyAlignment="1">
      <alignment horizontal="justify" vertical="center" wrapText="1"/>
    </xf>
    <xf numFmtId="1" fontId="13" fillId="0" borderId="1" xfId="21" applyNumberFormat="1" applyFont="1" applyBorder="1" applyAlignment="1">
      <alignment horizontal="center" vertical="center"/>
    </xf>
    <xf numFmtId="2" fontId="13" fillId="7" borderId="1" xfId="21" applyNumberFormat="1" applyFont="1" applyFill="1" applyBorder="1" applyAlignment="1">
      <alignment horizontal="center" vertical="center"/>
    </xf>
    <xf numFmtId="165" fontId="13" fillId="7" borderId="16" xfId="21" applyFont="1" applyFill="1" applyBorder="1" applyAlignment="1">
      <alignment horizontal="center" vertical="center" wrapText="1"/>
    </xf>
    <xf numFmtId="3" fontId="14" fillId="0" borderId="5" xfId="0" applyNumberFormat="1" applyFont="1" applyBorder="1" applyAlignment="1">
      <alignment horizontal="center" vertical="center" wrapText="1"/>
    </xf>
    <xf numFmtId="3" fontId="13" fillId="0" borderId="16" xfId="0" applyNumberFormat="1" applyFont="1" applyBorder="1" applyAlignment="1">
      <alignment vertical="center" wrapText="1"/>
    </xf>
    <xf numFmtId="1" fontId="5" fillId="8" borderId="1" xfId="0" applyNumberFormat="1" applyFont="1" applyFill="1" applyBorder="1" applyAlignment="1">
      <alignment horizontal="center" vertical="center"/>
    </xf>
    <xf numFmtId="0" fontId="5" fillId="8" borderId="1" xfId="0" applyFont="1" applyFill="1" applyBorder="1" applyAlignment="1">
      <alignment vertical="center"/>
    </xf>
    <xf numFmtId="0" fontId="13" fillId="8" borderId="0" xfId="0" applyFont="1" applyFill="1" applyBorder="1" applyAlignment="1">
      <alignment vertical="center"/>
    </xf>
    <xf numFmtId="0" fontId="5" fillId="8" borderId="0" xfId="0" applyFont="1" applyFill="1" applyBorder="1" applyAlignment="1">
      <alignment horizontal="justify" vertical="center" wrapText="1"/>
    </xf>
    <xf numFmtId="0" fontId="5" fillId="8" borderId="0" xfId="0" applyFont="1" applyFill="1" applyBorder="1" applyAlignment="1">
      <alignment horizontal="justify" vertical="center"/>
    </xf>
    <xf numFmtId="0" fontId="5" fillId="8" borderId="0" xfId="0" applyFont="1" applyFill="1" applyBorder="1" applyAlignment="1">
      <alignment vertical="center"/>
    </xf>
    <xf numFmtId="170" fontId="13" fillId="8" borderId="0" xfId="0" applyNumberFormat="1" applyFont="1" applyFill="1" applyBorder="1" applyAlignment="1">
      <alignment horizontal="center" vertical="center"/>
    </xf>
    <xf numFmtId="43" fontId="5" fillId="8" borderId="0" xfId="1" applyFont="1" applyFill="1" applyBorder="1" applyAlignment="1">
      <alignment vertical="center"/>
    </xf>
    <xf numFmtId="43" fontId="5" fillId="8" borderId="1" xfId="1" applyFont="1" applyFill="1" applyBorder="1" applyAlignment="1">
      <alignment horizontal="center" vertical="center"/>
    </xf>
    <xf numFmtId="43" fontId="5" fillId="8" borderId="1" xfId="1" applyFont="1" applyFill="1" applyBorder="1" applyAlignment="1">
      <alignment horizontal="justify" vertical="center"/>
    </xf>
    <xf numFmtId="169" fontId="5" fillId="8" borderId="1" xfId="0" applyNumberFormat="1" applyFont="1" applyFill="1" applyBorder="1" applyAlignment="1">
      <alignment horizontal="justify" vertical="center"/>
    </xf>
    <xf numFmtId="43" fontId="5" fillId="8" borderId="4" xfId="1" applyFont="1" applyFill="1" applyBorder="1" applyAlignment="1">
      <alignment horizontal="justify" vertical="center"/>
    </xf>
    <xf numFmtId="43" fontId="5" fillId="9" borderId="4" xfId="1" applyFont="1" applyFill="1" applyBorder="1" applyAlignment="1">
      <alignment vertical="center"/>
    </xf>
    <xf numFmtId="169" fontId="5" fillId="9" borderId="1" xfId="0" applyNumberFormat="1" applyFont="1" applyFill="1" applyBorder="1" applyAlignment="1">
      <alignment horizontal="justify" vertical="center"/>
    </xf>
    <xf numFmtId="169" fontId="5" fillId="9" borderId="7" xfId="0" applyNumberFormat="1" applyFont="1" applyFill="1" applyBorder="1" applyAlignment="1">
      <alignment horizontal="center" vertical="center"/>
    </xf>
    <xf numFmtId="43" fontId="5" fillId="9" borderId="7" xfId="1" applyFont="1" applyFill="1" applyBorder="1" applyAlignment="1">
      <alignment horizontal="center" vertical="center"/>
    </xf>
    <xf numFmtId="169" fontId="5" fillId="9" borderId="8" xfId="0" applyNumberFormat="1" applyFont="1" applyFill="1" applyBorder="1" applyAlignment="1">
      <alignment horizontal="center" vertical="center"/>
    </xf>
    <xf numFmtId="0" fontId="13" fillId="7" borderId="4" xfId="0" applyFont="1" applyFill="1" applyBorder="1" applyAlignment="1"/>
    <xf numFmtId="0" fontId="14" fillId="7" borderId="3" xfId="0" applyFont="1" applyFill="1" applyBorder="1" applyAlignment="1"/>
    <xf numFmtId="0" fontId="14" fillId="7" borderId="9" xfId="0" applyFont="1" applyFill="1" applyBorder="1" applyAlignment="1"/>
    <xf numFmtId="165" fontId="13" fillId="7" borderId="18" xfId="21" applyFont="1" applyFill="1" applyBorder="1" applyAlignment="1">
      <alignment vertical="center" wrapText="1"/>
    </xf>
    <xf numFmtId="3" fontId="13" fillId="0" borderId="13" xfId="21" applyNumberFormat="1" applyFont="1" applyFill="1" applyBorder="1" applyAlignment="1">
      <alignment horizontal="center" vertical="center" wrapText="1"/>
    </xf>
    <xf numFmtId="165" fontId="13" fillId="7" borderId="13" xfId="21" applyFont="1" applyFill="1" applyBorder="1" applyAlignment="1">
      <alignment horizontal="center" vertical="center"/>
    </xf>
    <xf numFmtId="3" fontId="13" fillId="0" borderId="3" xfId="0" applyNumberFormat="1" applyFont="1" applyBorder="1" applyAlignment="1">
      <alignment horizontal="center" vertical="center"/>
    </xf>
    <xf numFmtId="3" fontId="13" fillId="0" borderId="9" xfId="0" applyNumberFormat="1" applyFont="1" applyBorder="1" applyAlignment="1">
      <alignment vertical="center"/>
    </xf>
    <xf numFmtId="3" fontId="13" fillId="0" borderId="13" xfId="0" applyNumberFormat="1" applyFont="1" applyBorder="1" applyAlignment="1">
      <alignment vertical="center"/>
    </xf>
    <xf numFmtId="0" fontId="14" fillId="7" borderId="0" xfId="0" applyFont="1" applyFill="1" applyBorder="1" applyAlignment="1"/>
    <xf numFmtId="0" fontId="14" fillId="7" borderId="17" xfId="0" applyFont="1" applyFill="1" applyBorder="1" applyAlignment="1"/>
    <xf numFmtId="0" fontId="14" fillId="7" borderId="18" xfId="0" applyFont="1" applyFill="1" applyBorder="1" applyAlignment="1"/>
    <xf numFmtId="165" fontId="13" fillId="7" borderId="1" xfId="21" applyFont="1" applyFill="1" applyBorder="1" applyAlignment="1">
      <alignment horizontal="center" vertical="center"/>
    </xf>
    <xf numFmtId="3" fontId="14" fillId="0" borderId="17" xfId="0" applyNumberFormat="1" applyFont="1" applyBorder="1" applyAlignment="1">
      <alignment horizontal="center" vertical="center"/>
    </xf>
    <xf numFmtId="3" fontId="13" fillId="0" borderId="18" xfId="0" applyNumberFormat="1" applyFont="1" applyBorder="1" applyAlignment="1">
      <alignment vertical="center"/>
    </xf>
    <xf numFmtId="3" fontId="13" fillId="0" borderId="15" xfId="0" applyNumberFormat="1" applyFont="1" applyBorder="1" applyAlignment="1">
      <alignment vertical="center"/>
    </xf>
    <xf numFmtId="43" fontId="13" fillId="0" borderId="16" xfId="1" applyFont="1" applyFill="1" applyBorder="1" applyAlignment="1">
      <alignment vertical="center" wrapText="1"/>
    </xf>
    <xf numFmtId="43" fontId="13" fillId="0" borderId="16" xfId="1" applyFont="1" applyFill="1" applyBorder="1" applyAlignment="1">
      <alignment horizontal="center" vertical="center" wrapText="1"/>
    </xf>
    <xf numFmtId="43" fontId="13" fillId="0" borderId="16" xfId="1" applyFont="1" applyFill="1" applyBorder="1" applyAlignment="1">
      <alignment horizontal="center" vertical="center"/>
    </xf>
    <xf numFmtId="43" fontId="13" fillId="0" borderId="6" xfId="1" applyFont="1" applyFill="1" applyBorder="1" applyAlignment="1">
      <alignment vertical="center" wrapText="1"/>
    </xf>
    <xf numFmtId="0" fontId="13" fillId="0" borderId="18" xfId="0" applyFont="1" applyBorder="1"/>
    <xf numFmtId="1" fontId="13" fillId="7" borderId="18" xfId="21" applyNumberFormat="1" applyFont="1" applyFill="1" applyBorder="1" applyAlignment="1">
      <alignment horizontal="center" vertical="center"/>
    </xf>
    <xf numFmtId="3" fontId="13" fillId="0" borderId="18" xfId="0" applyNumberFormat="1" applyFont="1" applyBorder="1" applyAlignment="1">
      <alignment horizontal="center" vertical="center" wrapText="1"/>
    </xf>
    <xf numFmtId="165" fontId="13" fillId="7" borderId="18" xfId="21" applyFont="1" applyFill="1" applyBorder="1" applyAlignment="1">
      <alignment horizontal="center" vertical="center" wrapText="1"/>
    </xf>
    <xf numFmtId="1" fontId="13" fillId="7" borderId="0" xfId="21" applyNumberFormat="1" applyFont="1" applyFill="1" applyBorder="1" applyAlignment="1">
      <alignment horizontal="center" vertical="center"/>
    </xf>
    <xf numFmtId="0" fontId="14" fillId="7" borderId="2" xfId="0" applyFont="1" applyFill="1" applyBorder="1" applyAlignment="1"/>
    <xf numFmtId="0" fontId="14" fillId="7" borderId="5" xfId="0" applyFont="1" applyFill="1" applyBorder="1" applyAlignment="1"/>
    <xf numFmtId="0" fontId="14" fillId="7" borderId="14" xfId="0" applyFont="1" applyFill="1" applyBorder="1" applyAlignment="1"/>
    <xf numFmtId="165" fontId="13" fillId="7" borderId="14" xfId="21" applyFont="1" applyFill="1" applyBorder="1" applyAlignment="1">
      <alignment vertical="center" wrapText="1"/>
    </xf>
    <xf numFmtId="3" fontId="14" fillId="0" borderId="5" xfId="0" applyNumberFormat="1" applyFont="1" applyBorder="1" applyAlignment="1">
      <alignment horizontal="center" vertical="center"/>
    </xf>
    <xf numFmtId="3" fontId="13" fillId="0" borderId="14" xfId="0" applyNumberFormat="1" applyFont="1" applyBorder="1" applyAlignment="1">
      <alignment vertical="center"/>
    </xf>
    <xf numFmtId="3" fontId="13" fillId="0" borderId="16" xfId="0" applyNumberFormat="1" applyFont="1" applyBorder="1" applyAlignment="1">
      <alignment vertical="center"/>
    </xf>
    <xf numFmtId="0" fontId="5" fillId="9" borderId="0" xfId="0" applyFont="1" applyFill="1" applyBorder="1" applyAlignment="1">
      <alignment vertical="center"/>
    </xf>
    <xf numFmtId="0" fontId="13" fillId="9" borderId="2" xfId="0" applyFont="1" applyFill="1" applyBorder="1" applyAlignment="1">
      <alignment vertical="center"/>
    </xf>
    <xf numFmtId="43" fontId="5" fillId="9" borderId="1" xfId="1" applyFont="1" applyFill="1" applyBorder="1" applyAlignment="1">
      <alignment horizontal="justify" vertical="center" wrapText="1"/>
    </xf>
    <xf numFmtId="165" fontId="13" fillId="7" borderId="18" xfId="21" applyFont="1" applyFill="1" applyBorder="1" applyAlignment="1">
      <alignment vertical="center"/>
    </xf>
    <xf numFmtId="43" fontId="13" fillId="0" borderId="1" xfId="1" applyFont="1" applyFill="1" applyBorder="1" applyAlignment="1">
      <alignment horizontal="justify" vertical="center"/>
    </xf>
    <xf numFmtId="165" fontId="13" fillId="7" borderId="18" xfId="21" applyFont="1" applyFill="1" applyBorder="1" applyAlignment="1">
      <alignment horizontal="center" vertical="center"/>
    </xf>
    <xf numFmtId="3" fontId="13" fillId="0" borderId="1" xfId="21" applyNumberFormat="1" applyFont="1" applyFill="1" applyBorder="1" applyAlignment="1">
      <alignment horizontal="center" vertical="center"/>
    </xf>
    <xf numFmtId="43" fontId="13" fillId="0" borderId="6" xfId="1" applyFont="1" applyFill="1" applyBorder="1" applyAlignment="1">
      <alignment horizontal="justify" vertical="center"/>
    </xf>
    <xf numFmtId="1" fontId="13" fillId="7" borderId="15" xfId="21" applyNumberFormat="1" applyFont="1" applyFill="1" applyBorder="1" applyAlignment="1">
      <alignment horizontal="center" vertical="center"/>
    </xf>
    <xf numFmtId="1" fontId="13" fillId="7" borderId="17" xfId="21" applyNumberFormat="1" applyFont="1" applyFill="1" applyBorder="1" applyAlignment="1">
      <alignment horizontal="center" vertical="center"/>
    </xf>
    <xf numFmtId="0" fontId="13" fillId="0" borderId="3" xfId="0" applyFont="1" applyFill="1" applyBorder="1" applyAlignment="1">
      <alignment horizontal="justify" vertical="center" wrapText="1"/>
    </xf>
    <xf numFmtId="167" fontId="5" fillId="9" borderId="8" xfId="0" applyNumberFormat="1" applyFont="1" applyFill="1" applyBorder="1" applyAlignment="1">
      <alignment vertical="center"/>
    </xf>
    <xf numFmtId="1" fontId="13" fillId="0" borderId="13" xfId="21" applyNumberFormat="1" applyFont="1" applyFill="1" applyBorder="1" applyAlignment="1">
      <alignment horizontal="center" vertical="center" wrapText="1"/>
    </xf>
    <xf numFmtId="1" fontId="13" fillId="0" borderId="1" xfId="21" applyNumberFormat="1" applyFont="1" applyFill="1" applyBorder="1" applyAlignment="1">
      <alignment horizontal="center" vertical="center"/>
    </xf>
    <xf numFmtId="165" fontId="13" fillId="7" borderId="0" xfId="21" applyFont="1" applyFill="1" applyBorder="1" applyAlignment="1">
      <alignment horizontal="center" vertical="center"/>
    </xf>
    <xf numFmtId="1" fontId="13" fillId="0" borderId="16" xfId="21" applyNumberFormat="1" applyFont="1" applyFill="1" applyBorder="1" applyAlignment="1">
      <alignment horizontal="center" vertical="center"/>
    </xf>
    <xf numFmtId="3" fontId="13" fillId="7" borderId="16" xfId="21" applyNumberFormat="1" applyFont="1" applyFill="1" applyBorder="1" applyAlignment="1">
      <alignment horizontal="center" vertical="center"/>
    </xf>
    <xf numFmtId="43" fontId="5" fillId="9" borderId="7" xfId="1" applyFont="1" applyFill="1" applyBorder="1" applyAlignment="1">
      <alignment horizontal="justify" vertical="center"/>
    </xf>
    <xf numFmtId="0" fontId="13" fillId="7" borderId="18" xfId="21" applyNumberFormat="1" applyFont="1" applyFill="1" applyBorder="1" applyAlignment="1">
      <alignment vertical="center" wrapText="1"/>
    </xf>
    <xf numFmtId="9" fontId="13" fillId="0" borderId="1" xfId="3" applyFont="1" applyFill="1" applyBorder="1" applyAlignment="1">
      <alignment horizontal="center" vertical="center"/>
    </xf>
    <xf numFmtId="1" fontId="13" fillId="0" borderId="1" xfId="21" applyNumberFormat="1" applyFont="1" applyFill="1" applyBorder="1" applyAlignment="1">
      <alignment horizontal="center" vertical="center" wrapText="1"/>
    </xf>
    <xf numFmtId="0" fontId="13" fillId="7" borderId="18" xfId="21" applyNumberFormat="1" applyFont="1" applyFill="1" applyBorder="1" applyAlignment="1">
      <alignment horizontal="center" vertical="center" wrapText="1"/>
    </xf>
    <xf numFmtId="9" fontId="13" fillId="7" borderId="1" xfId="3" applyFont="1" applyFill="1" applyBorder="1" applyAlignment="1">
      <alignment horizontal="center" vertical="center"/>
    </xf>
    <xf numFmtId="0" fontId="13" fillId="0" borderId="1" xfId="0" applyFont="1" applyFill="1" applyBorder="1"/>
    <xf numFmtId="1" fontId="5" fillId="8" borderId="1" xfId="0" applyNumberFormat="1" applyFont="1" applyFill="1" applyBorder="1" applyAlignment="1">
      <alignment vertical="center"/>
    </xf>
    <xf numFmtId="1" fontId="5" fillId="8" borderId="4" xfId="0" applyNumberFormat="1" applyFont="1" applyFill="1" applyBorder="1" applyAlignment="1">
      <alignment vertical="center"/>
    </xf>
    <xf numFmtId="0" fontId="5" fillId="8" borderId="1" xfId="0" applyFont="1" applyFill="1" applyBorder="1" applyAlignment="1">
      <alignment horizontal="justify" vertical="center"/>
    </xf>
    <xf numFmtId="1" fontId="13" fillId="0" borderId="13" xfId="21" applyNumberFormat="1" applyFont="1" applyFill="1" applyBorder="1" applyAlignment="1">
      <alignment horizontal="center" vertical="center"/>
    </xf>
    <xf numFmtId="3" fontId="13" fillId="0" borderId="13" xfId="21" applyNumberFormat="1" applyFont="1" applyFill="1" applyBorder="1" applyAlignment="1">
      <alignment horizontal="center" vertical="center"/>
    </xf>
    <xf numFmtId="4" fontId="13" fillId="7" borderId="1" xfId="21" applyNumberFormat="1" applyFont="1" applyFill="1" applyBorder="1" applyAlignment="1">
      <alignment horizontal="center" vertical="center"/>
    </xf>
    <xf numFmtId="165" fontId="13" fillId="0" borderId="3" xfId="21" applyFont="1" applyFill="1" applyBorder="1" applyAlignment="1">
      <alignment horizontal="justify" vertical="center" wrapText="1"/>
    </xf>
    <xf numFmtId="43" fontId="13" fillId="0" borderId="16" xfId="1" applyFont="1" applyFill="1" applyBorder="1" applyAlignment="1">
      <alignment vertical="center"/>
    </xf>
    <xf numFmtId="43" fontId="13" fillId="0" borderId="13" xfId="1" applyFont="1" applyFill="1" applyBorder="1" applyAlignment="1">
      <alignment horizontal="center" vertical="center"/>
    </xf>
    <xf numFmtId="1" fontId="5" fillId="8" borderId="6" xfId="0" applyNumberFormat="1" applyFont="1" applyFill="1" applyBorder="1" applyAlignment="1">
      <alignment vertical="center"/>
    </xf>
    <xf numFmtId="1" fontId="5" fillId="8" borderId="8" xfId="0" applyNumberFormat="1" applyFont="1" applyFill="1" applyBorder="1" applyAlignment="1">
      <alignment horizontal="center" vertical="center"/>
    </xf>
    <xf numFmtId="1" fontId="5" fillId="9" borderId="2" xfId="0" applyNumberFormat="1" applyFont="1" applyFill="1" applyBorder="1" applyAlignment="1">
      <alignment horizontal="left" vertical="center" wrapText="1" indent="1"/>
    </xf>
    <xf numFmtId="0" fontId="5" fillId="9" borderId="2" xfId="0" applyFont="1" applyFill="1" applyBorder="1" applyAlignment="1">
      <alignment vertical="center"/>
    </xf>
    <xf numFmtId="0" fontId="5" fillId="9" borderId="16" xfId="0" applyFont="1" applyFill="1" applyBorder="1" applyAlignment="1">
      <alignment vertical="center"/>
    </xf>
    <xf numFmtId="0" fontId="13" fillId="9" borderId="2" xfId="0" applyFont="1" applyFill="1" applyBorder="1" applyAlignment="1">
      <alignment horizontal="justify" vertical="center"/>
    </xf>
    <xf numFmtId="0" fontId="5" fillId="9" borderId="2" xfId="0" applyFont="1" applyFill="1" applyBorder="1" applyAlignment="1">
      <alignment horizontal="justify" vertical="center"/>
    </xf>
    <xf numFmtId="43" fontId="5" fillId="9" borderId="16" xfId="1" applyFont="1" applyFill="1" applyBorder="1" applyAlignment="1">
      <alignment horizontal="center" vertical="center"/>
    </xf>
    <xf numFmtId="43" fontId="5" fillId="9" borderId="16" xfId="1" applyFont="1" applyFill="1" applyBorder="1" applyAlignment="1">
      <alignment horizontal="justify" vertical="center"/>
    </xf>
    <xf numFmtId="169" fontId="5" fillId="9" borderId="16" xfId="0" applyNumberFormat="1" applyFont="1" applyFill="1" applyBorder="1" applyAlignment="1">
      <alignment horizontal="justify" vertical="center"/>
    </xf>
    <xf numFmtId="169" fontId="5" fillId="9" borderId="2" xfId="0" applyNumberFormat="1" applyFont="1" applyFill="1" applyBorder="1" applyAlignment="1">
      <alignment horizontal="center" vertical="center"/>
    </xf>
    <xf numFmtId="43" fontId="5" fillId="9" borderId="2" xfId="1" applyFont="1" applyFill="1" applyBorder="1" applyAlignment="1">
      <alignment horizontal="center" vertical="center"/>
    </xf>
    <xf numFmtId="169" fontId="5" fillId="9" borderId="14" xfId="0" applyNumberFormat="1" applyFont="1" applyFill="1" applyBorder="1" applyAlignment="1">
      <alignment horizontal="center" vertical="center"/>
    </xf>
    <xf numFmtId="0" fontId="13" fillId="7" borderId="6" xfId="0" applyFont="1" applyFill="1" applyBorder="1" applyAlignment="1">
      <alignment horizontal="justify" vertical="center" wrapText="1" readingOrder="2"/>
    </xf>
    <xf numFmtId="49" fontId="13" fillId="0" borderId="13" xfId="21" applyNumberFormat="1" applyFont="1" applyFill="1" applyBorder="1" applyAlignment="1">
      <alignment horizontal="center" vertical="center" wrapText="1"/>
    </xf>
    <xf numFmtId="3" fontId="13" fillId="7" borderId="13" xfId="21" applyNumberFormat="1" applyFont="1" applyFill="1" applyBorder="1" applyAlignment="1">
      <alignment horizontal="center" vertical="center" wrapText="1"/>
    </xf>
    <xf numFmtId="49" fontId="13" fillId="0" borderId="1" xfId="21" applyNumberFormat="1" applyFont="1" applyFill="1" applyBorder="1" applyAlignment="1">
      <alignment horizontal="center" vertical="center"/>
    </xf>
    <xf numFmtId="165" fontId="13" fillId="7" borderId="6" xfId="21" applyFont="1" applyFill="1" applyBorder="1" applyAlignment="1">
      <alignment horizontal="justify" vertical="center" wrapText="1"/>
    </xf>
    <xf numFmtId="49" fontId="13" fillId="0" borderId="16" xfId="21" applyNumberFormat="1" applyFont="1" applyFill="1" applyBorder="1" applyAlignment="1">
      <alignment horizontal="center" vertical="center"/>
    </xf>
    <xf numFmtId="0" fontId="13" fillId="6" borderId="0" xfId="0" applyFont="1" applyFill="1" applyBorder="1" applyAlignment="1">
      <alignment vertical="center"/>
    </xf>
    <xf numFmtId="0" fontId="5" fillId="6" borderId="0" xfId="0" applyFont="1" applyFill="1" applyBorder="1" applyAlignment="1">
      <alignment horizontal="justify" vertical="center" wrapText="1"/>
    </xf>
    <xf numFmtId="0" fontId="5" fillId="6" borderId="0" xfId="0" applyFont="1" applyFill="1" applyBorder="1" applyAlignment="1">
      <alignment horizontal="justify" vertical="center"/>
    </xf>
    <xf numFmtId="0" fontId="5" fillId="6" borderId="0" xfId="0" applyFont="1" applyFill="1" applyBorder="1" applyAlignment="1">
      <alignment vertical="center"/>
    </xf>
    <xf numFmtId="170" fontId="13" fillId="6" borderId="0" xfId="0" applyNumberFormat="1" applyFont="1" applyFill="1" applyBorder="1" applyAlignment="1">
      <alignment horizontal="center" vertical="center"/>
    </xf>
    <xf numFmtId="43" fontId="5" fillId="6" borderId="0" xfId="1" applyFont="1" applyFill="1" applyBorder="1" applyAlignment="1">
      <alignment vertical="center"/>
    </xf>
    <xf numFmtId="43" fontId="5" fillId="6" borderId="1" xfId="1" applyFont="1" applyFill="1" applyBorder="1" applyAlignment="1">
      <alignment horizontal="center" vertical="center"/>
    </xf>
    <xf numFmtId="43" fontId="5" fillId="6" borderId="1" xfId="1" applyFont="1" applyFill="1" applyBorder="1" applyAlignment="1">
      <alignment horizontal="justify" vertical="center"/>
    </xf>
    <xf numFmtId="169" fontId="5" fillId="6" borderId="1" xfId="0" applyNumberFormat="1" applyFont="1" applyFill="1" applyBorder="1" applyAlignment="1">
      <alignment horizontal="justify" vertical="center"/>
    </xf>
    <xf numFmtId="169" fontId="5" fillId="6" borderId="4" xfId="0" applyNumberFormat="1" applyFont="1" applyFill="1" applyBorder="1" applyAlignment="1">
      <alignment horizontal="center" vertical="center"/>
    </xf>
    <xf numFmtId="43" fontId="5" fillId="6" borderId="4" xfId="1" applyFont="1" applyFill="1" applyBorder="1" applyAlignment="1">
      <alignment horizontal="center" vertical="center"/>
    </xf>
    <xf numFmtId="169" fontId="5" fillId="6" borderId="9" xfId="0" applyNumberFormat="1" applyFont="1" applyFill="1" applyBorder="1" applyAlignment="1">
      <alignment horizontal="center" vertical="center"/>
    </xf>
    <xf numFmtId="0" fontId="13" fillId="7" borderId="0" xfId="0" applyFont="1" applyFill="1" applyBorder="1"/>
    <xf numFmtId="43" fontId="5" fillId="8" borderId="4" xfId="1" applyFont="1" applyFill="1" applyBorder="1" applyAlignment="1">
      <alignment vertical="center"/>
    </xf>
    <xf numFmtId="1" fontId="5" fillId="9" borderId="4" xfId="0" applyNumberFormat="1" applyFont="1" applyFill="1" applyBorder="1" applyAlignment="1">
      <alignment horizontal="left" vertical="center" wrapText="1" indent="1"/>
    </xf>
    <xf numFmtId="0" fontId="5" fillId="9" borderId="7" xfId="0" applyFont="1" applyFill="1" applyBorder="1" applyAlignment="1">
      <alignment horizontal="justify" vertical="center" wrapText="1"/>
    </xf>
    <xf numFmtId="170" fontId="13" fillId="9" borderId="7" xfId="0" applyNumberFormat="1" applyFont="1" applyFill="1" applyBorder="1" applyAlignment="1">
      <alignment horizontal="center" vertical="center"/>
    </xf>
    <xf numFmtId="0" fontId="13" fillId="7" borderId="9" xfId="0" applyFont="1" applyFill="1" applyBorder="1" applyAlignment="1"/>
    <xf numFmtId="0" fontId="14" fillId="7" borderId="4" xfId="0" applyFont="1" applyFill="1" applyBorder="1" applyAlignment="1"/>
    <xf numFmtId="1" fontId="6" fillId="7" borderId="6" xfId="21" applyNumberFormat="1" applyFont="1" applyFill="1" applyBorder="1" applyAlignment="1">
      <alignment horizontal="center" vertical="center" wrapText="1"/>
    </xf>
    <xf numFmtId="1" fontId="6" fillId="7" borderId="7" xfId="21" applyNumberFormat="1" applyFont="1" applyFill="1" applyBorder="1" applyAlignment="1">
      <alignment horizontal="center" vertical="center" wrapText="1"/>
    </xf>
    <xf numFmtId="0" fontId="5" fillId="0" borderId="7" xfId="0" applyFont="1" applyBorder="1" applyAlignment="1">
      <alignment horizontal="center"/>
    </xf>
    <xf numFmtId="0" fontId="15" fillId="7" borderId="7" xfId="0" applyFont="1" applyFill="1" applyBorder="1" applyAlignment="1"/>
    <xf numFmtId="3" fontId="5" fillId="0" borderId="7" xfId="21" applyNumberFormat="1" applyFont="1" applyBorder="1" applyAlignment="1">
      <alignment horizontal="center" vertical="center"/>
    </xf>
    <xf numFmtId="165" fontId="5" fillId="7" borderId="7" xfId="21" applyFont="1" applyFill="1" applyBorder="1" applyAlignment="1">
      <alignment horizontal="justify" vertical="center" wrapText="1"/>
    </xf>
    <xf numFmtId="3" fontId="5" fillId="7" borderId="7" xfId="21" applyNumberFormat="1" applyFont="1" applyFill="1" applyBorder="1" applyAlignment="1">
      <alignment horizontal="center" vertical="center"/>
    </xf>
    <xf numFmtId="165" fontId="5" fillId="7" borderId="7" xfId="21" applyFont="1" applyFill="1" applyBorder="1" applyAlignment="1">
      <alignment horizontal="justify" vertical="center"/>
    </xf>
    <xf numFmtId="49" fontId="5" fillId="0" borderId="7" xfId="21" applyNumberFormat="1" applyFont="1" applyFill="1" applyBorder="1" applyAlignment="1">
      <alignment horizontal="center" vertical="center" wrapText="1"/>
    </xf>
    <xf numFmtId="0" fontId="6" fillId="7" borderId="8" xfId="0" applyFont="1" applyFill="1" applyBorder="1" applyAlignment="1">
      <alignment horizontal="justify" vertical="center" wrapText="1"/>
    </xf>
    <xf numFmtId="3" fontId="5" fillId="7" borderId="6" xfId="21" applyNumberFormat="1" applyFont="1" applyFill="1" applyBorder="1" applyAlignment="1">
      <alignment horizontal="center" vertical="center"/>
    </xf>
    <xf numFmtId="0" fontId="15" fillId="0" borderId="7" xfId="0" applyFont="1" applyFill="1" applyBorder="1" applyAlignment="1">
      <alignment vertical="center"/>
    </xf>
    <xf numFmtId="0" fontId="15" fillId="0" borderId="7" xfId="0" applyFont="1" applyBorder="1" applyAlignment="1">
      <alignment vertical="center"/>
    </xf>
    <xf numFmtId="43" fontId="15" fillId="0" borderId="1" xfId="1" applyFont="1" applyBorder="1" applyAlignment="1">
      <alignment vertical="center"/>
    </xf>
    <xf numFmtId="43" fontId="15" fillId="0" borderId="8" xfId="1" applyFont="1" applyBorder="1" applyAlignment="1">
      <alignment vertical="center"/>
    </xf>
    <xf numFmtId="14" fontId="5" fillId="0" borderId="7" xfId="0" applyNumberFormat="1" applyFont="1" applyBorder="1" applyAlignment="1">
      <alignment vertical="center"/>
    </xf>
    <xf numFmtId="0" fontId="15" fillId="0" borderId="8" xfId="0" applyFont="1" applyBorder="1" applyAlignment="1">
      <alignment horizontal="left" vertical="center"/>
    </xf>
    <xf numFmtId="0" fontId="5" fillId="7" borderId="0" xfId="0" applyFont="1" applyFill="1"/>
    <xf numFmtId="169" fontId="3" fillId="7" borderId="0" xfId="0" applyNumberFormat="1" applyFont="1" applyFill="1" applyAlignment="1">
      <alignment vertical="center"/>
    </xf>
    <xf numFmtId="41" fontId="3" fillId="7" borderId="0" xfId="0" applyNumberFormat="1" applyFont="1" applyFill="1" applyAlignment="1">
      <alignment horizontal="center" vertical="center"/>
    </xf>
    <xf numFmtId="0" fontId="5" fillId="0" borderId="58" xfId="0" applyFont="1" applyBorder="1" applyAlignment="1">
      <alignment horizontal="center" vertical="center" wrapText="1"/>
    </xf>
    <xf numFmtId="0" fontId="5" fillId="0" borderId="38" xfId="0" applyFont="1" applyBorder="1" applyAlignment="1">
      <alignment horizontal="center" vertical="center"/>
    </xf>
    <xf numFmtId="0" fontId="5" fillId="0" borderId="73" xfId="0" applyFont="1" applyBorder="1" applyAlignment="1">
      <alignment horizontal="center" vertical="center"/>
    </xf>
    <xf numFmtId="0" fontId="5" fillId="0" borderId="0" xfId="0" applyFont="1" applyBorder="1" applyAlignment="1">
      <alignment horizontal="center" vertical="center" wrapText="1"/>
    </xf>
    <xf numFmtId="164" fontId="5" fillId="0" borderId="39" xfId="0" applyNumberFormat="1" applyFont="1" applyBorder="1" applyAlignment="1">
      <alignment horizontal="center" vertical="center"/>
    </xf>
    <xf numFmtId="17" fontId="5" fillId="0" borderId="39" xfId="0" applyNumberFormat="1" applyFont="1" applyBorder="1" applyAlignment="1">
      <alignment horizontal="center" vertical="center"/>
    </xf>
    <xf numFmtId="3" fontId="5" fillId="2" borderId="39" xfId="0" applyNumberFormat="1" applyFont="1" applyFill="1" applyBorder="1" applyAlignment="1">
      <alignment horizontal="center" vertical="center" wrapText="1"/>
    </xf>
    <xf numFmtId="0" fontId="6" fillId="0" borderId="5" xfId="0" applyFont="1" applyBorder="1" applyAlignment="1">
      <alignment horizontal="center" vertical="center"/>
    </xf>
    <xf numFmtId="0" fontId="3" fillId="0" borderId="2" xfId="0" applyFont="1" applyBorder="1" applyAlignment="1">
      <alignment horizontal="center" vertical="center"/>
    </xf>
    <xf numFmtId="43" fontId="3" fillId="0" borderId="2" xfId="1" applyFont="1" applyBorder="1" applyAlignment="1">
      <alignment horizontal="center" vertical="center"/>
    </xf>
    <xf numFmtId="168" fontId="6" fillId="0" borderId="2" xfId="1" applyNumberFormat="1" applyFont="1" applyBorder="1" applyAlignment="1">
      <alignment horizontal="center" vertical="center"/>
    </xf>
    <xf numFmtId="14" fontId="6" fillId="0" borderId="2" xfId="0" applyNumberFormat="1" applyFont="1" applyBorder="1" applyAlignment="1">
      <alignment horizontal="center" vertical="center"/>
    </xf>
    <xf numFmtId="0" fontId="3" fillId="0" borderId="70" xfId="0" applyFont="1" applyBorder="1" applyAlignment="1">
      <alignment horizontal="center" vertical="center"/>
    </xf>
    <xf numFmtId="169" fontId="6" fillId="3" borderId="1" xfId="0" applyNumberFormat="1" applyFont="1" applyFill="1" applyBorder="1" applyAlignment="1">
      <alignment horizontal="center" vertical="center" wrapText="1"/>
    </xf>
    <xf numFmtId="168" fontId="6" fillId="3" borderId="13" xfId="1" applyNumberFormat="1" applyFont="1" applyFill="1" applyBorder="1" applyAlignment="1">
      <alignment horizontal="center" vertical="center" wrapText="1"/>
    </xf>
    <xf numFmtId="14" fontId="6" fillId="3" borderId="13" xfId="0" applyNumberFormat="1"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1" fontId="6" fillId="6" borderId="74" xfId="0" applyNumberFormat="1" applyFont="1" applyFill="1" applyBorder="1" applyAlignment="1">
      <alignment horizontal="center" vertical="center" wrapText="1"/>
    </xf>
    <xf numFmtId="0" fontId="3" fillId="6" borderId="7" xfId="0" applyFont="1" applyFill="1" applyBorder="1" applyAlignment="1">
      <alignment horizontal="center" vertical="center"/>
    </xf>
    <xf numFmtId="43" fontId="3" fillId="6" borderId="7" xfId="1" applyFont="1" applyFill="1" applyBorder="1" applyAlignment="1">
      <alignment horizontal="center" vertical="center"/>
    </xf>
    <xf numFmtId="169" fontId="6" fillId="6" borderId="7" xfId="0" applyNumberFormat="1" applyFont="1" applyFill="1" applyBorder="1" applyAlignment="1">
      <alignment horizontal="center" vertical="center"/>
    </xf>
    <xf numFmtId="1" fontId="6" fillId="6" borderId="7" xfId="0" applyNumberFormat="1" applyFont="1" applyFill="1" applyBorder="1" applyAlignment="1">
      <alignment horizontal="center" vertical="center"/>
    </xf>
    <xf numFmtId="168" fontId="3" fillId="6" borderId="7" xfId="1" applyNumberFormat="1" applyFont="1" applyFill="1" applyBorder="1" applyAlignment="1">
      <alignment horizontal="center" vertical="center"/>
    </xf>
    <xf numFmtId="168" fontId="6" fillId="6" borderId="7" xfId="1" applyNumberFormat="1" applyFont="1" applyFill="1" applyBorder="1" applyAlignment="1">
      <alignment horizontal="center" vertical="center"/>
    </xf>
    <xf numFmtId="14" fontId="6" fillId="6" borderId="7" xfId="0" applyNumberFormat="1" applyFont="1" applyFill="1" applyBorder="1" applyAlignment="1">
      <alignment horizontal="center" vertical="center"/>
    </xf>
    <xf numFmtId="0" fontId="3" fillId="6" borderId="66" xfId="0" applyFont="1" applyFill="1" applyBorder="1" applyAlignment="1">
      <alignment horizontal="center" vertical="center"/>
    </xf>
    <xf numFmtId="1" fontId="6" fillId="8" borderId="8" xfId="0" applyNumberFormat="1" applyFont="1" applyFill="1" applyBorder="1" applyAlignment="1">
      <alignment horizontal="center" vertical="center"/>
    </xf>
    <xf numFmtId="0" fontId="5" fillId="8" borderId="7" xfId="0" applyFont="1" applyFill="1" applyBorder="1" applyAlignment="1">
      <alignment vertical="center" wrapText="1"/>
    </xf>
    <xf numFmtId="0" fontId="5" fillId="8" borderId="7" xfId="0" applyFont="1" applyFill="1" applyBorder="1" applyAlignment="1">
      <alignment horizontal="center" vertical="center" wrapText="1"/>
    </xf>
    <xf numFmtId="0" fontId="5" fillId="8" borderId="7" xfId="0" applyFont="1" applyFill="1" applyBorder="1" applyAlignment="1">
      <alignment horizontal="justify" vertical="center" wrapText="1"/>
    </xf>
    <xf numFmtId="169" fontId="5" fillId="8" borderId="7" xfId="0" applyNumberFormat="1" applyFont="1" applyFill="1" applyBorder="1" applyAlignment="1">
      <alignment vertical="center" wrapText="1"/>
    </xf>
    <xf numFmtId="169" fontId="5" fillId="8" borderId="7" xfId="0" applyNumberFormat="1" applyFont="1" applyFill="1" applyBorder="1" applyAlignment="1">
      <alignment horizontal="center" vertical="center" wrapText="1"/>
    </xf>
    <xf numFmtId="9" fontId="5" fillId="8" borderId="7" xfId="0" applyNumberFormat="1" applyFont="1" applyFill="1" applyBorder="1" applyAlignment="1">
      <alignment horizontal="center" vertical="center" wrapText="1"/>
    </xf>
    <xf numFmtId="0" fontId="5" fillId="8" borderId="66" xfId="0" applyFont="1" applyFill="1" applyBorder="1" applyAlignment="1">
      <alignment horizontal="center" vertical="center" wrapText="1"/>
    </xf>
    <xf numFmtId="1" fontId="6" fillId="17" borderId="1" xfId="0" applyNumberFormat="1" applyFont="1" applyFill="1" applyBorder="1" applyAlignment="1">
      <alignment horizontal="center" vertical="center" wrapText="1"/>
    </xf>
    <xf numFmtId="0" fontId="6" fillId="17" borderId="1" xfId="0" applyFont="1" applyFill="1" applyBorder="1" applyAlignment="1">
      <alignment vertical="center"/>
    </xf>
    <xf numFmtId="0" fontId="5" fillId="17" borderId="7" xfId="0" applyFont="1" applyFill="1" applyBorder="1" applyAlignment="1">
      <alignment vertical="center" wrapText="1"/>
    </xf>
    <xf numFmtId="0" fontId="5" fillId="17" borderId="7" xfId="0" applyFont="1" applyFill="1" applyBorder="1" applyAlignment="1">
      <alignment horizontal="center" vertical="center" wrapText="1"/>
    </xf>
    <xf numFmtId="0" fontId="5" fillId="17" borderId="7" xfId="0" applyFont="1" applyFill="1" applyBorder="1" applyAlignment="1">
      <alignment horizontal="justify" vertical="center" wrapText="1"/>
    </xf>
    <xf numFmtId="169" fontId="5" fillId="17" borderId="7" xfId="0" applyNumberFormat="1" applyFont="1" applyFill="1" applyBorder="1" applyAlignment="1">
      <alignment vertical="center" wrapText="1"/>
    </xf>
    <xf numFmtId="169" fontId="5" fillId="17" borderId="7" xfId="0" applyNumberFormat="1" applyFont="1" applyFill="1" applyBorder="1" applyAlignment="1">
      <alignment horizontal="center" vertical="center" wrapText="1"/>
    </xf>
    <xf numFmtId="9" fontId="5" fillId="17" borderId="7" xfId="0" applyNumberFormat="1" applyFont="1" applyFill="1" applyBorder="1" applyAlignment="1">
      <alignment horizontal="center" vertical="center" wrapText="1"/>
    </xf>
    <xf numFmtId="0" fontId="5" fillId="17" borderId="66" xfId="0" applyFont="1" applyFill="1" applyBorder="1" applyAlignment="1">
      <alignment horizontal="center" vertical="center" wrapText="1"/>
    </xf>
    <xf numFmtId="169" fontId="3" fillId="0" borderId="1" xfId="1" applyNumberFormat="1" applyFont="1" applyBorder="1" applyAlignment="1">
      <alignment horizontal="center" vertical="center" wrapText="1"/>
    </xf>
    <xf numFmtId="169" fontId="3" fillId="0" borderId="1" xfId="0" applyNumberFormat="1" applyFont="1" applyBorder="1" applyAlignment="1">
      <alignment horizontal="center" vertical="center" wrapText="1"/>
    </xf>
    <xf numFmtId="1" fontId="3" fillId="7" borderId="1" xfId="0" applyNumberFormat="1" applyFont="1" applyFill="1" applyBorder="1" applyAlignment="1">
      <alignment horizontal="center" vertical="center" wrapText="1"/>
    </xf>
    <xf numFmtId="169" fontId="3" fillId="0" borderId="1" xfId="0" applyNumberFormat="1" applyFont="1" applyBorder="1" applyAlignment="1">
      <alignment horizontal="center" vertical="center"/>
    </xf>
    <xf numFmtId="1" fontId="6" fillId="9" borderId="1" xfId="0" applyNumberFormat="1" applyFont="1" applyFill="1" applyBorder="1" applyAlignment="1">
      <alignment horizontal="center" vertical="center" wrapText="1"/>
    </xf>
    <xf numFmtId="0" fontId="6" fillId="9" borderId="6" xfId="0" applyFont="1" applyFill="1" applyBorder="1" applyAlignment="1">
      <alignment vertical="center"/>
    </xf>
    <xf numFmtId="0" fontId="6" fillId="9" borderId="66" xfId="0" applyFont="1" applyFill="1" applyBorder="1" applyAlignment="1">
      <alignment vertical="center"/>
    </xf>
    <xf numFmtId="1" fontId="3" fillId="7" borderId="16" xfId="0" applyNumberFormat="1" applyFont="1" applyFill="1" applyBorder="1" applyAlignment="1">
      <alignment horizontal="center" vertical="center" wrapText="1"/>
    </xf>
    <xf numFmtId="10" fontId="6" fillId="9" borderId="7" xfId="0" applyNumberFormat="1" applyFont="1" applyFill="1" applyBorder="1" applyAlignment="1">
      <alignment vertical="center"/>
    </xf>
    <xf numFmtId="0" fontId="6" fillId="8" borderId="6" xfId="0" applyFont="1" applyFill="1" applyBorder="1" applyAlignment="1">
      <alignment vertical="center"/>
    </xf>
    <xf numFmtId="0" fontId="6" fillId="8" borderId="7" xfId="0" applyFont="1" applyFill="1" applyBorder="1" applyAlignment="1">
      <alignment horizontal="justify" vertical="center"/>
    </xf>
    <xf numFmtId="0" fontId="6" fillId="8" borderId="7" xfId="0" applyFont="1" applyFill="1" applyBorder="1" applyAlignment="1">
      <alignment horizontal="center" vertical="center"/>
    </xf>
    <xf numFmtId="0" fontId="6" fillId="8" borderId="66" xfId="0" applyFont="1" applyFill="1" applyBorder="1" applyAlignment="1">
      <alignment vertical="center"/>
    </xf>
    <xf numFmtId="1" fontId="6" fillId="7" borderId="13" xfId="0" applyNumberFormat="1" applyFont="1" applyFill="1" applyBorder="1" applyAlignment="1">
      <alignment horizontal="center" vertical="center" wrapText="1"/>
    </xf>
    <xf numFmtId="1" fontId="6" fillId="7" borderId="15" xfId="0" applyNumberFormat="1" applyFont="1" applyFill="1" applyBorder="1" applyAlignment="1">
      <alignment horizontal="center" vertical="center" wrapText="1"/>
    </xf>
    <xf numFmtId="1" fontId="6" fillId="7" borderId="16" xfId="0" applyNumberFormat="1" applyFont="1" applyFill="1" applyBorder="1" applyAlignment="1">
      <alignment horizontal="center" vertical="center" wrapText="1"/>
    </xf>
    <xf numFmtId="170" fontId="6" fillId="9" borderId="7" xfId="0" applyNumberFormat="1" applyFont="1" applyFill="1" applyBorder="1" applyAlignment="1">
      <alignment horizontal="center" vertical="center"/>
    </xf>
    <xf numFmtId="43" fontId="3" fillId="9" borderId="7" xfId="1" applyFont="1" applyFill="1" applyBorder="1" applyAlignment="1">
      <alignment vertical="center"/>
    </xf>
    <xf numFmtId="43" fontId="6" fillId="9" borderId="1" xfId="1" applyFont="1" applyFill="1" applyBorder="1" applyAlignment="1">
      <alignment horizontal="center" vertical="center"/>
    </xf>
    <xf numFmtId="43" fontId="6" fillId="9" borderId="8" xfId="1" applyFont="1" applyFill="1" applyBorder="1" applyAlignment="1">
      <alignment horizontal="center" vertical="center"/>
    </xf>
    <xf numFmtId="168" fontId="3" fillId="9" borderId="7" xfId="1" applyNumberFormat="1" applyFont="1" applyFill="1" applyBorder="1" applyAlignment="1">
      <alignment vertical="center"/>
    </xf>
    <xf numFmtId="0" fontId="3" fillId="9" borderId="7" xfId="0" applyFont="1" applyFill="1" applyBorder="1" applyAlignment="1">
      <alignment vertical="center"/>
    </xf>
    <xf numFmtId="168" fontId="3" fillId="9" borderId="7" xfId="1" applyNumberFormat="1" applyFont="1" applyFill="1" applyBorder="1" applyAlignment="1">
      <alignment vertical="center" wrapText="1"/>
    </xf>
    <xf numFmtId="9" fontId="3" fillId="9" borderId="7" xfId="3" applyFont="1" applyFill="1" applyBorder="1" applyAlignment="1">
      <alignment vertical="center"/>
    </xf>
    <xf numFmtId="14" fontId="3" fillId="9" borderId="7" xfId="0" applyNumberFormat="1" applyFont="1" applyFill="1" applyBorder="1" applyAlignment="1">
      <alignment vertical="center"/>
    </xf>
    <xf numFmtId="0" fontId="3" fillId="9" borderId="66" xfId="0" applyFont="1" applyFill="1" applyBorder="1" applyAlignment="1">
      <alignment horizontal="justify" vertical="center" wrapText="1"/>
    </xf>
    <xf numFmtId="1" fontId="3" fillId="7" borderId="13" xfId="0" applyNumberFormat="1" applyFont="1" applyFill="1" applyBorder="1" applyAlignment="1">
      <alignment horizontal="center" vertical="center" wrapText="1"/>
    </xf>
    <xf numFmtId="1" fontId="3" fillId="7" borderId="15" xfId="0" applyNumberFormat="1" applyFont="1" applyFill="1" applyBorder="1" applyAlignment="1">
      <alignment horizontal="center" vertical="center" wrapText="1"/>
    </xf>
    <xf numFmtId="43" fontId="3" fillId="0" borderId="1" xfId="1" applyFont="1" applyFill="1" applyBorder="1" applyAlignment="1">
      <alignment vertical="center" wrapText="1"/>
    </xf>
    <xf numFmtId="0" fontId="3" fillId="7" borderId="6" xfId="0" applyFont="1" applyFill="1" applyBorder="1" applyAlignment="1">
      <alignment horizontal="center" vertical="center" wrapText="1"/>
    </xf>
    <xf numFmtId="0" fontId="3" fillId="0" borderId="1" xfId="0" applyFont="1" applyBorder="1" applyAlignment="1">
      <alignment horizontal="center" vertical="center"/>
    </xf>
    <xf numFmtId="43" fontId="3" fillId="0" borderId="40" xfId="1" applyFont="1" applyFill="1" applyBorder="1" applyAlignment="1">
      <alignment vertical="center" wrapText="1"/>
    </xf>
    <xf numFmtId="0" fontId="3" fillId="0" borderId="40" xfId="0" applyFont="1" applyBorder="1" applyAlignment="1">
      <alignment horizontal="center" vertical="center"/>
    </xf>
    <xf numFmtId="0" fontId="3" fillId="0" borderId="80" xfId="0" applyFont="1" applyBorder="1" applyAlignment="1">
      <alignment horizontal="center" vertical="center"/>
    </xf>
    <xf numFmtId="1" fontId="3" fillId="0" borderId="6" xfId="0" applyNumberFormat="1" applyFont="1" applyBorder="1" applyAlignment="1">
      <alignment horizontal="center"/>
    </xf>
    <xf numFmtId="0" fontId="3" fillId="0" borderId="7" xfId="0" applyFont="1" applyBorder="1" applyAlignment="1">
      <alignment horizontal="center"/>
    </xf>
    <xf numFmtId="0" fontId="3" fillId="7" borderId="7" xfId="0" applyFont="1" applyFill="1" applyBorder="1" applyAlignment="1">
      <alignment horizontal="center" vertical="center"/>
    </xf>
    <xf numFmtId="0" fontId="3" fillId="7" borderId="7" xfId="0" applyFont="1" applyFill="1" applyBorder="1" applyAlignment="1">
      <alignment horizontal="center"/>
    </xf>
    <xf numFmtId="0" fontId="6" fillId="7" borderId="7" xfId="0" applyFont="1" applyFill="1" applyBorder="1" applyAlignment="1">
      <alignment horizontal="center" vertical="center"/>
    </xf>
    <xf numFmtId="170" fontId="3" fillId="7" borderId="66" xfId="0" applyNumberFormat="1" applyFont="1" applyFill="1" applyBorder="1" applyAlignment="1">
      <alignment horizontal="center" vertical="center"/>
    </xf>
    <xf numFmtId="43" fontId="6" fillId="0" borderId="81" xfId="1" applyFont="1" applyBorder="1" applyAlignment="1">
      <alignment horizontal="center" vertical="center"/>
    </xf>
    <xf numFmtId="0" fontId="3" fillId="7" borderId="65" xfId="0" applyFont="1" applyFill="1" applyBorder="1" applyAlignment="1">
      <alignment horizontal="center" vertical="center"/>
    </xf>
    <xf numFmtId="0" fontId="3" fillId="7" borderId="66" xfId="0" applyFont="1" applyFill="1" applyBorder="1" applyAlignment="1">
      <alignment horizontal="center" vertical="center"/>
    </xf>
    <xf numFmtId="43" fontId="6" fillId="0" borderId="65" xfId="1" applyFont="1" applyBorder="1" applyAlignment="1">
      <alignment horizontal="center" vertical="center"/>
    </xf>
    <xf numFmtId="1" fontId="3" fillId="7" borderId="65" xfId="0" applyNumberFormat="1" applyFont="1" applyFill="1" applyBorder="1" applyAlignment="1">
      <alignment horizontal="center" vertical="center"/>
    </xf>
    <xf numFmtId="168" fontId="3" fillId="0" borderId="7" xfId="1" applyNumberFormat="1" applyFont="1" applyBorder="1" applyAlignment="1">
      <alignment horizontal="center"/>
    </xf>
    <xf numFmtId="168" fontId="6" fillId="0" borderId="1" xfId="1" applyNumberFormat="1" applyFont="1" applyBorder="1" applyAlignment="1">
      <alignment horizontal="center"/>
    </xf>
    <xf numFmtId="14" fontId="3" fillId="0" borderId="7" xfId="0" applyNumberFormat="1" applyFont="1" applyBorder="1" applyAlignment="1">
      <alignment horizontal="center" vertical="center"/>
    </xf>
    <xf numFmtId="0" fontId="3" fillId="0" borderId="8" xfId="0" applyFont="1" applyBorder="1" applyAlignment="1">
      <alignment horizontal="center" vertical="center"/>
    </xf>
    <xf numFmtId="169" fontId="13" fillId="0" borderId="0" xfId="0" applyNumberFormat="1" applyFont="1"/>
    <xf numFmtId="169" fontId="13" fillId="0" borderId="0" xfId="0" applyNumberFormat="1" applyFont="1" applyAlignment="1">
      <alignment horizontal="center" vertical="center"/>
    </xf>
    <xf numFmtId="9" fontId="13" fillId="0" borderId="0" xfId="0" applyNumberFormat="1" applyFont="1" applyAlignment="1">
      <alignment horizontal="center" vertical="center"/>
    </xf>
    <xf numFmtId="0" fontId="13" fillId="0" borderId="0" xfId="0" applyFont="1" applyAlignment="1">
      <alignment horizontal="center" vertical="center" wrapText="1"/>
    </xf>
    <xf numFmtId="1" fontId="3" fillId="0" borderId="0" xfId="0" applyNumberFormat="1" applyFont="1" applyAlignment="1">
      <alignment horizontal="center"/>
    </xf>
    <xf numFmtId="0" fontId="3" fillId="0" borderId="2" xfId="0" applyFont="1" applyBorder="1" applyAlignment="1">
      <alignment horizontal="center"/>
    </xf>
    <xf numFmtId="43" fontId="3" fillId="7" borderId="0" xfId="1" applyFont="1" applyFill="1" applyAlignment="1">
      <alignment horizontal="center" vertical="center"/>
    </xf>
    <xf numFmtId="168" fontId="3" fillId="0" borderId="0" xfId="1" applyNumberFormat="1" applyFont="1" applyAlignment="1">
      <alignment horizontal="center"/>
    </xf>
    <xf numFmtId="14" fontId="3" fillId="0" borderId="0" xfId="0" applyNumberFormat="1" applyFont="1" applyAlignment="1">
      <alignment horizontal="center" vertical="center"/>
    </xf>
    <xf numFmtId="171" fontId="13" fillId="25" borderId="0" xfId="3" applyNumberFormat="1" applyFont="1" applyFill="1" applyAlignment="1">
      <alignment horizontal="center" vertical="center"/>
    </xf>
    <xf numFmtId="0" fontId="13" fillId="0" borderId="1" xfId="0" applyFont="1" applyBorder="1" applyAlignment="1">
      <alignment horizontal="justify" vertical="center"/>
    </xf>
    <xf numFmtId="167" fontId="13" fillId="0" borderId="1" xfId="0" applyNumberFormat="1" applyFont="1" applyBorder="1" applyAlignment="1">
      <alignment horizontal="center"/>
    </xf>
    <xf numFmtId="167" fontId="13" fillId="0" borderId="1" xfId="0" applyNumberFormat="1" applyFont="1" applyBorder="1" applyAlignment="1">
      <alignment horizontal="right" vertical="center"/>
    </xf>
    <xf numFmtId="0" fontId="13" fillId="0" borderId="1" xfId="0" applyFont="1" applyBorder="1"/>
    <xf numFmtId="169" fontId="5" fillId="7" borderId="1" xfId="0" applyNumberFormat="1" applyFont="1" applyFill="1" applyBorder="1" applyAlignment="1">
      <alignment horizontal="center" vertical="center"/>
    </xf>
    <xf numFmtId="169" fontId="5" fillId="7" borderId="1" xfId="0" applyNumberFormat="1" applyFont="1" applyFill="1" applyBorder="1" applyAlignment="1">
      <alignment vertical="center"/>
    </xf>
    <xf numFmtId="0" fontId="3" fillId="0" borderId="16" xfId="0" applyFont="1" applyBorder="1" applyAlignment="1">
      <alignment vertical="center" wrapText="1"/>
    </xf>
    <xf numFmtId="188" fontId="3" fillId="7" borderId="16" xfId="2" applyNumberFormat="1" applyFont="1" applyFill="1" applyBorder="1" applyAlignment="1">
      <alignment vertical="center"/>
    </xf>
    <xf numFmtId="174" fontId="13" fillId="0" borderId="1" xfId="20" applyFont="1" applyBorder="1" applyAlignment="1">
      <alignment horizontal="center" vertical="center" wrapText="1"/>
    </xf>
    <xf numFmtId="1" fontId="13" fillId="7" borderId="5" xfId="0" applyNumberFormat="1" applyFont="1" applyFill="1" applyBorder="1" applyAlignment="1">
      <alignment horizontal="center" vertical="center" wrapText="1"/>
    </xf>
    <xf numFmtId="188" fontId="3" fillId="7" borderId="1" xfId="2" applyNumberFormat="1" applyFont="1" applyFill="1" applyBorder="1" applyAlignment="1">
      <alignment horizontal="center" vertical="center"/>
    </xf>
    <xf numFmtId="1" fontId="13" fillId="7" borderId="17" xfId="0" applyNumberFormat="1" applyFont="1" applyFill="1" applyBorder="1" applyAlignment="1">
      <alignment horizontal="center" vertical="center" wrapText="1"/>
    </xf>
    <xf numFmtId="188" fontId="3" fillId="7" borderId="1" xfId="2" applyNumberFormat="1" applyFont="1" applyFill="1" applyBorder="1" applyAlignment="1">
      <alignment vertical="center"/>
    </xf>
    <xf numFmtId="174" fontId="13" fillId="0" borderId="1" xfId="20" applyFont="1" applyBorder="1" applyAlignment="1">
      <alignment horizontal="center" vertical="center"/>
    </xf>
    <xf numFmtId="43" fontId="3" fillId="7" borderId="16" xfId="1" applyFont="1" applyFill="1" applyBorder="1" applyAlignment="1" applyProtection="1">
      <alignment vertical="center"/>
      <protection locked="0"/>
    </xf>
    <xf numFmtId="170" fontId="5" fillId="9" borderId="7" xfId="0" applyNumberFormat="1" applyFont="1" applyFill="1" applyBorder="1" applyAlignment="1">
      <alignment horizontal="center" vertical="center"/>
    </xf>
    <xf numFmtId="1" fontId="5" fillId="7" borderId="17" xfId="0" applyNumberFormat="1" applyFont="1" applyFill="1" applyBorder="1" applyAlignment="1">
      <alignment horizontal="center" vertical="center" wrapText="1"/>
    </xf>
    <xf numFmtId="0" fontId="5" fillId="8" borderId="8" xfId="0" applyFont="1" applyFill="1" applyBorder="1" applyAlignment="1">
      <alignment horizontal="justify" vertical="center"/>
    </xf>
    <xf numFmtId="167" fontId="5" fillId="8" borderId="7" xfId="0" applyNumberFormat="1" applyFont="1" applyFill="1" applyBorder="1" applyAlignment="1">
      <alignment vertical="center"/>
    </xf>
    <xf numFmtId="0" fontId="5" fillId="8" borderId="7" xfId="0" applyFont="1" applyFill="1" applyBorder="1" applyAlignment="1">
      <alignment horizontal="center" vertical="center"/>
    </xf>
    <xf numFmtId="169" fontId="5" fillId="8" borderId="7" xfId="0" applyNumberFormat="1" applyFont="1" applyFill="1" applyBorder="1" applyAlignment="1">
      <alignment horizontal="center" vertical="center"/>
    </xf>
    <xf numFmtId="0" fontId="5" fillId="8" borderId="7" xfId="0" applyFont="1" applyFill="1" applyBorder="1" applyAlignment="1">
      <alignment horizontal="justify" vertical="center"/>
    </xf>
    <xf numFmtId="169" fontId="5" fillId="8" borderId="7" xfId="0" applyNumberFormat="1" applyFont="1" applyFill="1" applyBorder="1" applyAlignment="1">
      <alignment vertical="center"/>
    </xf>
    <xf numFmtId="170" fontId="5" fillId="8" borderId="7" xfId="0" applyNumberFormat="1" applyFont="1" applyFill="1" applyBorder="1" applyAlignment="1">
      <alignment horizontal="center" vertical="center"/>
    </xf>
    <xf numFmtId="0" fontId="5" fillId="8" borderId="1" xfId="0" applyFont="1" applyFill="1" applyBorder="1" applyAlignment="1">
      <alignment horizontal="center" vertical="center"/>
    </xf>
    <xf numFmtId="1" fontId="5" fillId="7" borderId="3" xfId="0" applyNumberFormat="1" applyFont="1" applyFill="1" applyBorder="1" applyAlignment="1">
      <alignment horizontal="center" vertical="center" wrapText="1"/>
    </xf>
    <xf numFmtId="0" fontId="6" fillId="26" borderId="7" xfId="0" applyFont="1" applyFill="1" applyBorder="1" applyAlignment="1">
      <alignment vertical="center"/>
    </xf>
    <xf numFmtId="0" fontId="6" fillId="26" borderId="7" xfId="0" applyFont="1" applyFill="1" applyBorder="1" applyAlignment="1">
      <alignment horizontal="center" vertical="center"/>
    </xf>
    <xf numFmtId="1" fontId="6" fillId="26" borderId="7" xfId="0" applyNumberFormat="1" applyFont="1" applyFill="1" applyBorder="1" applyAlignment="1">
      <alignment horizontal="center" vertical="center"/>
    </xf>
    <xf numFmtId="169" fontId="6" fillId="26" borderId="7" xfId="0" applyNumberFormat="1" applyFont="1" applyFill="1" applyBorder="1" applyAlignment="1">
      <alignment horizontal="center" vertical="center"/>
    </xf>
    <xf numFmtId="0" fontId="6" fillId="26" borderId="7" xfId="0" applyFont="1" applyFill="1" applyBorder="1" applyAlignment="1">
      <alignment horizontal="justify" vertical="center"/>
    </xf>
    <xf numFmtId="169" fontId="6" fillId="26" borderId="7" xfId="0" applyNumberFormat="1" applyFont="1" applyFill="1" applyBorder="1" applyAlignment="1">
      <alignment vertical="center"/>
    </xf>
    <xf numFmtId="170" fontId="6" fillId="26" borderId="7" xfId="0" applyNumberFormat="1" applyFont="1" applyFill="1" applyBorder="1" applyAlignment="1">
      <alignment horizontal="center" vertical="center"/>
    </xf>
    <xf numFmtId="0" fontId="6" fillId="26" borderId="6" xfId="0" applyFont="1" applyFill="1" applyBorder="1" applyAlignment="1">
      <alignment vertical="center"/>
    </xf>
    <xf numFmtId="1" fontId="6" fillId="26" borderId="74" xfId="0" applyNumberFormat="1" applyFont="1" applyFill="1" applyBorder="1" applyAlignment="1">
      <alignment horizontal="left" vertical="center" wrapText="1"/>
    </xf>
    <xf numFmtId="49" fontId="5" fillId="3" borderId="1" xfId="0" applyNumberFormat="1" applyFont="1" applyFill="1" applyBorder="1" applyAlignment="1">
      <alignment horizontal="center" vertical="center" wrapText="1"/>
    </xf>
    <xf numFmtId="0" fontId="5" fillId="0" borderId="18" xfId="0" applyFont="1" applyBorder="1" applyAlignment="1">
      <alignment vertical="center"/>
    </xf>
    <xf numFmtId="0" fontId="5" fillId="0" borderId="0" xfId="0" applyFont="1" applyAlignment="1">
      <alignment vertical="center"/>
    </xf>
    <xf numFmtId="0" fontId="5" fillId="0" borderId="17" xfId="0" applyFont="1" applyBorder="1" applyAlignment="1">
      <alignment vertical="center"/>
    </xf>
    <xf numFmtId="0" fontId="5" fillId="0" borderId="6" xfId="0" applyFont="1" applyBorder="1" applyAlignment="1"/>
    <xf numFmtId="3" fontId="5" fillId="0" borderId="1" xfId="0" applyNumberFormat="1" applyFont="1" applyBorder="1" applyAlignment="1">
      <alignment horizontal="justify" vertical="center" wrapText="1"/>
    </xf>
    <xf numFmtId="0" fontId="13" fillId="0" borderId="0" xfId="0" applyFont="1" applyAlignment="1">
      <alignment horizontal="justify" vertical="center" wrapText="1"/>
    </xf>
    <xf numFmtId="189" fontId="5" fillId="0" borderId="4" xfId="24" applyNumberFormat="1" applyFont="1" applyBorder="1" applyAlignment="1">
      <alignment horizontal="center" vertical="center"/>
    </xf>
    <xf numFmtId="189" fontId="5" fillId="0" borderId="2" xfId="24" applyNumberFormat="1" applyFont="1" applyBorder="1" applyAlignment="1">
      <alignment horizontal="center" vertical="center"/>
    </xf>
    <xf numFmtId="0" fontId="5" fillId="0" borderId="7" xfId="0" applyFont="1" applyBorder="1" applyAlignment="1">
      <alignment horizontal="center" vertical="center"/>
    </xf>
    <xf numFmtId="189" fontId="5" fillId="5" borderId="1" xfId="24" applyNumberFormat="1" applyFont="1" applyFill="1" applyBorder="1" applyAlignment="1">
      <alignment horizontal="center" vertical="center" wrapText="1"/>
    </xf>
    <xf numFmtId="0" fontId="5" fillId="19" borderId="82" xfId="0" applyFont="1" applyFill="1" applyBorder="1" applyAlignment="1">
      <alignment horizontal="center" vertical="center" wrapText="1"/>
    </xf>
    <xf numFmtId="0" fontId="5" fillId="19" borderId="5" xfId="0" applyFont="1" applyFill="1" applyBorder="1" applyAlignment="1">
      <alignment horizontal="left" vertical="center"/>
    </xf>
    <xf numFmtId="0" fontId="5" fillId="19" borderId="2" xfId="0" applyFont="1" applyFill="1" applyBorder="1" applyAlignment="1">
      <alignment horizontal="left" vertical="center" wrapText="1"/>
    </xf>
    <xf numFmtId="0" fontId="5" fillId="19" borderId="2" xfId="0" applyFont="1" applyFill="1" applyBorder="1" applyAlignment="1">
      <alignment horizontal="justify" vertical="center" wrapText="1"/>
    </xf>
    <xf numFmtId="189" fontId="5" fillId="19" borderId="2" xfId="24" applyNumberFormat="1" applyFont="1" applyFill="1" applyBorder="1" applyAlignment="1">
      <alignment horizontal="center" vertical="center" wrapText="1"/>
    </xf>
    <xf numFmtId="0" fontId="5" fillId="19" borderId="2" xfId="0" applyFont="1" applyFill="1" applyBorder="1" applyAlignment="1">
      <alignment horizontal="center" vertical="center" wrapText="1"/>
    </xf>
    <xf numFmtId="0" fontId="5" fillId="19" borderId="70" xfId="0" applyFont="1" applyFill="1" applyBorder="1" applyAlignment="1">
      <alignment horizontal="justify" vertical="center" wrapText="1"/>
    </xf>
    <xf numFmtId="0" fontId="5" fillId="7" borderId="59" xfId="0" applyFont="1" applyFill="1" applyBorder="1" applyAlignment="1">
      <alignment vertical="center" wrapText="1"/>
    </xf>
    <xf numFmtId="0" fontId="5" fillId="7" borderId="18" xfId="0" applyFont="1" applyFill="1" applyBorder="1" applyAlignment="1">
      <alignment vertical="center" wrapText="1"/>
    </xf>
    <xf numFmtId="0" fontId="5" fillId="28" borderId="1" xfId="0" applyFont="1" applyFill="1" applyBorder="1" applyAlignment="1">
      <alignment horizontal="center" vertical="center" wrapText="1"/>
    </xf>
    <xf numFmtId="0" fontId="5" fillId="28" borderId="6" xfId="0" applyFont="1" applyFill="1" applyBorder="1" applyAlignment="1">
      <alignment vertical="center"/>
    </xf>
    <xf numFmtId="0" fontId="5" fillId="28" borderId="0" xfId="0" applyFont="1" applyFill="1" applyAlignment="1">
      <alignment vertical="center"/>
    </xf>
    <xf numFmtId="0" fontId="5" fillId="28" borderId="0" xfId="0" applyFont="1" applyFill="1" applyAlignment="1">
      <alignment horizontal="justify" vertical="center"/>
    </xf>
    <xf numFmtId="189" fontId="5" fillId="28" borderId="0" xfId="24" applyNumberFormat="1" applyFont="1" applyFill="1" applyAlignment="1">
      <alignment horizontal="center" vertical="center"/>
    </xf>
    <xf numFmtId="0" fontId="5" fillId="28" borderId="0" xfId="0" applyFont="1" applyFill="1" applyAlignment="1">
      <alignment horizontal="center" vertical="center"/>
    </xf>
    <xf numFmtId="0" fontId="5" fillId="28" borderId="63" xfId="0" applyFont="1" applyFill="1" applyBorder="1" applyAlignment="1">
      <alignment horizontal="justify" vertical="center"/>
    </xf>
    <xf numFmtId="0" fontId="5" fillId="7" borderId="17" xfId="0" applyFont="1" applyFill="1" applyBorder="1" applyAlignment="1">
      <alignment vertical="center" wrapText="1"/>
    </xf>
    <xf numFmtId="0" fontId="5" fillId="29" borderId="1" xfId="0" applyFont="1" applyFill="1" applyBorder="1" applyAlignment="1">
      <alignment horizontal="center" vertical="center" wrapText="1"/>
    </xf>
    <xf numFmtId="0" fontId="5" fillId="29" borderId="6" xfId="0" applyFont="1" applyFill="1" applyBorder="1" applyAlignment="1">
      <alignment horizontal="left" vertical="center"/>
    </xf>
    <xf numFmtId="0" fontId="5" fillId="29" borderId="7" xfId="0" applyFont="1" applyFill="1" applyBorder="1" applyAlignment="1">
      <alignment horizontal="left" vertical="center"/>
    </xf>
    <xf numFmtId="0" fontId="5" fillId="29" borderId="7" xfId="0" applyFont="1" applyFill="1" applyBorder="1" applyAlignment="1">
      <alignment horizontal="justify" vertical="center"/>
    </xf>
    <xf numFmtId="189" fontId="5" fillId="29" borderId="7" xfId="24" applyNumberFormat="1" applyFont="1" applyFill="1" applyBorder="1" applyAlignment="1">
      <alignment horizontal="center" vertical="center"/>
    </xf>
    <xf numFmtId="0" fontId="5" fillId="29" borderId="7" xfId="0" applyFont="1" applyFill="1" applyBorder="1" applyAlignment="1">
      <alignment horizontal="center" vertical="center"/>
    </xf>
    <xf numFmtId="0" fontId="13" fillId="29" borderId="8" xfId="0" applyFont="1" applyFill="1" applyBorder="1" applyAlignment="1">
      <alignment horizontal="justify" vertical="center"/>
    </xf>
    <xf numFmtId="43" fontId="13" fillId="0" borderId="13" xfId="1" applyFont="1" applyFill="1" applyBorder="1" applyAlignment="1">
      <alignment horizontal="center" vertical="center" wrapText="1"/>
    </xf>
    <xf numFmtId="0" fontId="5" fillId="7" borderId="5" xfId="0" applyFont="1" applyFill="1" applyBorder="1" applyAlignment="1">
      <alignment vertical="center" wrapText="1"/>
    </xf>
    <xf numFmtId="0" fontId="5" fillId="7" borderId="14" xfId="0" applyFont="1" applyFill="1" applyBorder="1" applyAlignment="1">
      <alignment vertical="center" wrapText="1"/>
    </xf>
    <xf numFmtId="0" fontId="5" fillId="8" borderId="1" xfId="0" applyFont="1" applyFill="1" applyBorder="1" applyAlignment="1">
      <alignment horizontal="center" vertical="center" wrapText="1"/>
    </xf>
    <xf numFmtId="0" fontId="5" fillId="8" borderId="6" xfId="0" applyFont="1" applyFill="1" applyBorder="1" applyAlignment="1">
      <alignment horizontal="left" vertical="center"/>
    </xf>
    <xf numFmtId="0" fontId="5" fillId="8" borderId="7" xfId="0" applyFont="1" applyFill="1" applyBorder="1" applyAlignment="1">
      <alignment horizontal="left" vertical="center"/>
    </xf>
    <xf numFmtId="189" fontId="5" fillId="8" borderId="7" xfId="24" applyNumberFormat="1" applyFont="1" applyFill="1" applyBorder="1" applyAlignment="1">
      <alignment horizontal="center" vertical="center"/>
    </xf>
    <xf numFmtId="43" fontId="5" fillId="8" borderId="7" xfId="1" applyFont="1" applyFill="1" applyBorder="1" applyAlignment="1">
      <alignment horizontal="left" vertical="center"/>
    </xf>
    <xf numFmtId="43" fontId="5" fillId="8" borderId="1" xfId="1" applyFont="1" applyFill="1" applyBorder="1" applyAlignment="1">
      <alignment horizontal="left" vertical="center"/>
    </xf>
    <xf numFmtId="0" fontId="13" fillId="8" borderId="8" xfId="0" applyFont="1" applyFill="1" applyBorder="1" applyAlignment="1">
      <alignment horizontal="justify" vertical="center"/>
    </xf>
    <xf numFmtId="0" fontId="5" fillId="9" borderId="6" xfId="0" applyFont="1" applyFill="1" applyBorder="1" applyAlignment="1">
      <alignment horizontal="left" vertical="center"/>
    </xf>
    <xf numFmtId="0" fontId="5" fillId="9" borderId="7" xfId="0" applyFont="1" applyFill="1" applyBorder="1" applyAlignment="1">
      <alignment horizontal="left" vertical="center"/>
    </xf>
    <xf numFmtId="189" fontId="5" fillId="9" borderId="7" xfId="24" applyNumberFormat="1" applyFont="1" applyFill="1" applyBorder="1" applyAlignment="1">
      <alignment horizontal="center" vertical="center"/>
    </xf>
    <xf numFmtId="43" fontId="5" fillId="9" borderId="7" xfId="1" applyFont="1" applyFill="1" applyBorder="1" applyAlignment="1">
      <alignment horizontal="left" vertical="center"/>
    </xf>
    <xf numFmtId="43" fontId="5" fillId="9" borderId="1" xfId="1" applyFont="1" applyFill="1" applyBorder="1" applyAlignment="1">
      <alignment horizontal="left" vertical="center"/>
    </xf>
    <xf numFmtId="0" fontId="13" fillId="9" borderId="8" xfId="0" applyFont="1" applyFill="1" applyBorder="1" applyAlignment="1">
      <alignment horizontal="center" vertical="center"/>
    </xf>
    <xf numFmtId="43" fontId="13" fillId="0" borderId="2" xfId="1" applyFont="1" applyFill="1" applyBorder="1" applyAlignment="1">
      <alignment horizontal="center" vertical="center" wrapText="1"/>
    </xf>
    <xf numFmtId="0" fontId="13" fillId="0" borderId="23" xfId="0" applyFont="1" applyBorder="1" applyAlignment="1">
      <alignment horizontal="center" vertical="center" wrapText="1"/>
    </xf>
    <xf numFmtId="0" fontId="13" fillId="0" borderId="23" xfId="0" applyFont="1" applyBorder="1" applyAlignment="1">
      <alignment vertical="center" wrapText="1"/>
    </xf>
    <xf numFmtId="43" fontId="13" fillId="0" borderId="5" xfId="1" applyFont="1" applyFill="1" applyBorder="1" applyAlignment="1">
      <alignment horizontal="center" vertical="center" wrapText="1"/>
    </xf>
    <xf numFmtId="43" fontId="13" fillId="0" borderId="3" xfId="1" applyFont="1" applyFill="1" applyBorder="1" applyAlignment="1">
      <alignment horizontal="center" vertical="center" wrapText="1"/>
    </xf>
    <xf numFmtId="0" fontId="5" fillId="9" borderId="4" xfId="0" applyFont="1" applyFill="1" applyBorder="1" applyAlignment="1">
      <alignment horizontal="left" vertical="center"/>
    </xf>
    <xf numFmtId="0" fontId="5" fillId="9" borderId="23" xfId="0" applyFont="1" applyFill="1" applyBorder="1" applyAlignment="1">
      <alignment horizontal="center" vertical="center"/>
    </xf>
    <xf numFmtId="43" fontId="13" fillId="7" borderId="3" xfId="1" applyFont="1" applyFill="1" applyBorder="1" applyAlignment="1">
      <alignment horizontal="center" vertical="center" wrapText="1"/>
    </xf>
    <xf numFmtId="43" fontId="13" fillId="7" borderId="6" xfId="1" applyFont="1" applyFill="1" applyBorder="1" applyAlignment="1">
      <alignment horizontal="center" vertical="center" wrapText="1"/>
    </xf>
    <xf numFmtId="43" fontId="13" fillId="7" borderId="5" xfId="1" applyFont="1" applyFill="1" applyBorder="1" applyAlignment="1">
      <alignment horizontal="center" vertical="center" wrapText="1"/>
    </xf>
    <xf numFmtId="0" fontId="5" fillId="9" borderId="15" xfId="0" applyFont="1" applyFill="1" applyBorder="1" applyAlignment="1">
      <alignment horizontal="center" vertical="center" wrapText="1"/>
    </xf>
    <xf numFmtId="43" fontId="5" fillId="9" borderId="6" xfId="1" applyFont="1" applyFill="1" applyBorder="1" applyAlignment="1">
      <alignment horizontal="left" vertical="center"/>
    </xf>
    <xf numFmtId="0" fontId="5" fillId="9" borderId="2" xfId="0" applyFont="1" applyFill="1" applyBorder="1" applyAlignment="1">
      <alignment horizontal="center" vertical="center"/>
    </xf>
    <xf numFmtId="0" fontId="5" fillId="8" borderId="6" xfId="0" applyFont="1" applyFill="1" applyBorder="1" applyAlignment="1">
      <alignment vertical="center"/>
    </xf>
    <xf numFmtId="43" fontId="5" fillId="8" borderId="7" xfId="1" applyFont="1" applyFill="1" applyBorder="1" applyAlignment="1">
      <alignment vertical="center"/>
    </xf>
    <xf numFmtId="0" fontId="13" fillId="8" borderId="8" xfId="0" applyFont="1" applyFill="1" applyBorder="1" applyAlignment="1">
      <alignment horizontal="center" vertical="center"/>
    </xf>
    <xf numFmtId="0" fontId="5" fillId="0" borderId="0" xfId="0" applyFont="1" applyAlignment="1">
      <alignment horizontal="justify" vertical="center"/>
    </xf>
    <xf numFmtId="0" fontId="13" fillId="7" borderId="1" xfId="14" applyFont="1" applyFill="1" applyBorder="1" applyAlignment="1">
      <alignment horizontal="justify" vertical="center" wrapText="1"/>
    </xf>
    <xf numFmtId="43" fontId="13" fillId="0" borderId="6" xfId="1" applyFont="1" applyFill="1" applyBorder="1" applyAlignment="1">
      <alignment vertical="center"/>
    </xf>
    <xf numFmtId="0" fontId="13" fillId="0" borderId="1" xfId="14" applyFont="1" applyFill="1" applyBorder="1" applyAlignment="1">
      <alignment horizontal="justify" vertical="center" wrapText="1"/>
    </xf>
    <xf numFmtId="43" fontId="13" fillId="7" borderId="6" xfId="1" applyFont="1" applyFill="1" applyBorder="1" applyAlignment="1">
      <alignment horizontal="center" vertical="center" wrapText="1" readingOrder="1"/>
    </xf>
    <xf numFmtId="43" fontId="13" fillId="7" borderId="1" xfId="1" applyFont="1" applyFill="1" applyBorder="1" applyAlignment="1">
      <alignment horizontal="center" vertical="center" wrapText="1" readingOrder="1"/>
    </xf>
    <xf numFmtId="190" fontId="13" fillId="7" borderId="13" xfId="0" applyNumberFormat="1" applyFont="1" applyFill="1" applyBorder="1" applyAlignment="1">
      <alignment vertical="center" wrapText="1"/>
    </xf>
    <xf numFmtId="190" fontId="13" fillId="7" borderId="15" xfId="0" applyNumberFormat="1" applyFont="1" applyFill="1" applyBorder="1" applyAlignment="1">
      <alignment vertical="center" wrapText="1"/>
    </xf>
    <xf numFmtId="190" fontId="13" fillId="7" borderId="16" xfId="0" applyNumberFormat="1" applyFont="1" applyFill="1" applyBorder="1" applyAlignment="1">
      <alignment vertical="center" wrapText="1"/>
    </xf>
    <xf numFmtId="0" fontId="5" fillId="8" borderId="15" xfId="0" applyFont="1" applyFill="1" applyBorder="1" applyAlignment="1">
      <alignment horizontal="center" vertical="center" wrapText="1"/>
    </xf>
    <xf numFmtId="43" fontId="5" fillId="8" borderId="1" xfId="1" applyFont="1" applyFill="1" applyBorder="1" applyAlignment="1">
      <alignment vertical="center"/>
    </xf>
    <xf numFmtId="189" fontId="5" fillId="9" borderId="4" xfId="24" applyNumberFormat="1" applyFont="1" applyFill="1" applyBorder="1" applyAlignment="1">
      <alignment horizontal="center" vertical="center"/>
    </xf>
    <xf numFmtId="0" fontId="13" fillId="7" borderId="68" xfId="0" applyFont="1" applyFill="1" applyBorder="1" applyAlignment="1">
      <alignment horizontal="center" vertical="center" wrapText="1"/>
    </xf>
    <xf numFmtId="0" fontId="13" fillId="0" borderId="19" xfId="0" applyFont="1" applyBorder="1" applyAlignment="1">
      <alignment vertical="center" wrapText="1"/>
    </xf>
    <xf numFmtId="1" fontId="13" fillId="0" borderId="3" xfId="0" applyNumberFormat="1" applyFont="1" applyBorder="1" applyAlignment="1">
      <alignment horizontal="center" vertical="center" wrapText="1"/>
    </xf>
    <xf numFmtId="0" fontId="13" fillId="7" borderId="23" xfId="0" applyFont="1" applyFill="1" applyBorder="1" applyAlignment="1">
      <alignment vertical="center" wrapText="1"/>
    </xf>
    <xf numFmtId="171" fontId="13" fillId="0" borderId="1" xfId="3" applyNumberFormat="1" applyFont="1" applyBorder="1" applyAlignment="1">
      <alignment horizontal="center" vertical="center"/>
    </xf>
    <xf numFmtId="0" fontId="13" fillId="7" borderId="50" xfId="0" applyFont="1" applyFill="1" applyBorder="1" applyAlignment="1">
      <alignment horizontal="center" vertical="center" wrapText="1"/>
    </xf>
    <xf numFmtId="164" fontId="13" fillId="7" borderId="1" xfId="0" applyNumberFormat="1" applyFont="1" applyFill="1" applyBorder="1" applyAlignment="1">
      <alignment horizontal="center" vertical="center" wrapText="1"/>
    </xf>
    <xf numFmtId="0" fontId="5" fillId="7" borderId="60" xfId="0" applyFont="1" applyFill="1" applyBorder="1" applyAlignment="1">
      <alignment vertical="center" wrapText="1"/>
    </xf>
    <xf numFmtId="43" fontId="5" fillId="0" borderId="1" xfId="1" applyFont="1" applyBorder="1" applyAlignment="1">
      <alignment horizontal="center" vertical="center" wrapText="1"/>
    </xf>
    <xf numFmtId="169" fontId="5" fillId="7" borderId="1" xfId="0" applyNumberFormat="1" applyFont="1" applyFill="1" applyBorder="1" applyAlignment="1">
      <alignment horizontal="justify" vertical="center" wrapText="1"/>
    </xf>
    <xf numFmtId="0" fontId="5" fillId="7" borderId="1" xfId="0" applyFont="1" applyFill="1" applyBorder="1" applyAlignment="1">
      <alignment horizontal="justify" vertical="center" wrapText="1"/>
    </xf>
    <xf numFmtId="43" fontId="5" fillId="0" borderId="6" xfId="1" applyFont="1" applyFill="1" applyBorder="1" applyAlignment="1">
      <alignment horizontal="center" vertical="center" wrapText="1"/>
    </xf>
    <xf numFmtId="43" fontId="5" fillId="0" borderId="1" xfId="1" applyFont="1" applyFill="1" applyBorder="1" applyAlignment="1">
      <alignment horizontal="center" vertical="center" wrapText="1"/>
    </xf>
    <xf numFmtId="0" fontId="5" fillId="7" borderId="16" xfId="0" applyFont="1" applyFill="1" applyBorder="1" applyAlignment="1">
      <alignment horizontal="justify" vertical="center" wrapText="1"/>
    </xf>
    <xf numFmtId="0" fontId="5" fillId="7" borderId="1" xfId="0" applyFont="1" applyFill="1" applyBorder="1" applyAlignment="1">
      <alignment vertical="center" wrapText="1"/>
    </xf>
    <xf numFmtId="169" fontId="5" fillId="7" borderId="1" xfId="0" applyNumberFormat="1" applyFont="1" applyFill="1" applyBorder="1" applyAlignment="1">
      <alignment vertical="center" wrapText="1"/>
    </xf>
    <xf numFmtId="0" fontId="13" fillId="0" borderId="0" xfId="0" applyFont="1" applyAlignment="1">
      <alignment horizontal="center" wrapText="1"/>
    </xf>
    <xf numFmtId="0" fontId="13" fillId="0" borderId="0" xfId="0" applyFont="1" applyAlignment="1">
      <alignment vertical="center" wrapText="1"/>
    </xf>
    <xf numFmtId="0" fontId="13" fillId="7" borderId="0" xfId="0" applyFont="1" applyFill="1" applyAlignment="1">
      <alignment horizontal="justify" vertical="center" wrapText="1"/>
    </xf>
    <xf numFmtId="189" fontId="13" fillId="0" borderId="0" xfId="24" applyNumberFormat="1" applyFont="1" applyAlignment="1">
      <alignment horizontal="center" wrapText="1"/>
    </xf>
    <xf numFmtId="169" fontId="5" fillId="0" borderId="0" xfId="0" applyNumberFormat="1" applyFont="1" applyAlignment="1">
      <alignment wrapText="1"/>
    </xf>
    <xf numFmtId="169" fontId="13" fillId="0" borderId="0" xfId="0" applyNumberFormat="1" applyFont="1" applyFill="1" applyAlignment="1">
      <alignment horizontal="center" vertical="center" wrapText="1"/>
    </xf>
    <xf numFmtId="0" fontId="13" fillId="0" borderId="0" xfId="0" applyFont="1" applyAlignment="1">
      <alignment horizontal="justify" wrapText="1"/>
    </xf>
    <xf numFmtId="169" fontId="13" fillId="0" borderId="0" xfId="0" applyNumberFormat="1" applyFont="1" applyAlignment="1">
      <alignment wrapText="1"/>
    </xf>
    <xf numFmtId="169" fontId="13" fillId="0" borderId="0" xfId="0" applyNumberFormat="1" applyFont="1" applyFill="1" applyAlignment="1">
      <alignment wrapText="1"/>
    </xf>
    <xf numFmtId="0" fontId="13" fillId="0" borderId="0" xfId="0" applyFont="1" applyAlignment="1">
      <alignment horizontal="justify"/>
    </xf>
    <xf numFmtId="169" fontId="13" fillId="0" borderId="0" xfId="0" applyNumberFormat="1" applyFont="1" applyFill="1"/>
    <xf numFmtId="189" fontId="13" fillId="0" borderId="0" xfId="24" applyNumberFormat="1" applyFont="1" applyAlignment="1">
      <alignment horizontal="center"/>
    </xf>
    <xf numFmtId="0" fontId="24" fillId="0" borderId="0" xfId="0" applyFont="1"/>
    <xf numFmtId="0" fontId="5" fillId="6" borderId="1"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6" xfId="0" applyFont="1" applyFill="1" applyBorder="1" applyAlignment="1">
      <alignment vertical="center" wrapText="1"/>
    </xf>
    <xf numFmtId="0" fontId="5" fillId="8" borderId="8" xfId="0" applyFont="1" applyFill="1" applyBorder="1" applyAlignment="1">
      <alignment vertical="center" wrapText="1"/>
    </xf>
    <xf numFmtId="0" fontId="5" fillId="17" borderId="6" xfId="0" applyFont="1" applyFill="1" applyBorder="1" applyAlignment="1">
      <alignment horizontal="center" vertical="center" wrapText="1"/>
    </xf>
    <xf numFmtId="0" fontId="5" fillId="17" borderId="7" xfId="0" applyFont="1" applyFill="1" applyBorder="1" applyAlignment="1">
      <alignment vertical="center"/>
    </xf>
    <xf numFmtId="0" fontId="5" fillId="17" borderId="8" xfId="0" applyFont="1" applyFill="1" applyBorder="1" applyAlignment="1">
      <alignment vertical="center" wrapText="1"/>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43" fontId="5" fillId="0" borderId="33" xfId="1" applyFont="1" applyBorder="1" applyAlignment="1">
      <alignment vertical="center"/>
    </xf>
    <xf numFmtId="0" fontId="5" fillId="0" borderId="33" xfId="0" applyFont="1" applyBorder="1" applyAlignment="1">
      <alignment vertical="center"/>
    </xf>
    <xf numFmtId="0" fontId="5" fillId="0" borderId="32" xfId="0" applyFont="1" applyBorder="1" applyAlignment="1">
      <alignment horizontal="justify" vertical="center"/>
    </xf>
    <xf numFmtId="169" fontId="5" fillId="0" borderId="30" xfId="0" applyNumberFormat="1" applyFont="1" applyBorder="1" applyAlignment="1">
      <alignment vertical="center"/>
    </xf>
    <xf numFmtId="0" fontId="5" fillId="7" borderId="31" xfId="0" applyFont="1" applyFill="1" applyBorder="1" applyAlignment="1">
      <alignment horizontal="justify" vertical="center"/>
    </xf>
    <xf numFmtId="0" fontId="5" fillId="0" borderId="77" xfId="0" applyFont="1" applyBorder="1" applyAlignment="1">
      <alignment horizontal="center" vertical="center"/>
    </xf>
    <xf numFmtId="43" fontId="5" fillId="0" borderId="78" xfId="1" applyFont="1" applyBorder="1" applyAlignment="1">
      <alignment vertical="center"/>
    </xf>
    <xf numFmtId="10" fontId="5" fillId="0" borderId="78" xfId="0" applyNumberFormat="1" applyFont="1" applyBorder="1" applyAlignment="1">
      <alignment horizontal="center" vertical="center"/>
    </xf>
    <xf numFmtId="0" fontId="5" fillId="0" borderId="78" xfId="0" applyFont="1" applyBorder="1" applyAlignment="1">
      <alignment vertical="center"/>
    </xf>
    <xf numFmtId="0" fontId="5" fillId="0" borderId="78" xfId="0" applyFont="1" applyBorder="1" applyAlignment="1">
      <alignment horizontal="right" vertical="center"/>
    </xf>
    <xf numFmtId="166" fontId="5" fillId="0" borderId="78" xfId="0" applyNumberFormat="1" applyFont="1" applyBorder="1" applyAlignment="1">
      <alignment horizontal="center" vertical="center"/>
    </xf>
    <xf numFmtId="0" fontId="5" fillId="0" borderId="79" xfId="0" applyFont="1" applyBorder="1" applyAlignment="1">
      <alignment horizontal="left" vertical="center"/>
    </xf>
    <xf numFmtId="3" fontId="13" fillId="0" borderId="0" xfId="0" applyNumberFormat="1" applyFont="1"/>
    <xf numFmtId="43" fontId="13" fillId="0" borderId="0" xfId="0" applyNumberFormat="1" applyFont="1"/>
    <xf numFmtId="3" fontId="5" fillId="7" borderId="4" xfId="0" applyNumberFormat="1" applyFont="1" applyFill="1" applyBorder="1" applyAlignment="1">
      <alignment vertical="center"/>
    </xf>
    <xf numFmtId="0" fontId="5" fillId="0" borderId="4" xfId="0" applyFont="1" applyBorder="1"/>
    <xf numFmtId="0" fontId="6" fillId="0" borderId="5"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6" fontId="4" fillId="3" borderId="13"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3" fontId="3" fillId="0" borderId="39" xfId="0" applyNumberFormat="1" applyFont="1" applyBorder="1" applyAlignment="1">
      <alignment horizontal="center" vertical="center" wrapText="1"/>
    </xf>
    <xf numFmtId="0" fontId="5" fillId="6" borderId="7" xfId="0" applyFont="1" applyFill="1" applyBorder="1" applyAlignment="1">
      <alignment horizontal="left" vertical="center"/>
    </xf>
    <xf numFmtId="0" fontId="6" fillId="8" borderId="7" xfId="0" applyFont="1" applyFill="1" applyBorder="1" applyAlignment="1">
      <alignment horizontal="left" vertical="center"/>
    </xf>
    <xf numFmtId="0" fontId="3" fillId="0" borderId="13" xfId="0" applyFont="1" applyBorder="1" applyAlignment="1">
      <alignment horizontal="justify" vertical="center" wrapText="1"/>
    </xf>
    <xf numFmtId="0" fontId="3" fillId="0" borderId="6" xfId="0" applyFont="1" applyBorder="1" applyAlignment="1">
      <alignment horizontal="justify" vertical="center" wrapText="1"/>
    </xf>
    <xf numFmtId="43" fontId="3" fillId="7" borderId="13" xfId="1" applyFont="1" applyFill="1" applyBorder="1" applyAlignment="1">
      <alignment horizontal="center" vertical="center" wrapText="1"/>
    </xf>
    <xf numFmtId="0" fontId="3" fillId="7" borderId="0" xfId="0" applyFont="1" applyFill="1" applyAlignment="1">
      <alignment horizontal="center" vertical="center" wrapText="1"/>
    </xf>
    <xf numFmtId="0" fontId="13" fillId="0" borderId="1" xfId="0" applyFont="1" applyBorder="1" applyAlignment="1">
      <alignment horizontal="center" vertical="center" wrapText="1"/>
    </xf>
    <xf numFmtId="0" fontId="13" fillId="7" borderId="17"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13" xfId="0" applyFont="1" applyFill="1" applyBorder="1" applyAlignment="1">
      <alignment horizontal="justify" vertical="center" wrapText="1"/>
    </xf>
    <xf numFmtId="0" fontId="3" fillId="7" borderId="1" xfId="0" applyFont="1" applyFill="1" applyBorder="1" applyAlignment="1">
      <alignment horizontal="justify" vertical="center" wrapText="1"/>
    </xf>
    <xf numFmtId="1" fontId="3" fillId="7" borderId="1" xfId="0" applyNumberFormat="1" applyFont="1" applyFill="1" applyBorder="1" applyAlignment="1">
      <alignment horizontal="center" vertical="center" wrapText="1"/>
    </xf>
    <xf numFmtId="3" fontId="3" fillId="7" borderId="39" xfId="0" applyNumberFormat="1" applyFont="1" applyFill="1" applyBorder="1" applyAlignment="1">
      <alignment horizontal="center" vertical="center" wrapText="1"/>
    </xf>
    <xf numFmtId="3" fontId="3" fillId="7" borderId="1" xfId="0" applyNumberFormat="1" applyFont="1" applyFill="1" applyBorder="1" applyAlignment="1">
      <alignment horizontal="justify" vertical="center" wrapText="1"/>
    </xf>
    <xf numFmtId="0" fontId="3" fillId="7" borderId="13" xfId="0" applyFont="1" applyFill="1" applyBorder="1" applyAlignment="1">
      <alignment horizontal="center" vertical="center" wrapText="1"/>
    </xf>
    <xf numFmtId="10" fontId="3" fillId="7" borderId="13" xfId="3" applyNumberFormat="1" applyFont="1" applyFill="1" applyBorder="1" applyAlignment="1">
      <alignment horizontal="center" vertical="center" wrapText="1"/>
    </xf>
    <xf numFmtId="43" fontId="3" fillId="7" borderId="1" xfId="1" applyFont="1" applyFill="1" applyBorder="1" applyAlignment="1">
      <alignment horizontal="center" vertical="center" wrapText="1"/>
    </xf>
    <xf numFmtId="1" fontId="6" fillId="7" borderId="13" xfId="0" applyNumberFormat="1" applyFont="1" applyFill="1" applyBorder="1" applyAlignment="1">
      <alignment horizontal="center" vertical="center" wrapText="1"/>
    </xf>
    <xf numFmtId="9" fontId="3" fillId="7" borderId="1" xfId="3"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18"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3" fillId="7" borderId="15" xfId="0" applyFont="1" applyFill="1" applyBorder="1" applyAlignment="1">
      <alignment horizontal="center" vertical="center"/>
    </xf>
    <xf numFmtId="0" fontId="5" fillId="6" borderId="7" xfId="0" applyFont="1" applyFill="1" applyBorder="1" applyAlignment="1">
      <alignment horizontal="center" vertical="center"/>
    </xf>
    <xf numFmtId="0" fontId="13" fillId="7" borderId="2" xfId="0" applyFont="1" applyFill="1" applyBorder="1" applyAlignment="1">
      <alignment horizontal="center" vertical="center" wrapText="1"/>
    </xf>
    <xf numFmtId="0" fontId="13" fillId="0" borderId="0" xfId="0" applyFont="1" applyAlignment="1">
      <alignment horizontal="center"/>
    </xf>
    <xf numFmtId="0" fontId="5" fillId="0" borderId="13" xfId="0" applyFont="1" applyBorder="1" applyAlignment="1">
      <alignment vertical="center"/>
    </xf>
    <xf numFmtId="0" fontId="13" fillId="7" borderId="4" xfId="0" applyFont="1" applyFill="1" applyBorder="1" applyAlignment="1">
      <alignment horizontal="center" vertical="center" wrapText="1"/>
    </xf>
    <xf numFmtId="0" fontId="5" fillId="8" borderId="1" xfId="0" applyFont="1" applyFill="1" applyBorder="1" applyAlignment="1">
      <alignment vertical="center" wrapText="1"/>
    </xf>
    <xf numFmtId="0" fontId="5" fillId="17" borderId="1" xfId="0" applyFont="1" applyFill="1" applyBorder="1" applyAlignment="1">
      <alignment horizontal="center" vertical="center" wrapText="1"/>
    </xf>
    <xf numFmtId="0" fontId="5" fillId="17" borderId="1" xfId="0" applyFont="1" applyFill="1" applyBorder="1" applyAlignment="1">
      <alignment vertical="center" wrapText="1"/>
    </xf>
    <xf numFmtId="49" fontId="3" fillId="7" borderId="1" xfId="0" applyNumberFormat="1" applyFont="1" applyFill="1" applyBorder="1" applyAlignment="1">
      <alignment horizontal="center" vertical="center" wrapText="1"/>
    </xf>
    <xf numFmtId="3" fontId="12" fillId="0" borderId="13" xfId="0" applyNumberFormat="1" applyFont="1" applyBorder="1" applyAlignment="1">
      <alignment vertical="center"/>
    </xf>
    <xf numFmtId="14" fontId="13" fillId="0" borderId="1" xfId="0" applyNumberFormat="1" applyFont="1" applyBorder="1" applyAlignment="1">
      <alignment horizontal="center" vertical="center" wrapText="1"/>
    </xf>
    <xf numFmtId="0" fontId="6" fillId="6" borderId="59" xfId="0" applyFont="1" applyFill="1" applyBorder="1" applyAlignment="1">
      <alignment vertical="center"/>
    </xf>
    <xf numFmtId="0" fontId="6" fillId="6" borderId="0" xfId="0" applyFont="1" applyFill="1" applyAlignment="1">
      <alignment vertical="center"/>
    </xf>
    <xf numFmtId="0" fontId="6" fillId="6" borderId="2" xfId="0" applyFont="1" applyFill="1" applyBorder="1" applyAlignment="1">
      <alignment vertical="center"/>
    </xf>
    <xf numFmtId="0" fontId="6" fillId="6" borderId="2" xfId="0" applyFont="1" applyFill="1" applyBorder="1" applyAlignment="1">
      <alignment horizontal="justify" vertical="center"/>
    </xf>
    <xf numFmtId="43" fontId="6" fillId="6" borderId="7" xfId="1" applyFont="1" applyFill="1" applyBorder="1" applyAlignment="1">
      <alignment horizontal="justify" vertical="center"/>
    </xf>
    <xf numFmtId="44" fontId="6" fillId="6" borderId="2" xfId="2" applyFont="1" applyFill="1" applyBorder="1" applyAlignment="1">
      <alignment horizontal="center" vertical="center"/>
    </xf>
    <xf numFmtId="43" fontId="6" fillId="6" borderId="2" xfId="1" applyFont="1" applyFill="1" applyBorder="1" applyAlignment="1">
      <alignment horizontal="center" vertical="center"/>
    </xf>
    <xf numFmtId="43" fontId="3" fillId="6" borderId="2" xfId="1" applyFont="1" applyFill="1" applyBorder="1" applyAlignment="1">
      <alignment horizontal="left" vertical="center"/>
    </xf>
    <xf numFmtId="167" fontId="6" fillId="6" borderId="2" xfId="0" applyNumberFormat="1" applyFont="1" applyFill="1" applyBorder="1" applyAlignment="1">
      <alignment vertical="center"/>
    </xf>
    <xf numFmtId="0" fontId="3" fillId="6" borderId="4" xfId="0" applyFont="1" applyFill="1" applyBorder="1" applyAlignment="1">
      <alignment vertical="center"/>
    </xf>
    <xf numFmtId="0" fontId="3" fillId="6" borderId="7" xfId="0" applyFont="1" applyFill="1" applyBorder="1" applyAlignment="1">
      <alignment vertical="center"/>
    </xf>
    <xf numFmtId="0" fontId="3" fillId="6" borderId="8" xfId="0" applyFont="1" applyFill="1" applyBorder="1" applyAlignment="1">
      <alignment vertical="center"/>
    </xf>
    <xf numFmtId="43" fontId="6" fillId="8" borderId="2" xfId="1" applyFont="1" applyFill="1" applyBorder="1" applyAlignment="1">
      <alignment horizontal="justify" vertical="center"/>
    </xf>
    <xf numFmtId="44" fontId="6" fillId="8" borderId="2" xfId="2" applyFont="1" applyFill="1" applyBorder="1" applyAlignment="1">
      <alignment horizontal="center" vertical="center"/>
    </xf>
    <xf numFmtId="43" fontId="6" fillId="8" borderId="2" xfId="1" applyFont="1" applyFill="1" applyBorder="1" applyAlignment="1">
      <alignment horizontal="center" vertical="center"/>
    </xf>
    <xf numFmtId="43" fontId="3" fillId="8" borderId="2" xfId="1" applyFont="1" applyFill="1" applyBorder="1" applyAlignment="1">
      <alignment horizontal="left" vertical="center"/>
    </xf>
    <xf numFmtId="0" fontId="3" fillId="8" borderId="4" xfId="0" applyFont="1" applyFill="1" applyBorder="1" applyAlignment="1">
      <alignment vertical="center"/>
    </xf>
    <xf numFmtId="0" fontId="3" fillId="8" borderId="7" xfId="0" applyFont="1" applyFill="1" applyBorder="1" applyAlignment="1">
      <alignment vertical="center"/>
    </xf>
    <xf numFmtId="0" fontId="3" fillId="8" borderId="8" xfId="0" applyFont="1" applyFill="1" applyBorder="1" applyAlignment="1">
      <alignment vertical="center"/>
    </xf>
    <xf numFmtId="0" fontId="6" fillId="9" borderId="6" xfId="0" applyFont="1" applyFill="1" applyBorder="1" applyAlignment="1">
      <alignment horizontal="left" vertical="center"/>
    </xf>
    <xf numFmtId="43" fontId="6" fillId="9" borderId="7" xfId="1" applyFont="1" applyFill="1" applyBorder="1" applyAlignment="1">
      <alignment horizontal="justify" vertical="center"/>
    </xf>
    <xf numFmtId="44" fontId="6" fillId="9" borderId="4" xfId="2" applyFont="1" applyFill="1" applyBorder="1" applyAlignment="1">
      <alignment horizontal="center" vertical="center"/>
    </xf>
    <xf numFmtId="43" fontId="6" fillId="9" borderId="4" xfId="1" applyFont="1" applyFill="1" applyBorder="1" applyAlignment="1">
      <alignment horizontal="center" vertical="center"/>
    </xf>
    <xf numFmtId="43" fontId="3" fillId="9" borderId="4" xfId="1" applyFont="1" applyFill="1" applyBorder="1" applyAlignment="1">
      <alignment horizontal="left" vertical="center"/>
    </xf>
    <xf numFmtId="0" fontId="3" fillId="9" borderId="4" xfId="0" applyFont="1" applyFill="1" applyBorder="1" applyAlignment="1">
      <alignment vertical="center"/>
    </xf>
    <xf numFmtId="0" fontId="3" fillId="9" borderId="8" xfId="0" applyFont="1" applyFill="1" applyBorder="1" applyAlignment="1">
      <alignment vertical="center"/>
    </xf>
    <xf numFmtId="0" fontId="3" fillId="0" borderId="83" xfId="0" applyFont="1" applyBorder="1" applyAlignment="1">
      <alignment horizontal="left" vertical="center" wrapText="1"/>
    </xf>
    <xf numFmtId="43" fontId="3" fillId="7" borderId="38" xfId="1" applyFont="1" applyFill="1" applyBorder="1" applyAlignment="1">
      <alignment horizontal="center" vertical="center" wrapText="1"/>
    </xf>
    <xf numFmtId="0" fontId="3" fillId="7" borderId="38" xfId="2" applyNumberFormat="1" applyFont="1" applyFill="1" applyBorder="1" applyAlignment="1">
      <alignment horizontal="center" vertical="center" wrapText="1"/>
    </xf>
    <xf numFmtId="179" fontId="13" fillId="7" borderId="10" xfId="0" applyNumberFormat="1" applyFont="1" applyFill="1" applyBorder="1" applyAlignment="1">
      <alignment horizontal="center" vertical="center" wrapText="1"/>
    </xf>
    <xf numFmtId="3" fontId="12" fillId="0" borderId="1" xfId="0" applyNumberFormat="1" applyFont="1" applyBorder="1" applyAlignment="1">
      <alignment horizontal="center" vertical="center"/>
    </xf>
    <xf numFmtId="3" fontId="13" fillId="0" borderId="1" xfId="0" applyNumberFormat="1" applyFont="1" applyBorder="1" applyAlignment="1">
      <alignment horizontal="center" vertical="center" wrapText="1"/>
    </xf>
    <xf numFmtId="0" fontId="3" fillId="0" borderId="74" xfId="0" applyFont="1" applyBorder="1" applyAlignment="1">
      <alignment horizontal="left" vertical="center" wrapText="1"/>
    </xf>
    <xf numFmtId="0" fontId="3" fillId="7" borderId="1" xfId="2" applyNumberFormat="1" applyFont="1" applyFill="1" applyBorder="1" applyAlignment="1">
      <alignment horizontal="center" vertical="center" wrapText="1"/>
    </xf>
    <xf numFmtId="179" fontId="13" fillId="7" borderId="6" xfId="0" applyNumberFormat="1" applyFont="1" applyFill="1" applyBorder="1" applyAlignment="1">
      <alignment horizontal="center" vertical="center" wrapText="1"/>
    </xf>
    <xf numFmtId="0" fontId="3" fillId="0" borderId="75" xfId="0" applyFont="1" applyBorder="1" applyAlignment="1">
      <alignment horizontal="left" vertical="center" wrapText="1"/>
    </xf>
    <xf numFmtId="0" fontId="3" fillId="7" borderId="13" xfId="2" applyNumberFormat="1" applyFont="1" applyFill="1" applyBorder="1" applyAlignment="1">
      <alignment horizontal="center" vertical="center" wrapText="1"/>
    </xf>
    <xf numFmtId="179" fontId="13" fillId="7" borderId="3" xfId="0" applyNumberFormat="1" applyFont="1" applyFill="1" applyBorder="1" applyAlignment="1">
      <alignment horizontal="center" vertical="center" wrapText="1"/>
    </xf>
    <xf numFmtId="0" fontId="13" fillId="7" borderId="15" xfId="0" applyFont="1" applyFill="1" applyBorder="1" applyAlignment="1">
      <alignment horizontal="center"/>
    </xf>
    <xf numFmtId="0" fontId="3" fillId="7" borderId="15" xfId="0" applyFont="1" applyFill="1" applyBorder="1" applyAlignment="1">
      <alignment horizontal="center"/>
    </xf>
    <xf numFmtId="0" fontId="3" fillId="0" borderId="85" xfId="0" applyFont="1" applyBorder="1" applyAlignment="1">
      <alignment horizontal="left" vertical="center" wrapText="1"/>
    </xf>
    <xf numFmtId="43" fontId="3" fillId="7" borderId="40" xfId="1" applyFont="1" applyFill="1" applyBorder="1" applyAlignment="1">
      <alignment horizontal="center" vertical="center" wrapText="1"/>
    </xf>
    <xf numFmtId="0" fontId="3" fillId="7" borderId="40" xfId="2" applyNumberFormat="1" applyFont="1" applyFill="1" applyBorder="1" applyAlignment="1">
      <alignment horizontal="center" vertical="center" wrapText="1"/>
    </xf>
    <xf numFmtId="179" fontId="13" fillId="7" borderId="80" xfId="0" applyNumberFormat="1" applyFont="1" applyFill="1" applyBorder="1" applyAlignment="1">
      <alignment horizontal="center" vertical="center" wrapText="1"/>
    </xf>
    <xf numFmtId="0" fontId="3" fillId="7" borderId="18" xfId="0" applyFont="1" applyFill="1" applyBorder="1" applyAlignment="1">
      <alignment vertical="center" wrapText="1"/>
    </xf>
    <xf numFmtId="0" fontId="6" fillId="9" borderId="1" xfId="0" applyFont="1" applyFill="1" applyBorder="1" applyAlignment="1">
      <alignment horizontal="left" vertical="center"/>
    </xf>
    <xf numFmtId="43" fontId="6" fillId="9" borderId="7" xfId="1" applyFont="1" applyFill="1" applyBorder="1" applyAlignment="1">
      <alignment vertical="center"/>
    </xf>
    <xf numFmtId="0" fontId="6" fillId="9" borderId="0" xfId="0" applyFont="1" applyFill="1" applyBorder="1" applyAlignment="1">
      <alignment vertical="center"/>
    </xf>
    <xf numFmtId="43" fontId="6" fillId="9" borderId="0" xfId="1" applyFont="1" applyFill="1" applyBorder="1" applyAlignment="1">
      <alignment vertical="center"/>
    </xf>
    <xf numFmtId="0" fontId="6" fillId="9" borderId="0" xfId="0" applyFont="1" applyFill="1" applyAlignment="1">
      <alignment vertical="center"/>
    </xf>
    <xf numFmtId="0" fontId="3" fillId="7" borderId="83" xfId="0" applyFont="1" applyFill="1" applyBorder="1" applyAlignment="1">
      <alignment horizontal="justify" vertical="center" wrapText="1"/>
    </xf>
    <xf numFmtId="43" fontId="3" fillId="7" borderId="38" xfId="1" applyFont="1" applyFill="1" applyBorder="1" applyAlignment="1">
      <alignment vertical="center" wrapText="1"/>
    </xf>
    <xf numFmtId="49" fontId="3" fillId="7" borderId="38" xfId="0" applyNumberFormat="1" applyFont="1" applyFill="1" applyBorder="1" applyAlignment="1">
      <alignment horizontal="center" vertical="center" wrapText="1"/>
    </xf>
    <xf numFmtId="3" fontId="3" fillId="7" borderId="73" xfId="0" applyNumberFormat="1" applyFont="1" applyFill="1" applyBorder="1" applyAlignment="1">
      <alignment horizontal="center" vertical="center" wrapText="1"/>
    </xf>
    <xf numFmtId="0" fontId="3" fillId="7" borderId="75" xfId="0" applyFont="1" applyFill="1" applyBorder="1" applyAlignment="1">
      <alignment horizontal="center" vertical="center" wrapText="1"/>
    </xf>
    <xf numFmtId="0" fontId="3" fillId="7" borderId="85" xfId="0" applyFont="1" applyFill="1" applyBorder="1" applyAlignment="1">
      <alignment horizontal="justify" vertical="center" wrapText="1"/>
    </xf>
    <xf numFmtId="49" fontId="3" fillId="7" borderId="13" xfId="0" applyNumberFormat="1" applyFont="1" applyFill="1" applyBorder="1" applyAlignment="1">
      <alignment horizontal="center" vertical="center" wrapText="1"/>
    </xf>
    <xf numFmtId="0" fontId="3" fillId="0" borderId="83" xfId="0" applyFont="1" applyBorder="1" applyAlignment="1">
      <alignment horizontal="justify" vertical="center" wrapText="1"/>
    </xf>
    <xf numFmtId="43" fontId="3" fillId="7" borderId="13" xfId="1" applyFont="1" applyFill="1" applyBorder="1" applyAlignment="1">
      <alignment vertical="center" wrapText="1"/>
    </xf>
    <xf numFmtId="43" fontId="3" fillId="0" borderId="38" xfId="1" applyFont="1" applyBorder="1" applyAlignment="1">
      <alignment vertical="center" wrapText="1"/>
    </xf>
    <xf numFmtId="0" fontId="3" fillId="0" borderId="38" xfId="2" applyNumberFormat="1" applyFont="1" applyBorder="1" applyAlignment="1">
      <alignment horizontal="center" vertical="center" wrapText="1"/>
    </xf>
    <xf numFmtId="3" fontId="3" fillId="0" borderId="73" xfId="0" applyNumberFormat="1" applyFont="1" applyBorder="1" applyAlignment="1">
      <alignment horizontal="center" vertical="center" wrapText="1"/>
    </xf>
    <xf numFmtId="0" fontId="3" fillId="0" borderId="85" xfId="0" applyFont="1" applyBorder="1" applyAlignment="1">
      <alignment horizontal="justify" vertical="center" wrapText="1"/>
    </xf>
    <xf numFmtId="43" fontId="3" fillId="7" borderId="40" xfId="1" applyFont="1" applyFill="1" applyBorder="1" applyAlignment="1">
      <alignment vertical="center" wrapText="1"/>
    </xf>
    <xf numFmtId="43" fontId="3" fillId="0" borderId="40" xfId="1" applyFont="1" applyBorder="1" applyAlignment="1">
      <alignment vertical="center" wrapText="1"/>
    </xf>
    <xf numFmtId="0" fontId="3" fillId="0" borderId="40" xfId="2" applyNumberFormat="1" applyFont="1" applyBorder="1" applyAlignment="1">
      <alignment horizontal="center" vertical="center" wrapText="1"/>
    </xf>
    <xf numFmtId="3" fontId="3" fillId="0" borderId="87"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3" fontId="13" fillId="0" borderId="73" xfId="0" applyNumberFormat="1" applyFont="1" applyBorder="1" applyAlignment="1">
      <alignment horizontal="center" vertical="center" wrapText="1"/>
    </xf>
    <xf numFmtId="43" fontId="3" fillId="0" borderId="1" xfId="1" applyFont="1" applyBorder="1" applyAlignment="1">
      <alignment vertical="center" wrapText="1"/>
    </xf>
    <xf numFmtId="49" fontId="3" fillId="0" borderId="1" xfId="0" applyNumberFormat="1" applyFont="1" applyBorder="1" applyAlignment="1">
      <alignment horizontal="center" vertical="center" wrapText="1"/>
    </xf>
    <xf numFmtId="0" fontId="3" fillId="0" borderId="1" xfId="2" applyNumberFormat="1" applyFont="1" applyBorder="1" applyAlignment="1">
      <alignment horizontal="center" vertical="center" wrapText="1"/>
    </xf>
    <xf numFmtId="43" fontId="3" fillId="0" borderId="40" xfId="1" applyFont="1" applyBorder="1" applyAlignment="1">
      <alignment horizontal="center" vertical="center" wrapText="1"/>
    </xf>
    <xf numFmtId="49" fontId="3" fillId="0" borderId="40" xfId="0" applyNumberFormat="1" applyFont="1" applyBorder="1" applyAlignment="1">
      <alignment horizontal="center" vertical="center" wrapText="1"/>
    </xf>
    <xf numFmtId="43" fontId="3" fillId="0" borderId="38" xfId="1" applyFont="1" applyBorder="1" applyAlignment="1">
      <alignment horizontal="center" vertical="center" wrapText="1"/>
    </xf>
    <xf numFmtId="0" fontId="3" fillId="0" borderId="77" xfId="0" applyFont="1" applyBorder="1" applyAlignment="1">
      <alignment horizontal="justify" vertical="center" wrapText="1"/>
    </xf>
    <xf numFmtId="43" fontId="3" fillId="0" borderId="78" xfId="1" applyFont="1" applyBorder="1" applyAlignment="1">
      <alignment horizontal="center" vertical="center" wrapText="1"/>
    </xf>
    <xf numFmtId="0" fontId="3" fillId="0" borderId="78" xfId="2" applyNumberFormat="1" applyFont="1" applyBorder="1" applyAlignment="1">
      <alignment horizontal="center" vertical="center" wrapText="1"/>
    </xf>
    <xf numFmtId="3" fontId="3" fillId="0" borderId="79" xfId="0" applyNumberFormat="1" applyFont="1" applyBorder="1" applyAlignment="1">
      <alignment horizontal="center" vertical="center" wrapText="1"/>
    </xf>
    <xf numFmtId="0" fontId="6" fillId="7" borderId="15" xfId="0" applyFont="1" applyFill="1" applyBorder="1" applyAlignment="1">
      <alignment horizontal="center" vertical="center"/>
    </xf>
    <xf numFmtId="0" fontId="3" fillId="7" borderId="77" xfId="0" applyFont="1" applyFill="1" applyBorder="1" applyAlignment="1">
      <alignment horizontal="justify" vertical="center" wrapText="1"/>
    </xf>
    <xf numFmtId="43" fontId="3" fillId="7" borderId="78" xfId="1" applyFont="1" applyFill="1" applyBorder="1" applyAlignment="1">
      <alignment horizontal="center" vertical="center" wrapText="1"/>
    </xf>
    <xf numFmtId="0" fontId="3" fillId="7" borderId="78" xfId="2" applyNumberFormat="1" applyFont="1" applyFill="1" applyBorder="1" applyAlignment="1">
      <alignment horizontal="center" vertical="center" wrapText="1"/>
    </xf>
    <xf numFmtId="3" fontId="3" fillId="7" borderId="79" xfId="0" applyNumberFormat="1" applyFont="1" applyFill="1" applyBorder="1" applyAlignment="1">
      <alignment horizontal="center" vertical="center" wrapText="1"/>
    </xf>
    <xf numFmtId="0" fontId="3" fillId="7" borderId="2" xfId="0" applyFont="1" applyFill="1" applyBorder="1" applyAlignment="1">
      <alignment vertical="center" wrapText="1"/>
    </xf>
    <xf numFmtId="0" fontId="3" fillId="7" borderId="14" xfId="0" applyFont="1" applyFill="1" applyBorder="1" applyAlignment="1">
      <alignment vertical="center" wrapText="1"/>
    </xf>
    <xf numFmtId="10" fontId="3" fillId="7" borderId="4" xfId="3" applyNumberFormat="1" applyFont="1" applyFill="1" applyBorder="1" applyAlignment="1">
      <alignment horizontal="center" vertical="center" wrapText="1"/>
    </xf>
    <xf numFmtId="43" fontId="3" fillId="7" borderId="35" xfId="1" applyFont="1" applyFill="1" applyBorder="1" applyAlignment="1">
      <alignment horizontal="center" vertical="center" wrapText="1"/>
    </xf>
    <xf numFmtId="0" fontId="3" fillId="0" borderId="78" xfId="0" applyFont="1" applyBorder="1" applyAlignment="1">
      <alignment horizontal="center" vertical="center" wrapText="1"/>
    </xf>
    <xf numFmtId="44" fontId="6" fillId="0" borderId="1" xfId="2" applyFont="1" applyBorder="1" applyAlignment="1">
      <alignment horizontal="center" vertical="center"/>
    </xf>
    <xf numFmtId="43" fontId="6" fillId="0" borderId="16" xfId="1" applyFont="1" applyBorder="1" applyAlignment="1">
      <alignment horizontal="center" vertical="center"/>
    </xf>
    <xf numFmtId="0" fontId="14" fillId="0" borderId="6" xfId="0" applyFont="1" applyBorder="1" applyAlignment="1">
      <alignment vertical="center" wrapText="1"/>
    </xf>
    <xf numFmtId="0" fontId="14" fillId="0" borderId="7" xfId="0" applyFont="1" applyBorder="1" applyAlignment="1">
      <alignment vertical="center" wrapText="1"/>
    </xf>
    <xf numFmtId="0" fontId="14" fillId="0" borderId="5" xfId="0" applyFont="1" applyBorder="1" applyAlignment="1">
      <alignment vertical="center" wrapText="1"/>
    </xf>
    <xf numFmtId="43" fontId="6" fillId="0" borderId="14" xfId="1" applyFont="1" applyBorder="1" applyAlignment="1">
      <alignment horizontal="center" vertical="center"/>
    </xf>
    <xf numFmtId="179" fontId="6" fillId="0" borderId="16" xfId="0" applyNumberFormat="1" applyFont="1" applyBorder="1" applyAlignment="1">
      <alignment horizontal="center" vertical="center"/>
    </xf>
    <xf numFmtId="179" fontId="6" fillId="0" borderId="77" xfId="0" applyNumberFormat="1" applyFont="1" applyBorder="1" applyAlignment="1">
      <alignment vertical="center"/>
    </xf>
    <xf numFmtId="179" fontId="6" fillId="0" borderId="78" xfId="0" applyNumberFormat="1" applyFont="1" applyBorder="1" applyAlignment="1">
      <alignment vertical="center"/>
    </xf>
    <xf numFmtId="43" fontId="6" fillId="0" borderId="40" xfId="1" applyFont="1" applyBorder="1" applyAlignment="1">
      <alignment horizontal="center" vertical="center"/>
    </xf>
    <xf numFmtId="9" fontId="6" fillId="0" borderId="40" xfId="3" applyFont="1" applyBorder="1" applyAlignment="1">
      <alignment horizontal="center" vertical="center"/>
    </xf>
    <xf numFmtId="179" fontId="6" fillId="0" borderId="79" xfId="0" applyNumberFormat="1" applyFont="1" applyBorder="1" applyAlignment="1">
      <alignment vertical="center"/>
    </xf>
    <xf numFmtId="0" fontId="6" fillId="0" borderId="0" xfId="0" applyFont="1" applyBorder="1" applyAlignment="1">
      <alignment horizontal="center" vertical="center" wrapText="1"/>
    </xf>
    <xf numFmtId="44" fontId="6" fillId="0" borderId="0" xfId="2" applyFont="1" applyBorder="1" applyAlignment="1">
      <alignment horizontal="center" vertical="center"/>
    </xf>
    <xf numFmtId="0" fontId="14" fillId="0" borderId="0" xfId="0" applyFont="1" applyBorder="1" applyAlignment="1">
      <alignment vertical="center" wrapText="1"/>
    </xf>
    <xf numFmtId="44" fontId="3" fillId="7" borderId="0" xfId="2" applyFont="1" applyFill="1" applyBorder="1" applyAlignment="1">
      <alignment horizontal="center" vertical="center" wrapText="1"/>
    </xf>
    <xf numFmtId="179" fontId="6" fillId="0" borderId="0" xfId="0" applyNumberFormat="1" applyFont="1" applyBorder="1" applyAlignment="1">
      <alignment horizontal="center" vertical="center"/>
    </xf>
    <xf numFmtId="0" fontId="5" fillId="0" borderId="0" xfId="0" applyFont="1" applyAlignment="1">
      <alignment horizontal="center"/>
    </xf>
    <xf numFmtId="43" fontId="13" fillId="0" borderId="1" xfId="0" applyNumberFormat="1" applyFont="1" applyBorder="1" applyAlignment="1">
      <alignment horizontal="center" vertical="center" wrapText="1"/>
    </xf>
    <xf numFmtId="169" fontId="13" fillId="6" borderId="6" xfId="0" applyNumberFormat="1" applyFont="1" applyFill="1" applyBorder="1" applyAlignment="1">
      <alignment vertical="center"/>
    </xf>
    <xf numFmtId="169" fontId="13" fillId="6" borderId="7" xfId="0" applyNumberFormat="1" applyFont="1" applyFill="1" applyBorder="1" applyAlignment="1">
      <alignment vertical="center"/>
    </xf>
    <xf numFmtId="169" fontId="13" fillId="6" borderId="8" xfId="0" applyNumberFormat="1" applyFont="1" applyFill="1" applyBorder="1" applyAlignment="1">
      <alignment vertical="center"/>
    </xf>
    <xf numFmtId="169" fontId="13" fillId="8" borderId="6" xfId="0" applyNumberFormat="1" applyFont="1" applyFill="1" applyBorder="1" applyAlignment="1">
      <alignment vertical="center"/>
    </xf>
    <xf numFmtId="169" fontId="13" fillId="8" borderId="7" xfId="0" applyNumberFormat="1" applyFont="1" applyFill="1" applyBorder="1" applyAlignment="1">
      <alignment vertical="center"/>
    </xf>
    <xf numFmtId="169" fontId="13" fillId="8" borderId="8" xfId="0" applyNumberFormat="1" applyFont="1" applyFill="1" applyBorder="1" applyAlignment="1">
      <alignment vertical="center"/>
    </xf>
    <xf numFmtId="169" fontId="13" fillId="9" borderId="6" xfId="0" applyNumberFormat="1" applyFont="1" applyFill="1" applyBorder="1" applyAlignment="1">
      <alignment vertical="center"/>
    </xf>
    <xf numFmtId="169" fontId="13" fillId="9" borderId="7" xfId="0" applyNumberFormat="1" applyFont="1" applyFill="1" applyBorder="1" applyAlignment="1">
      <alignment vertical="center"/>
    </xf>
    <xf numFmtId="169" fontId="13" fillId="9" borderId="8" xfId="0" applyNumberFormat="1" applyFont="1" applyFill="1" applyBorder="1" applyAlignment="1">
      <alignment vertical="center"/>
    </xf>
    <xf numFmtId="43" fontId="13" fillId="0" borderId="13" xfId="1" applyFont="1" applyBorder="1" applyAlignment="1">
      <alignment vertical="center"/>
    </xf>
    <xf numFmtId="0" fontId="5" fillId="3" borderId="1" xfId="0" applyFont="1" applyFill="1" applyBorder="1" applyAlignment="1">
      <alignment horizontal="center" vertical="center" wrapText="1"/>
    </xf>
    <xf numFmtId="0" fontId="13" fillId="0" borderId="13" xfId="0" applyFont="1" applyBorder="1" applyAlignment="1">
      <alignment horizontal="justify" vertical="center" wrapText="1"/>
    </xf>
    <xf numFmtId="1" fontId="13" fillId="0" borderId="1" xfId="0" applyNumberFormat="1" applyFont="1" applyBorder="1" applyAlignment="1">
      <alignment horizontal="center" vertical="center"/>
    </xf>
    <xf numFmtId="0" fontId="13" fillId="0" borderId="1" xfId="0" applyFont="1" applyBorder="1" applyAlignment="1">
      <alignment horizontal="justify" vertical="center" wrapText="1"/>
    </xf>
    <xf numFmtId="0" fontId="7" fillId="4" borderId="8" xfId="0" applyFont="1" applyFill="1" applyBorder="1" applyAlignment="1">
      <alignment horizontal="center" vertical="center"/>
    </xf>
    <xf numFmtId="0" fontId="7" fillId="4" borderId="6" xfId="0" applyFont="1" applyFill="1" applyBorder="1" applyAlignment="1">
      <alignment horizontal="center" vertical="center" wrapText="1"/>
    </xf>
    <xf numFmtId="0" fontId="3" fillId="7" borderId="13" xfId="0" applyFont="1" applyFill="1" applyBorder="1" applyAlignment="1">
      <alignment horizontal="justify" vertical="center" wrapText="1"/>
    </xf>
    <xf numFmtId="0" fontId="13" fillId="7" borderId="13" xfId="0" applyFont="1" applyFill="1" applyBorder="1" applyAlignment="1">
      <alignment horizontal="center" vertical="center" wrapText="1"/>
    </xf>
    <xf numFmtId="0" fontId="13" fillId="7" borderId="15" xfId="0" applyFont="1" applyFill="1" applyBorder="1" applyAlignment="1">
      <alignment horizontal="center" vertical="center" wrapText="1"/>
    </xf>
    <xf numFmtId="0" fontId="13" fillId="7" borderId="16" xfId="0" applyFont="1" applyFill="1" applyBorder="1" applyAlignment="1">
      <alignment horizontal="center" vertical="center" wrapText="1"/>
    </xf>
    <xf numFmtId="3" fontId="13" fillId="0" borderId="13" xfId="0" applyNumberFormat="1" applyFont="1" applyBorder="1" applyAlignment="1">
      <alignment horizontal="center" vertical="center" wrapText="1"/>
    </xf>
    <xf numFmtId="3" fontId="13" fillId="0" borderId="16" xfId="0" applyNumberFormat="1" applyFont="1" applyBorder="1" applyAlignment="1">
      <alignment horizontal="center" vertical="center" wrapText="1"/>
    </xf>
    <xf numFmtId="0" fontId="13" fillId="7" borderId="1" xfId="0" applyFont="1" applyFill="1" applyBorder="1" applyAlignment="1">
      <alignment horizontal="center" vertical="center" wrapText="1"/>
    </xf>
    <xf numFmtId="3"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7" borderId="1" xfId="0" applyFont="1" applyFill="1" applyBorder="1" applyAlignment="1">
      <alignment horizontal="center" vertical="center"/>
    </xf>
    <xf numFmtId="0" fontId="3" fillId="7" borderId="1" xfId="0" applyFont="1" applyFill="1" applyBorder="1" applyAlignment="1">
      <alignment horizontal="justify" vertical="center" wrapText="1"/>
    </xf>
    <xf numFmtId="0" fontId="13" fillId="0" borderId="13" xfId="0" applyFont="1" applyBorder="1" applyAlignment="1">
      <alignment horizontal="center" vertical="center"/>
    </xf>
    <xf numFmtId="0" fontId="5" fillId="7" borderId="0" xfId="0" applyFont="1" applyFill="1" applyAlignment="1">
      <alignment horizontal="center" vertical="center"/>
    </xf>
    <xf numFmtId="0" fontId="13" fillId="7" borderId="13" xfId="0" applyFont="1" applyFill="1" applyBorder="1" applyAlignment="1">
      <alignment horizontal="justify" vertical="center" wrapText="1"/>
    </xf>
    <xf numFmtId="0" fontId="13" fillId="7" borderId="15" xfId="0" applyFont="1" applyFill="1" applyBorder="1" applyAlignment="1">
      <alignment horizontal="justify" vertical="center" wrapText="1"/>
    </xf>
    <xf numFmtId="0" fontId="13" fillId="7" borderId="16" xfId="0" applyFont="1" applyFill="1" applyBorder="1" applyAlignment="1">
      <alignment horizontal="justify" vertical="center" wrapText="1"/>
    </xf>
    <xf numFmtId="0" fontId="13" fillId="7" borderId="13" xfId="0" applyFont="1" applyFill="1" applyBorder="1" applyAlignment="1">
      <alignment horizontal="center" vertical="center"/>
    </xf>
    <xf numFmtId="0" fontId="13" fillId="7" borderId="15" xfId="0" applyFont="1" applyFill="1" applyBorder="1" applyAlignment="1">
      <alignment horizontal="center" vertical="center"/>
    </xf>
    <xf numFmtId="43" fontId="13" fillId="7" borderId="13" xfId="1" applyFont="1" applyFill="1" applyBorder="1" applyAlignment="1">
      <alignment horizontal="right" vertical="center"/>
    </xf>
    <xf numFmtId="1" fontId="13" fillId="7" borderId="13" xfId="0" applyNumberFormat="1" applyFont="1" applyFill="1" applyBorder="1" applyAlignment="1">
      <alignment horizontal="center" vertical="center"/>
    </xf>
    <xf numFmtId="10" fontId="13" fillId="7" borderId="13" xfId="0" applyNumberFormat="1" applyFont="1" applyFill="1" applyBorder="1" applyAlignment="1">
      <alignment horizontal="center" vertical="center"/>
    </xf>
    <xf numFmtId="10" fontId="13" fillId="7" borderId="1" xfId="0" applyNumberFormat="1" applyFont="1" applyFill="1" applyBorder="1" applyAlignment="1">
      <alignment horizontal="center" vertical="center"/>
    </xf>
    <xf numFmtId="0" fontId="13" fillId="7" borderId="1" xfId="0" applyFont="1" applyFill="1" applyBorder="1" applyAlignment="1">
      <alignment horizontal="justify" vertical="center" wrapText="1"/>
    </xf>
    <xf numFmtId="1" fontId="13" fillId="7" borderId="15" xfId="0" applyNumberFormat="1" applyFont="1" applyFill="1" applyBorder="1" applyAlignment="1">
      <alignment horizontal="center" vertical="center" wrapText="1"/>
    </xf>
    <xf numFmtId="1" fontId="13" fillId="7" borderId="16" xfId="0" applyNumberFormat="1" applyFont="1" applyFill="1" applyBorder="1" applyAlignment="1">
      <alignment horizontal="center" vertical="center" wrapText="1"/>
    </xf>
    <xf numFmtId="3" fontId="13" fillId="7" borderId="1" xfId="0" applyNumberFormat="1" applyFont="1" applyFill="1" applyBorder="1" applyAlignment="1">
      <alignment horizontal="center" vertical="center" wrapText="1"/>
    </xf>
    <xf numFmtId="1" fontId="13" fillId="7" borderId="1" xfId="0" applyNumberFormat="1" applyFont="1" applyFill="1" applyBorder="1" applyAlignment="1">
      <alignment horizontal="center" vertical="center" wrapText="1"/>
    </xf>
    <xf numFmtId="1" fontId="13" fillId="7" borderId="13" xfId="0" applyNumberFormat="1" applyFont="1" applyFill="1" applyBorder="1" applyAlignment="1">
      <alignment horizontal="center" vertical="center" wrapText="1"/>
    </xf>
    <xf numFmtId="10" fontId="13" fillId="7" borderId="13" xfId="0" applyNumberFormat="1" applyFont="1" applyFill="1" applyBorder="1" applyAlignment="1">
      <alignment horizontal="center" vertical="center" wrapText="1"/>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3" fontId="7"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1" fontId="13" fillId="7" borderId="1" xfId="0" applyNumberFormat="1" applyFont="1" applyFill="1" applyBorder="1" applyAlignment="1">
      <alignment horizontal="center" vertical="center"/>
    </xf>
    <xf numFmtId="189" fontId="13" fillId="0" borderId="1" xfId="24" applyNumberFormat="1" applyFont="1" applyBorder="1" applyAlignment="1">
      <alignment horizontal="center" vertical="center" wrapText="1"/>
    </xf>
    <xf numFmtId="0" fontId="13" fillId="0" borderId="16" xfId="16" applyFont="1" applyBorder="1" applyAlignment="1">
      <alignment horizontal="center" vertical="center" wrapText="1"/>
    </xf>
    <xf numFmtId="0" fontId="13" fillId="7" borderId="17" xfId="0" applyFont="1" applyFill="1" applyBorder="1" applyAlignment="1">
      <alignment horizontal="justify" vertical="center" wrapText="1"/>
    </xf>
    <xf numFmtId="0" fontId="13" fillId="7" borderId="5" xfId="0" applyFont="1" applyFill="1" applyBorder="1" applyAlignment="1">
      <alignment horizontal="justify" vertical="center" wrapText="1"/>
    </xf>
    <xf numFmtId="2" fontId="13" fillId="7" borderId="1" xfId="0" applyNumberFormat="1" applyFont="1" applyFill="1" applyBorder="1" applyAlignment="1">
      <alignment horizontal="center" vertical="center" wrapText="1"/>
    </xf>
    <xf numFmtId="0" fontId="5" fillId="7" borderId="1" xfId="0" applyFont="1" applyFill="1" applyBorder="1" applyAlignment="1">
      <alignment horizontal="center" vertical="center"/>
    </xf>
    <xf numFmtId="0" fontId="5" fillId="0" borderId="1" xfId="0" applyFont="1" applyBorder="1" applyAlignment="1">
      <alignment horizontal="justify" vertical="center"/>
    </xf>
    <xf numFmtId="43" fontId="13" fillId="0" borderId="1" xfId="1" applyFont="1" applyBorder="1" applyAlignment="1">
      <alignment horizontal="center" vertical="center" wrapText="1"/>
    </xf>
    <xf numFmtId="43" fontId="13" fillId="0" borderId="13" xfId="1" applyFont="1" applyBorder="1" applyAlignment="1">
      <alignment horizontal="center" vertical="center" wrapText="1"/>
    </xf>
    <xf numFmtId="43" fontId="13" fillId="0" borderId="16" xfId="1" applyFont="1" applyBorder="1" applyAlignment="1">
      <alignment horizontal="center" vertical="center" wrapText="1"/>
    </xf>
    <xf numFmtId="43" fontId="13" fillId="0" borderId="15" xfId="1" applyFont="1" applyBorder="1" applyAlignment="1">
      <alignment horizontal="center" vertical="center" wrapText="1"/>
    </xf>
    <xf numFmtId="43" fontId="13" fillId="7" borderId="13" xfId="1" applyFont="1" applyFill="1" applyBorder="1" applyAlignment="1">
      <alignment horizontal="center" vertical="center" wrapText="1"/>
    </xf>
    <xf numFmtId="43" fontId="13" fillId="7" borderId="16" xfId="1" applyFont="1" applyFill="1" applyBorder="1" applyAlignment="1">
      <alignment horizontal="center" vertical="center" wrapText="1"/>
    </xf>
    <xf numFmtId="43" fontId="13" fillId="7" borderId="1" xfId="1" applyFont="1" applyFill="1" applyBorder="1" applyAlignment="1">
      <alignment horizontal="center" vertical="center" wrapText="1"/>
    </xf>
    <xf numFmtId="4" fontId="13" fillId="7" borderId="1" xfId="0" applyNumberFormat="1" applyFont="1" applyFill="1" applyBorder="1" applyAlignment="1">
      <alignment horizontal="center" vertical="center" wrapText="1"/>
    </xf>
    <xf numFmtId="4" fontId="3" fillId="7" borderId="13" xfId="1" applyNumberFormat="1" applyFont="1" applyFill="1" applyBorder="1" applyAlignment="1" applyProtection="1">
      <alignment horizontal="center" vertical="center" wrapText="1"/>
      <protection locked="0"/>
    </xf>
    <xf numFmtId="4" fontId="5" fillId="0" borderId="1" xfId="0" applyNumberFormat="1" applyFont="1" applyBorder="1" applyAlignment="1">
      <alignment vertical="center"/>
    </xf>
    <xf numFmtId="0" fontId="3" fillId="0" borderId="1" xfId="0" applyFont="1" applyBorder="1" applyAlignment="1">
      <alignment horizontal="justify" vertical="center" wrapText="1"/>
    </xf>
    <xf numFmtId="0" fontId="3" fillId="7" borderId="1" xfId="0" applyFont="1" applyFill="1" applyBorder="1" applyAlignment="1">
      <alignment horizontal="justify" vertical="center" wrapText="1"/>
    </xf>
    <xf numFmtId="43" fontId="13" fillId="17" borderId="7" xfId="1" applyFont="1" applyFill="1" applyBorder="1" applyAlignment="1">
      <alignment vertical="center"/>
    </xf>
    <xf numFmtId="43" fontId="13" fillId="0" borderId="6" xfId="1" applyFont="1" applyBorder="1" applyAlignment="1">
      <alignment horizontal="center" vertical="center" wrapText="1"/>
    </xf>
    <xf numFmtId="43" fontId="13" fillId="0" borderId="5" xfId="1" applyFont="1" applyBorder="1" applyAlignment="1">
      <alignment horizontal="center" vertical="center" wrapText="1"/>
    </xf>
    <xf numFmtId="43" fontId="13" fillId="0" borderId="21" xfId="1" applyFont="1" applyBorder="1" applyAlignment="1">
      <alignment vertical="center"/>
    </xf>
    <xf numFmtId="43" fontId="13" fillId="0" borderId="19" xfId="1" applyFont="1" applyBorder="1" applyAlignment="1">
      <alignment horizontal="center" vertical="center" wrapText="1"/>
    </xf>
    <xf numFmtId="43" fontId="5" fillId="17" borderId="7" xfId="1" applyFont="1" applyFill="1" applyBorder="1" applyAlignment="1">
      <alignment horizontal="justify" vertical="center"/>
    </xf>
    <xf numFmtId="43" fontId="13" fillId="17" borderId="4" xfId="1" applyFont="1" applyFill="1" applyBorder="1" applyAlignment="1">
      <alignment vertical="center"/>
    </xf>
    <xf numFmtId="43" fontId="5" fillId="17" borderId="7" xfId="1" applyFont="1" applyFill="1" applyBorder="1" applyAlignment="1">
      <alignment vertical="center"/>
    </xf>
    <xf numFmtId="43" fontId="13" fillId="17" borderId="13" xfId="1" applyFont="1" applyFill="1" applyBorder="1" applyAlignment="1">
      <alignment vertical="center"/>
    </xf>
    <xf numFmtId="43" fontId="13" fillId="8" borderId="2" xfId="1" applyFont="1" applyFill="1" applyBorder="1" applyAlignment="1">
      <alignment vertical="center"/>
    </xf>
    <xf numFmtId="43" fontId="13" fillId="0" borderId="8" xfId="1" applyFont="1" applyBorder="1" applyAlignment="1">
      <alignment horizontal="center" vertical="center" wrapText="1"/>
    </xf>
    <xf numFmtId="43" fontId="13" fillId="0" borderId="9" xfId="1" applyFont="1" applyBorder="1" applyAlignment="1">
      <alignment horizontal="center" vertical="center" wrapText="1"/>
    </xf>
    <xf numFmtId="43" fontId="5" fillId="8" borderId="7" xfId="1" applyFont="1" applyFill="1" applyBorder="1" applyAlignment="1">
      <alignment horizontal="justify" vertical="center"/>
    </xf>
    <xf numFmtId="43" fontId="5" fillId="17" borderId="4" xfId="1" applyFont="1" applyFill="1" applyBorder="1" applyAlignment="1">
      <alignment horizontal="justify" vertical="center"/>
    </xf>
    <xf numFmtId="43" fontId="13" fillId="0" borderId="1" xfId="1" applyFont="1" applyBorder="1" applyAlignment="1">
      <alignment horizontal="right" vertical="center"/>
    </xf>
    <xf numFmtId="43" fontId="13" fillId="0" borderId="34" xfId="1" applyFont="1" applyBorder="1" applyAlignment="1">
      <alignment horizontal="right"/>
    </xf>
    <xf numFmtId="43" fontId="13" fillId="0" borderId="19" xfId="1" applyFont="1" applyBorder="1" applyAlignment="1">
      <alignment horizontal="right"/>
    </xf>
    <xf numFmtId="43" fontId="13" fillId="0" borderId="15" xfId="1" applyFont="1" applyBorder="1" applyAlignment="1">
      <alignment vertical="center" wrapText="1"/>
    </xf>
    <xf numFmtId="43" fontId="13" fillId="17" borderId="2" xfId="1" applyFont="1" applyFill="1" applyBorder="1" applyAlignment="1">
      <alignment vertical="center"/>
    </xf>
    <xf numFmtId="43" fontId="13" fillId="7" borderId="1" xfId="1" quotePrefix="1" applyFont="1" applyFill="1" applyBorder="1" applyAlignment="1">
      <alignment vertical="center" wrapText="1"/>
    </xf>
    <xf numFmtId="43" fontId="13" fillId="0" borderId="1" xfId="1" quotePrefix="1" applyFont="1" applyBorder="1" applyAlignment="1">
      <alignment vertical="center" wrapText="1"/>
    </xf>
    <xf numFmtId="43" fontId="13" fillId="7" borderId="1" xfId="1" quotePrefix="1" applyFont="1" applyFill="1" applyBorder="1" applyAlignment="1">
      <alignment horizontal="center" vertical="center"/>
    </xf>
    <xf numFmtId="0" fontId="5" fillId="0" borderId="38" xfId="0" applyFont="1" applyBorder="1" applyAlignment="1">
      <alignment vertical="center" wrapText="1"/>
    </xf>
    <xf numFmtId="0" fontId="5" fillId="0" borderId="1" xfId="0" applyFont="1" applyBorder="1" applyAlignment="1">
      <alignment vertical="center" wrapText="1"/>
    </xf>
    <xf numFmtId="3" fontId="5" fillId="0" borderId="1" xfId="0" applyNumberFormat="1" applyFont="1" applyBorder="1" applyAlignment="1">
      <alignment vertical="center" wrapText="1"/>
    </xf>
    <xf numFmtId="0" fontId="5" fillId="3" borderId="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14" xfId="0" applyFont="1" applyBorder="1" applyAlignment="1">
      <alignment horizontal="center" vertical="center"/>
    </xf>
    <xf numFmtId="1" fontId="6" fillId="12" borderId="9" xfId="0" applyNumberFormat="1" applyFont="1" applyFill="1" applyBorder="1" applyAlignment="1">
      <alignment horizontal="center" vertical="center" wrapText="1"/>
    </xf>
    <xf numFmtId="1" fontId="6" fillId="12" borderId="18" xfId="0" applyNumberFormat="1" applyFont="1" applyFill="1" applyBorder="1" applyAlignment="1">
      <alignment horizontal="center" vertical="center" wrapText="1"/>
    </xf>
    <xf numFmtId="0" fontId="6" fillId="12" borderId="3" xfId="0" applyFont="1" applyFill="1" applyBorder="1" applyAlignment="1">
      <alignment horizontal="center" vertical="center" wrapText="1"/>
    </xf>
    <xf numFmtId="0" fontId="6" fillId="12" borderId="9" xfId="0" applyFont="1" applyFill="1" applyBorder="1" applyAlignment="1">
      <alignment horizontal="center" vertical="center" wrapText="1"/>
    </xf>
    <xf numFmtId="0" fontId="6" fillId="12" borderId="17" xfId="0" applyFont="1" applyFill="1" applyBorder="1" applyAlignment="1">
      <alignment horizontal="center" vertical="center" wrapText="1"/>
    </xf>
    <xf numFmtId="0" fontId="6" fillId="12" borderId="18" xfId="0" applyFont="1" applyFill="1" applyBorder="1" applyAlignment="1">
      <alignment horizontal="center" vertical="center" wrapText="1"/>
    </xf>
    <xf numFmtId="0" fontId="6" fillId="12" borderId="13" xfId="0" applyFont="1" applyFill="1" applyBorder="1" applyAlignment="1">
      <alignment horizontal="center" vertical="center" wrapText="1"/>
    </xf>
    <xf numFmtId="0" fontId="6" fillId="12" borderId="15" xfId="0" applyFont="1" applyFill="1" applyBorder="1" applyAlignment="1">
      <alignment horizontal="center" vertical="center" wrapText="1"/>
    </xf>
    <xf numFmtId="10" fontId="6" fillId="12" borderId="13" xfId="9" applyNumberFormat="1" applyFont="1" applyFill="1" applyBorder="1" applyAlignment="1">
      <alignment horizontal="center" vertical="center" wrapText="1"/>
    </xf>
    <xf numFmtId="10" fontId="6" fillId="12" borderId="15" xfId="9" applyNumberFormat="1" applyFont="1" applyFill="1" applyBorder="1" applyAlignment="1">
      <alignment horizontal="center" vertical="center" wrapText="1"/>
    </xf>
    <xf numFmtId="43" fontId="6" fillId="12" borderId="13" xfId="10" applyFont="1" applyFill="1" applyBorder="1" applyAlignment="1">
      <alignment horizontal="center" vertical="center" wrapText="1"/>
    </xf>
    <xf numFmtId="43" fontId="6" fillId="12" borderId="15" xfId="10" applyFont="1" applyFill="1" applyBorder="1" applyAlignment="1">
      <alignment horizontal="center" vertical="center" wrapText="1"/>
    </xf>
    <xf numFmtId="0" fontId="6" fillId="3" borderId="1" xfId="0" applyFont="1" applyFill="1" applyBorder="1" applyAlignment="1">
      <alignment horizontal="center" vertical="center" wrapText="1"/>
    </xf>
    <xf numFmtId="1" fontId="6" fillId="12" borderId="15"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8" xfId="0" applyFont="1" applyFill="1" applyBorder="1" applyAlignment="1">
      <alignment horizontal="center" vertical="center" wrapText="1"/>
    </xf>
    <xf numFmtId="3" fontId="5" fillId="4" borderId="6" xfId="0" applyNumberFormat="1" applyFont="1" applyFill="1" applyBorder="1" applyAlignment="1">
      <alignment horizontal="center" vertical="center" wrapText="1"/>
    </xf>
    <xf numFmtId="3" fontId="5" fillId="4" borderId="7" xfId="0" applyNumberFormat="1" applyFont="1" applyFill="1" applyBorder="1" applyAlignment="1">
      <alignment horizontal="center" vertical="center" wrapText="1"/>
    </xf>
    <xf numFmtId="3" fontId="5" fillId="4" borderId="8" xfId="0" applyNumberFormat="1"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165" fontId="7" fillId="3" borderId="10" xfId="4" applyFont="1" applyFill="1" applyBorder="1" applyAlignment="1">
      <alignment horizontal="center" vertical="center"/>
    </xf>
    <xf numFmtId="165" fontId="7" fillId="3" borderId="11" xfId="4" applyFont="1" applyFill="1" applyBorder="1" applyAlignment="1">
      <alignment horizontal="center" vertical="center"/>
    </xf>
    <xf numFmtId="165" fontId="7" fillId="3" borderId="12" xfId="4" applyFont="1" applyFill="1" applyBorder="1" applyAlignment="1">
      <alignment horizontal="center" vertical="center"/>
    </xf>
    <xf numFmtId="166" fontId="7" fillId="3" borderId="3" xfId="0" applyNumberFormat="1" applyFont="1" applyFill="1" applyBorder="1" applyAlignment="1">
      <alignment horizontal="center" vertical="center" wrapText="1"/>
    </xf>
    <xf numFmtId="166" fontId="7" fillId="3" borderId="9" xfId="0" applyNumberFormat="1" applyFont="1" applyFill="1" applyBorder="1" applyAlignment="1">
      <alignment horizontal="center" vertical="center" wrapText="1"/>
    </xf>
    <xf numFmtId="166" fontId="7" fillId="3" borderId="5" xfId="0" applyNumberFormat="1" applyFont="1" applyFill="1" applyBorder="1" applyAlignment="1">
      <alignment horizontal="center" vertical="center" wrapText="1"/>
    </xf>
    <xf numFmtId="166" fontId="7" fillId="3" borderId="14" xfId="0" applyNumberFormat="1" applyFont="1" applyFill="1" applyBorder="1" applyAlignment="1">
      <alignment horizontal="center" vertical="center" wrapText="1"/>
    </xf>
    <xf numFmtId="166" fontId="4" fillId="3" borderId="13" xfId="0" applyNumberFormat="1" applyFont="1" applyFill="1" applyBorder="1" applyAlignment="1">
      <alignment horizontal="center" vertical="center" wrapText="1"/>
    </xf>
    <xf numFmtId="166" fontId="4" fillId="3" borderId="15" xfId="0" applyNumberFormat="1" applyFont="1" applyFill="1" applyBorder="1" applyAlignment="1">
      <alignment horizontal="center" vertical="center" wrapText="1"/>
    </xf>
    <xf numFmtId="166" fontId="4" fillId="3" borderId="16" xfId="0" applyNumberFormat="1" applyFont="1" applyFill="1" applyBorder="1" applyAlignment="1">
      <alignment horizontal="center" vertical="center" wrapText="1"/>
    </xf>
    <xf numFmtId="166" fontId="5" fillId="3" borderId="13" xfId="0" applyNumberFormat="1" applyFont="1" applyFill="1" applyBorder="1" applyAlignment="1">
      <alignment horizontal="center" vertical="center" wrapText="1"/>
    </xf>
    <xf numFmtId="166" fontId="5" fillId="3" borderId="15" xfId="0" applyNumberFormat="1" applyFont="1" applyFill="1" applyBorder="1" applyAlignment="1">
      <alignment horizontal="center" vertical="center" wrapText="1"/>
    </xf>
    <xf numFmtId="166" fontId="5" fillId="3" borderId="16" xfId="0" applyNumberFormat="1" applyFont="1" applyFill="1" applyBorder="1" applyAlignment="1">
      <alignment horizontal="center" vertical="center" wrapText="1"/>
    </xf>
    <xf numFmtId="9" fontId="5" fillId="3" borderId="13" xfId="3" applyFont="1" applyFill="1" applyBorder="1" applyAlignment="1">
      <alignment horizontal="center" vertical="center" wrapText="1"/>
    </xf>
    <xf numFmtId="9" fontId="5" fillId="3" borderId="15" xfId="3" applyFont="1" applyFill="1" applyBorder="1" applyAlignment="1">
      <alignment horizontal="center" vertical="center" wrapText="1"/>
    </xf>
    <xf numFmtId="9" fontId="5" fillId="3" borderId="16" xfId="3"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3" fontId="6" fillId="12" borderId="13" xfId="0" applyNumberFormat="1" applyFont="1" applyFill="1" applyBorder="1" applyAlignment="1">
      <alignment horizontal="center" vertical="center" wrapText="1"/>
    </xf>
    <xf numFmtId="3" fontId="6" fillId="12" borderId="15" xfId="0" applyNumberFormat="1" applyFont="1" applyFill="1" applyBorder="1" applyAlignment="1">
      <alignment horizontal="center" vertical="center" wrapText="1"/>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4" fillId="5" borderId="13"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1" xfId="0" applyFont="1" applyFill="1" applyBorder="1" applyAlignment="1">
      <alignment horizontal="center" vertical="center" wrapText="1"/>
    </xf>
    <xf numFmtId="3" fontId="4" fillId="5" borderId="1" xfId="0" applyNumberFormat="1" applyFont="1" applyFill="1" applyBorder="1" applyAlignment="1">
      <alignment horizontal="center" vertical="center" wrapText="1"/>
    </xf>
    <xf numFmtId="9" fontId="4" fillId="5" borderId="1" xfId="3" applyFont="1" applyFill="1" applyBorder="1" applyAlignment="1">
      <alignment horizontal="center" vertical="center" wrapText="1"/>
    </xf>
    <xf numFmtId="3" fontId="3" fillId="0" borderId="13" xfId="0" applyNumberFormat="1" applyFont="1" applyBorder="1" applyAlignment="1">
      <alignment horizontal="center" vertical="center"/>
    </xf>
    <xf numFmtId="3" fontId="3" fillId="0" borderId="15" xfId="0" applyNumberFormat="1" applyFont="1" applyBorder="1" applyAlignment="1">
      <alignment horizontal="center" vertical="center"/>
    </xf>
    <xf numFmtId="3" fontId="3" fillId="0" borderId="16"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7" borderId="1" xfId="0" applyFont="1" applyFill="1" applyBorder="1" applyAlignment="1">
      <alignment horizontal="center" vertical="center" wrapText="1"/>
    </xf>
    <xf numFmtId="9" fontId="3" fillId="0" borderId="1" xfId="9" applyFont="1" applyBorder="1" applyAlignment="1">
      <alignment horizontal="center" vertical="center" wrapText="1"/>
    </xf>
    <xf numFmtId="43" fontId="3" fillId="0" borderId="1" xfId="10" applyFont="1" applyBorder="1" applyAlignment="1">
      <alignment horizontal="center" vertical="center" wrapText="1"/>
    </xf>
    <xf numFmtId="3" fontId="3" fillId="0" borderId="1" xfId="0" applyNumberFormat="1" applyFont="1" applyBorder="1" applyAlignment="1">
      <alignment horizontal="center" vertical="center"/>
    </xf>
    <xf numFmtId="166" fontId="3" fillId="0" borderId="13" xfId="0" applyNumberFormat="1" applyFont="1" applyBorder="1" applyAlignment="1">
      <alignment horizontal="center" vertical="center" wrapText="1"/>
    </xf>
    <xf numFmtId="166" fontId="3" fillId="0" borderId="15" xfId="0" applyNumberFormat="1" applyFont="1" applyBorder="1" applyAlignment="1">
      <alignment horizontal="center" vertical="center" wrapText="1"/>
    </xf>
    <xf numFmtId="166" fontId="3" fillId="0" borderId="16" xfId="0" applyNumberFormat="1" applyFont="1" applyBorder="1" applyAlignment="1">
      <alignment horizontal="center" vertical="center" wrapText="1"/>
    </xf>
    <xf numFmtId="3" fontId="3" fillId="0" borderId="39" xfId="0" applyNumberFormat="1" applyFont="1" applyBorder="1" applyAlignment="1">
      <alignment horizontal="center" vertical="center" wrapText="1"/>
    </xf>
    <xf numFmtId="9" fontId="3" fillId="0" borderId="1" xfId="3" applyFont="1" applyBorder="1" applyAlignment="1">
      <alignment horizontal="center" vertical="center"/>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13" xfId="0" applyFont="1" applyFill="1" applyBorder="1" applyAlignment="1">
      <alignment horizontal="justify" vertical="center" wrapText="1"/>
    </xf>
    <xf numFmtId="0" fontId="3" fillId="2" borderId="15" xfId="0" applyFont="1" applyFill="1" applyBorder="1" applyAlignment="1">
      <alignment horizontal="justify" vertical="center" wrapText="1"/>
    </xf>
    <xf numFmtId="0" fontId="3" fillId="2" borderId="29" xfId="0" applyFont="1" applyFill="1" applyBorder="1" applyAlignment="1">
      <alignment horizontal="justify" vertical="center" wrapText="1"/>
    </xf>
    <xf numFmtId="43" fontId="3" fillId="2" borderId="13" xfId="10" applyFont="1" applyFill="1" applyBorder="1" applyAlignment="1">
      <alignment horizontal="center" vertical="center" wrapText="1"/>
    </xf>
    <xf numFmtId="43" fontId="3" fillId="2" borderId="15" xfId="10" applyFont="1" applyFill="1" applyBorder="1" applyAlignment="1">
      <alignment horizontal="center" vertical="center" wrapText="1"/>
    </xf>
    <xf numFmtId="43" fontId="3" fillId="2" borderId="29" xfId="10" applyFont="1" applyFill="1" applyBorder="1" applyAlignment="1">
      <alignment horizontal="center" vertical="center" wrapText="1"/>
    </xf>
    <xf numFmtId="3" fontId="3" fillId="0" borderId="29" xfId="0" applyNumberFormat="1" applyFont="1" applyBorder="1" applyAlignment="1">
      <alignment horizontal="center" vertical="center"/>
    </xf>
    <xf numFmtId="10" fontId="3" fillId="2" borderId="13" xfId="9" applyNumberFormat="1" applyFont="1" applyFill="1" applyBorder="1" applyAlignment="1">
      <alignment horizontal="center" vertical="center" wrapText="1"/>
    </xf>
    <xf numFmtId="10" fontId="3" fillId="2" borderId="16" xfId="9" applyNumberFormat="1" applyFont="1" applyFill="1" applyBorder="1" applyAlignment="1">
      <alignment horizontal="center" vertical="center" wrapText="1"/>
    </xf>
    <xf numFmtId="3" fontId="3" fillId="0" borderId="13" xfId="0" applyNumberFormat="1" applyFont="1" applyBorder="1" applyAlignment="1" applyProtection="1">
      <alignment horizontal="center" vertical="center" wrapText="1"/>
    </xf>
    <xf numFmtId="3" fontId="3" fillId="0" borderId="15" xfId="0" applyNumberFormat="1" applyFont="1" applyBorder="1" applyAlignment="1" applyProtection="1">
      <alignment horizontal="center" vertical="center" wrapText="1"/>
    </xf>
    <xf numFmtId="3" fontId="3" fillId="0" borderId="16" xfId="0" applyNumberFormat="1" applyFont="1" applyBorder="1" applyAlignment="1" applyProtection="1">
      <alignment horizontal="center" vertical="center" wrapText="1"/>
    </xf>
    <xf numFmtId="0" fontId="6" fillId="0" borderId="0" xfId="0" applyFont="1" applyAlignment="1">
      <alignment horizontal="center"/>
    </xf>
    <xf numFmtId="0" fontId="3" fillId="0" borderId="0" xfId="0" applyFont="1" applyAlignment="1">
      <alignment horizontal="center"/>
    </xf>
    <xf numFmtId="166" fontId="3" fillId="2" borderId="13" xfId="0" applyNumberFormat="1" applyFont="1" applyFill="1" applyBorder="1" applyAlignment="1">
      <alignment horizontal="center" vertical="center" wrapText="1"/>
    </xf>
    <xf numFmtId="166" fontId="3" fillId="2" borderId="15" xfId="0" applyNumberFormat="1" applyFont="1" applyFill="1" applyBorder="1" applyAlignment="1">
      <alignment horizontal="center" vertical="center" wrapText="1"/>
    </xf>
    <xf numFmtId="166" fontId="3" fillId="2" borderId="29"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9" fontId="3" fillId="0" borderId="40" xfId="3" applyFont="1" applyBorder="1" applyAlignment="1">
      <alignment horizontal="center" vertical="center"/>
    </xf>
    <xf numFmtId="3" fontId="3" fillId="0" borderId="13"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29"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6" fillId="0" borderId="13" xfId="0" applyFont="1" applyBorder="1" applyAlignment="1">
      <alignment horizontal="center" vertical="center"/>
    </xf>
    <xf numFmtId="1" fontId="5" fillId="3" borderId="1" xfId="0" applyNumberFormat="1" applyFont="1" applyFill="1" applyBorder="1" applyAlignment="1">
      <alignment horizontal="center" vertical="center" wrapText="1"/>
    </xf>
    <xf numFmtId="170" fontId="5" fillId="3" borderId="1" xfId="0" applyNumberFormat="1" applyFont="1" applyFill="1" applyBorder="1" applyAlignment="1">
      <alignment horizontal="center" vertical="center" wrapText="1"/>
    </xf>
    <xf numFmtId="169" fontId="5" fillId="3" borderId="1" xfId="0" applyNumberFormat="1" applyFont="1" applyFill="1" applyBorder="1" applyAlignment="1">
      <alignment horizontal="center" vertical="center" wrapText="1"/>
    </xf>
    <xf numFmtId="0" fontId="5" fillId="3" borderId="1" xfId="0" applyFont="1" applyFill="1" applyBorder="1" applyAlignment="1">
      <alignment horizontal="justify" vertical="center" wrapText="1"/>
    </xf>
    <xf numFmtId="41" fontId="5" fillId="3" borderId="3" xfId="11" applyFont="1" applyFill="1" applyBorder="1" applyAlignment="1">
      <alignment horizontal="center" vertical="center" wrapText="1"/>
    </xf>
    <xf numFmtId="41" fontId="5" fillId="3" borderId="4" xfId="11" applyFont="1" applyFill="1" applyBorder="1" applyAlignment="1">
      <alignment horizontal="center" vertical="center" wrapText="1"/>
    </xf>
    <xf numFmtId="41" fontId="5" fillId="3" borderId="9" xfId="11" applyFont="1" applyFill="1" applyBorder="1" applyAlignment="1">
      <alignment horizontal="center" vertical="center" wrapText="1"/>
    </xf>
    <xf numFmtId="41" fontId="5" fillId="3" borderId="17" xfId="11" applyFont="1" applyFill="1" applyBorder="1" applyAlignment="1">
      <alignment horizontal="center" vertical="center" wrapText="1"/>
    </xf>
    <xf numFmtId="41" fontId="5" fillId="3" borderId="0" xfId="11" applyFont="1" applyFill="1" applyBorder="1" applyAlignment="1">
      <alignment horizontal="center" vertical="center" wrapText="1"/>
    </xf>
    <xf numFmtId="41" fontId="5" fillId="3" borderId="18" xfId="11"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4" xfId="0" applyFont="1" applyFill="1" applyBorder="1" applyAlignment="1">
      <alignment horizontal="center" vertical="center" wrapText="1"/>
    </xf>
    <xf numFmtId="167" fontId="5" fillId="3" borderId="43" xfId="0" applyNumberFormat="1" applyFont="1" applyFill="1" applyBorder="1" applyAlignment="1">
      <alignment horizontal="center" vertical="center" wrapText="1"/>
    </xf>
    <xf numFmtId="167" fontId="5" fillId="3" borderId="44" xfId="0" applyNumberFormat="1" applyFont="1" applyFill="1" applyBorder="1" applyAlignment="1">
      <alignment horizontal="center" vertical="center" wrapText="1"/>
    </xf>
    <xf numFmtId="167" fontId="5" fillId="3" borderId="5" xfId="0" applyNumberFormat="1" applyFont="1" applyFill="1" applyBorder="1" applyAlignment="1">
      <alignment horizontal="center" vertical="center" wrapText="1"/>
    </xf>
    <xf numFmtId="167" fontId="5" fillId="3" borderId="14" xfId="0" applyNumberFormat="1" applyFont="1" applyFill="1" applyBorder="1" applyAlignment="1">
      <alignment horizontal="center" vertical="center" wrapText="1"/>
    </xf>
    <xf numFmtId="3" fontId="5" fillId="3" borderId="35" xfId="0" applyNumberFormat="1" applyFont="1" applyFill="1" applyBorder="1" applyAlignment="1">
      <alignment horizontal="center" vertical="center" wrapText="1"/>
    </xf>
    <xf numFmtId="3" fontId="5" fillId="3" borderId="16" xfId="0" applyNumberFormat="1" applyFont="1" applyFill="1" applyBorder="1" applyAlignment="1">
      <alignment horizontal="center" vertical="center" wrapText="1"/>
    </xf>
    <xf numFmtId="0" fontId="5" fillId="3" borderId="6" xfId="0" applyFont="1" applyFill="1" applyBorder="1" applyAlignment="1">
      <alignment horizontal="center" vertical="center" textRotation="90" wrapText="1"/>
    </xf>
    <xf numFmtId="0" fontId="5" fillId="3" borderId="8" xfId="0" applyFont="1" applyFill="1" applyBorder="1" applyAlignment="1">
      <alignment horizontal="center" vertical="center" textRotation="90" wrapText="1"/>
    </xf>
    <xf numFmtId="49" fontId="5" fillId="3" borderId="6" xfId="0" applyNumberFormat="1" applyFont="1" applyFill="1" applyBorder="1" applyAlignment="1">
      <alignment horizontal="center" vertical="center" textRotation="90" wrapText="1"/>
    </xf>
    <xf numFmtId="49" fontId="5" fillId="3" borderId="8" xfId="0" applyNumberFormat="1" applyFont="1" applyFill="1" applyBorder="1" applyAlignment="1">
      <alignment horizontal="center" vertical="center" textRotation="90"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9" xfId="0" applyFont="1" applyFill="1" applyBorder="1" applyAlignment="1">
      <alignment horizontal="center" vertical="center" wrapText="1"/>
    </xf>
    <xf numFmtId="9" fontId="4" fillId="5" borderId="1" xfId="9" applyFont="1" applyFill="1" applyBorder="1" applyAlignment="1">
      <alignment horizontal="center" vertical="center" wrapText="1"/>
    </xf>
    <xf numFmtId="0" fontId="5" fillId="3" borderId="1" xfId="0" applyFont="1" applyFill="1" applyBorder="1" applyAlignment="1">
      <alignment horizontal="center" vertical="center" textRotation="90" wrapText="1"/>
    </xf>
    <xf numFmtId="167" fontId="5" fillId="4" borderId="3" xfId="0" applyNumberFormat="1" applyFont="1" applyFill="1" applyBorder="1" applyAlignment="1">
      <alignment horizontal="center" vertical="center" textRotation="90" wrapText="1"/>
    </xf>
    <xf numFmtId="167" fontId="5" fillId="4" borderId="9" xfId="0" applyNumberFormat="1" applyFont="1" applyFill="1" applyBorder="1" applyAlignment="1">
      <alignment horizontal="center" vertical="center" textRotation="90" wrapText="1"/>
    </xf>
    <xf numFmtId="167" fontId="5" fillId="4" borderId="17" xfId="0" applyNumberFormat="1" applyFont="1" applyFill="1" applyBorder="1" applyAlignment="1">
      <alignment horizontal="center" vertical="center" textRotation="90" wrapText="1"/>
    </xf>
    <xf numFmtId="167" fontId="5" fillId="4" borderId="18" xfId="0" applyNumberFormat="1" applyFont="1" applyFill="1" applyBorder="1" applyAlignment="1">
      <alignment horizontal="center" vertical="center" textRotation="90" wrapText="1"/>
    </xf>
    <xf numFmtId="9" fontId="3" fillId="0" borderId="6" xfId="7" applyFont="1" applyBorder="1" applyAlignment="1">
      <alignment horizontal="center" vertical="center" wrapText="1"/>
    </xf>
    <xf numFmtId="43" fontId="3" fillId="0" borderId="1" xfId="6" applyFont="1" applyBorder="1" applyAlignment="1">
      <alignment horizontal="center" vertical="center" wrapText="1"/>
    </xf>
    <xf numFmtId="0" fontId="3" fillId="0" borderId="1" xfId="6" applyNumberFormat="1" applyFont="1" applyBorder="1" applyAlignment="1">
      <alignment horizontal="center" vertical="center"/>
    </xf>
    <xf numFmtId="0" fontId="5" fillId="6" borderId="7" xfId="0" applyFont="1" applyFill="1" applyBorder="1" applyAlignment="1">
      <alignment horizontal="left" vertical="center"/>
    </xf>
    <xf numFmtId="0" fontId="6" fillId="8" borderId="7" xfId="0" applyFont="1" applyFill="1" applyBorder="1" applyAlignment="1">
      <alignment horizontal="left" vertical="center"/>
    </xf>
    <xf numFmtId="0" fontId="3" fillId="0" borderId="13"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16" xfId="0" applyFont="1" applyBorder="1" applyAlignment="1">
      <alignment horizontal="justify" vertical="center" wrapText="1"/>
    </xf>
    <xf numFmtId="0" fontId="3" fillId="0" borderId="13" xfId="6" applyNumberFormat="1" applyFont="1" applyBorder="1" applyAlignment="1">
      <alignment horizontal="center" vertical="center"/>
    </xf>
    <xf numFmtId="0" fontId="3" fillId="0" borderId="15" xfId="6" applyNumberFormat="1" applyFont="1" applyBorder="1" applyAlignment="1">
      <alignment horizontal="center" vertical="center"/>
    </xf>
    <xf numFmtId="0" fontId="3" fillId="0" borderId="16" xfId="6" applyNumberFormat="1" applyFont="1" applyBorder="1" applyAlignment="1">
      <alignment horizontal="center" vertical="center"/>
    </xf>
    <xf numFmtId="0" fontId="3" fillId="0" borderId="1" xfId="6" applyNumberFormat="1" applyFont="1" applyBorder="1" applyAlignment="1">
      <alignment vertical="center" wrapText="1"/>
    </xf>
    <xf numFmtId="0" fontId="6" fillId="9" borderId="7" xfId="0" applyFont="1" applyFill="1" applyBorder="1" applyAlignment="1">
      <alignment horizontal="left"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43" fontId="3" fillId="0" borderId="1" xfId="6" applyNumberFormat="1" applyFont="1" applyBorder="1" applyAlignment="1">
      <alignment horizontal="center" vertical="center"/>
    </xf>
    <xf numFmtId="9" fontId="3" fillId="0" borderId="1" xfId="7" applyFont="1" applyBorder="1" applyAlignment="1">
      <alignment horizontal="center" vertical="center"/>
    </xf>
    <xf numFmtId="43" fontId="3" fillId="0" borderId="1" xfId="6" applyFont="1" applyBorder="1" applyAlignment="1">
      <alignment horizontal="center" vertical="center"/>
    </xf>
    <xf numFmtId="1" fontId="3" fillId="0" borderId="1" xfId="0" applyNumberFormat="1" applyFont="1" applyBorder="1" applyAlignment="1">
      <alignment horizontal="justify" vertical="center" wrapText="1"/>
    </xf>
    <xf numFmtId="172"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wrapText="1"/>
    </xf>
    <xf numFmtId="0" fontId="13" fillId="0" borderId="1" xfId="0" applyFont="1" applyBorder="1" applyAlignment="1">
      <alignment horizontal="justify" vertical="center" wrapText="1"/>
    </xf>
    <xf numFmtId="0" fontId="3" fillId="0" borderId="1" xfId="6" applyNumberFormat="1" applyFont="1" applyBorder="1" applyAlignment="1">
      <alignment horizontal="center" vertical="center" wrapText="1"/>
    </xf>
    <xf numFmtId="0" fontId="3" fillId="0" borderId="8" xfId="6" applyNumberFormat="1" applyFont="1" applyBorder="1" applyAlignment="1">
      <alignment horizontal="center" vertical="center"/>
    </xf>
    <xf numFmtId="0" fontId="6" fillId="15" borderId="7" xfId="0" applyFont="1" applyFill="1" applyBorder="1" applyAlignment="1">
      <alignment horizontal="left" vertical="center"/>
    </xf>
    <xf numFmtId="1" fontId="3" fillId="0" borderId="1" xfId="0" applyNumberFormat="1" applyFont="1" applyBorder="1" applyAlignment="1">
      <alignment horizontal="center" vertical="center"/>
    </xf>
    <xf numFmtId="0" fontId="3" fillId="0" borderId="1" xfId="0" applyFont="1" applyBorder="1" applyAlignment="1">
      <alignment vertical="center"/>
    </xf>
    <xf numFmtId="1" fontId="3" fillId="0" borderId="1" xfId="0" applyNumberFormat="1" applyFont="1" applyBorder="1" applyAlignment="1">
      <alignment vertical="center" wrapText="1"/>
    </xf>
    <xf numFmtId="0" fontId="6" fillId="16" borderId="7" xfId="0" applyFont="1" applyFill="1" applyBorder="1" applyAlignment="1">
      <alignment horizontal="left" vertical="center"/>
    </xf>
    <xf numFmtId="1" fontId="3" fillId="0" borderId="6" xfId="0" applyNumberFormat="1" applyFont="1" applyBorder="1" applyAlignment="1">
      <alignment horizontal="center" vertical="center" wrapText="1"/>
    </xf>
    <xf numFmtId="170" fontId="3" fillId="0" borderId="13" xfId="0" applyNumberFormat="1" applyFont="1" applyBorder="1" applyAlignment="1">
      <alignment horizontal="center" vertical="center" wrapText="1"/>
    </xf>
    <xf numFmtId="170" fontId="3" fillId="0" borderId="15" xfId="0" applyNumberFormat="1" applyFont="1" applyBorder="1" applyAlignment="1">
      <alignment horizontal="center" vertical="center" wrapText="1"/>
    </xf>
    <xf numFmtId="43" fontId="3" fillId="0" borderId="1" xfId="1" applyFont="1" applyBorder="1" applyAlignment="1">
      <alignment horizontal="center" vertical="center"/>
    </xf>
    <xf numFmtId="0" fontId="3" fillId="0" borderId="9" xfId="0" applyFont="1" applyBorder="1" applyAlignment="1">
      <alignment horizontal="justify" vertical="center" wrapText="1"/>
    </xf>
    <xf numFmtId="0" fontId="3" fillId="0" borderId="18" xfId="0" applyFont="1" applyBorder="1" applyAlignment="1">
      <alignment horizontal="justify" vertical="center" wrapText="1"/>
    </xf>
    <xf numFmtId="43" fontId="3" fillId="0" borderId="13" xfId="6" applyFont="1" applyBorder="1" applyAlignment="1">
      <alignment horizontal="center" vertical="center" wrapText="1"/>
    </xf>
    <xf numFmtId="43" fontId="3" fillId="0" borderId="15" xfId="6" applyFont="1" applyBorder="1" applyAlignment="1">
      <alignment horizontal="center" vertical="center" wrapText="1"/>
    </xf>
    <xf numFmtId="0" fontId="3" fillId="0" borderId="6" xfId="0" applyFont="1" applyBorder="1" applyAlignment="1">
      <alignment horizontal="justify" vertical="center" wrapText="1"/>
    </xf>
    <xf numFmtId="1" fontId="3" fillId="0" borderId="13" xfId="6" applyNumberFormat="1" applyFont="1" applyBorder="1" applyAlignment="1">
      <alignment horizontal="center" vertical="center"/>
    </xf>
    <xf numFmtId="1" fontId="3" fillId="0" borderId="15" xfId="6" applyNumberFormat="1" applyFont="1" applyBorder="1" applyAlignment="1">
      <alignment horizontal="center" vertical="center"/>
    </xf>
    <xf numFmtId="1" fontId="3" fillId="0" borderId="18" xfId="6" applyNumberFormat="1" applyFont="1" applyBorder="1" applyAlignment="1">
      <alignment horizontal="center" vertical="center"/>
    </xf>
    <xf numFmtId="1" fontId="3" fillId="0" borderId="14" xfId="6" applyNumberFormat="1" applyFont="1" applyBorder="1" applyAlignment="1">
      <alignment horizontal="center" vertical="center"/>
    </xf>
    <xf numFmtId="1" fontId="3" fillId="0" borderId="13" xfId="6" applyNumberFormat="1" applyFont="1" applyBorder="1" applyAlignment="1">
      <alignment horizontal="center" vertical="center" wrapText="1"/>
    </xf>
    <xf numFmtId="1" fontId="3" fillId="0" borderId="15" xfId="6" applyNumberFormat="1" applyFont="1" applyBorder="1" applyAlignment="1">
      <alignment horizontal="center" vertical="center" wrapText="1"/>
    </xf>
    <xf numFmtId="1" fontId="3" fillId="0" borderId="16" xfId="6" applyNumberFormat="1" applyFont="1" applyBorder="1" applyAlignment="1">
      <alignment horizontal="center" vertical="center" wrapText="1"/>
    </xf>
    <xf numFmtId="1" fontId="3" fillId="0" borderId="3" xfId="6" applyNumberFormat="1" applyFont="1" applyBorder="1" applyAlignment="1">
      <alignment horizontal="center" vertical="center" wrapText="1"/>
    </xf>
    <xf numFmtId="1" fontId="3" fillId="0" borderId="17" xfId="6" applyNumberFormat="1" applyFont="1" applyBorder="1" applyAlignment="1">
      <alignment horizontal="center" vertical="center" wrapText="1"/>
    </xf>
    <xf numFmtId="1" fontId="3" fillId="0" borderId="5" xfId="6" applyNumberFormat="1" applyFont="1" applyBorder="1" applyAlignment="1">
      <alignment horizontal="center" vertical="center" wrapText="1"/>
    </xf>
    <xf numFmtId="0" fontId="13" fillId="0" borderId="13" xfId="0" applyFont="1" applyBorder="1" applyAlignment="1">
      <alignment horizontal="justify" vertical="center" wrapText="1"/>
    </xf>
    <xf numFmtId="0" fontId="13" fillId="0" borderId="16" xfId="0" applyFont="1" applyBorder="1" applyAlignment="1">
      <alignment horizontal="justify" vertical="center" wrapText="1"/>
    </xf>
    <xf numFmtId="0" fontId="13" fillId="0" borderId="5" xfId="0" applyFont="1" applyBorder="1" applyAlignment="1">
      <alignment horizontal="justify" vertical="center" wrapText="1"/>
    </xf>
    <xf numFmtId="1" fontId="3" fillId="0" borderId="1" xfId="6" applyNumberFormat="1" applyFont="1" applyBorder="1" applyAlignment="1">
      <alignment horizontal="center" vertical="center" wrapText="1"/>
    </xf>
    <xf numFmtId="172" fontId="3" fillId="0" borderId="13" xfId="0" applyNumberFormat="1" applyFont="1" applyBorder="1" applyAlignment="1">
      <alignment horizontal="center" vertical="center"/>
    </xf>
    <xf numFmtId="172" fontId="3" fillId="0" borderId="15" xfId="0" applyNumberFormat="1" applyFont="1" applyBorder="1" applyAlignment="1">
      <alignment horizontal="center" vertical="center"/>
    </xf>
    <xf numFmtId="172" fontId="3" fillId="0" borderId="16" xfId="0" applyNumberFormat="1" applyFont="1" applyBorder="1" applyAlignment="1">
      <alignment horizontal="center" vertical="center"/>
    </xf>
    <xf numFmtId="1" fontId="3" fillId="0" borderId="13" xfId="0" applyNumberFormat="1" applyFont="1" applyBorder="1" applyAlignment="1">
      <alignment horizontal="center" vertical="center" wrapText="1"/>
    </xf>
    <xf numFmtId="1" fontId="3" fillId="0" borderId="15" xfId="0" applyNumberFormat="1" applyFont="1" applyBorder="1" applyAlignment="1">
      <alignment horizontal="center" vertical="center" wrapText="1"/>
    </xf>
    <xf numFmtId="1" fontId="3" fillId="0" borderId="16" xfId="0" applyNumberFormat="1" applyFont="1" applyBorder="1" applyAlignment="1">
      <alignment horizontal="center" vertical="center" wrapText="1"/>
    </xf>
    <xf numFmtId="0" fontId="13" fillId="0" borderId="13" xfId="0" applyFont="1" applyFill="1" applyBorder="1" applyAlignment="1">
      <alignment horizontal="justify" vertical="center" wrapText="1"/>
    </xf>
    <xf numFmtId="0" fontId="13" fillId="0" borderId="16" xfId="0" applyFont="1" applyFill="1" applyBorder="1" applyAlignment="1">
      <alignment horizontal="justify" vertical="center" wrapText="1"/>
    </xf>
    <xf numFmtId="0" fontId="13" fillId="0" borderId="1" xfId="0" applyFont="1" applyFill="1" applyBorder="1" applyAlignment="1">
      <alignment horizontal="justify" vertical="center" wrapText="1"/>
    </xf>
    <xf numFmtId="1" fontId="3" fillId="0" borderId="13" xfId="0" applyNumberFormat="1" applyFont="1" applyBorder="1" applyAlignment="1">
      <alignment horizontal="center" vertical="center"/>
    </xf>
    <xf numFmtId="1" fontId="3" fillId="0" borderId="15" xfId="0" applyNumberFormat="1" applyFont="1" applyBorder="1" applyAlignment="1">
      <alignment horizontal="center" vertical="center"/>
    </xf>
    <xf numFmtId="9" fontId="3" fillId="0" borderId="13" xfId="7" applyFont="1" applyBorder="1" applyAlignment="1">
      <alignment horizontal="center" vertical="center"/>
    </xf>
    <xf numFmtId="9" fontId="3" fillId="0" borderId="15" xfId="7" applyFont="1" applyBorder="1" applyAlignment="1">
      <alignment horizontal="center" vertical="center"/>
    </xf>
    <xf numFmtId="9" fontId="3" fillId="0" borderId="13" xfId="3" applyFont="1" applyBorder="1" applyAlignment="1">
      <alignment horizontal="center" vertical="center" wrapText="1"/>
    </xf>
    <xf numFmtId="9" fontId="3" fillId="0" borderId="15" xfId="3" applyFont="1" applyBorder="1" applyAlignment="1">
      <alignment horizontal="center" vertical="center" wrapText="1"/>
    </xf>
    <xf numFmtId="9" fontId="3" fillId="0" borderId="16" xfId="3" applyFont="1" applyBorder="1" applyAlignment="1">
      <alignment horizontal="center" vertical="center" wrapText="1"/>
    </xf>
    <xf numFmtId="43" fontId="3" fillId="0" borderId="13" xfId="1" applyFont="1" applyBorder="1" applyAlignment="1">
      <alignment horizontal="center" vertical="center" wrapText="1"/>
    </xf>
    <xf numFmtId="43" fontId="3" fillId="0" borderId="15" xfId="1" applyFont="1" applyBorder="1" applyAlignment="1">
      <alignment horizontal="center" vertical="center" wrapText="1"/>
    </xf>
    <xf numFmtId="43" fontId="3" fillId="0" borderId="16" xfId="1"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21" xfId="0" applyFont="1" applyBorder="1" applyAlignment="1">
      <alignment horizontal="justify" vertical="center" wrapText="1"/>
    </xf>
    <xf numFmtId="9" fontId="3" fillId="0" borderId="19" xfId="7" applyFont="1" applyBorder="1" applyAlignment="1">
      <alignment horizontal="center" vertical="center" wrapText="1"/>
    </xf>
    <xf numFmtId="9" fontId="3" fillId="0" borderId="21" xfId="7" applyFont="1" applyBorder="1" applyAlignment="1">
      <alignment horizontal="center" vertical="center" wrapText="1"/>
    </xf>
    <xf numFmtId="0" fontId="3" fillId="0" borderId="0" xfId="0" applyFont="1" applyAlignment="1">
      <alignment horizontal="justify" vertical="center" wrapText="1"/>
    </xf>
    <xf numFmtId="0" fontId="3" fillId="0" borderId="17" xfId="0" applyFont="1" applyBorder="1" applyAlignment="1">
      <alignment horizontal="justify" vertical="center" wrapText="1"/>
    </xf>
    <xf numFmtId="1" fontId="3" fillId="0" borderId="16" xfId="0" applyNumberFormat="1" applyFont="1" applyBorder="1" applyAlignment="1">
      <alignment horizontal="center" vertical="center"/>
    </xf>
    <xf numFmtId="43" fontId="3" fillId="0" borderId="19" xfId="6" applyFont="1" applyBorder="1" applyAlignment="1">
      <alignment horizontal="center" vertical="center" wrapText="1"/>
    </xf>
    <xf numFmtId="43" fontId="3" fillId="0" borderId="21" xfId="6" applyFont="1" applyBorder="1" applyAlignment="1">
      <alignment horizontal="center" vertical="center" wrapText="1"/>
    </xf>
    <xf numFmtId="0" fontId="3" fillId="0" borderId="8" xfId="0" applyFont="1" applyBorder="1" applyAlignment="1">
      <alignment horizontal="justify" vertical="center" wrapText="1"/>
    </xf>
    <xf numFmtId="3" fontId="3" fillId="0" borderId="13" xfId="0" applyNumberFormat="1" applyFont="1" applyBorder="1" applyAlignment="1">
      <alignment horizontal="justify" vertical="center" wrapText="1"/>
    </xf>
    <xf numFmtId="3" fontId="3" fillId="0" borderId="15" xfId="0" applyNumberFormat="1" applyFont="1" applyBorder="1" applyAlignment="1">
      <alignment horizontal="justify" vertical="center" wrapText="1"/>
    </xf>
    <xf numFmtId="3" fontId="3" fillId="0" borderId="16" xfId="0" applyNumberFormat="1" applyFont="1" applyBorder="1" applyAlignment="1">
      <alignment horizontal="justify" vertical="center" wrapText="1"/>
    </xf>
    <xf numFmtId="0" fontId="14" fillId="7" borderId="13" xfId="0" applyFont="1" applyFill="1" applyBorder="1" applyAlignment="1">
      <alignment horizontal="justify" vertical="center" wrapText="1"/>
    </xf>
    <xf numFmtId="0" fontId="14" fillId="7" borderId="16" xfId="0" applyFont="1" applyFill="1" applyBorder="1" applyAlignment="1">
      <alignment horizontal="justify" vertical="center" wrapText="1"/>
    </xf>
    <xf numFmtId="1" fontId="3" fillId="0" borderId="8" xfId="0" applyNumberFormat="1" applyFont="1" applyBorder="1" applyAlignment="1">
      <alignment horizontal="center" vertical="center"/>
    </xf>
    <xf numFmtId="1" fontId="3" fillId="0" borderId="9" xfId="0" applyNumberFormat="1" applyFont="1" applyBorder="1" applyAlignment="1">
      <alignment horizontal="center" vertical="center"/>
    </xf>
    <xf numFmtId="0" fontId="3" fillId="0" borderId="46" xfId="0" applyFont="1" applyBorder="1" applyAlignment="1">
      <alignment horizontal="justify" vertical="center" wrapText="1"/>
    </xf>
    <xf numFmtId="0" fontId="3" fillId="0" borderId="47" xfId="0" applyFont="1" applyBorder="1" applyAlignment="1">
      <alignment horizontal="justify" vertical="center" wrapText="1"/>
    </xf>
    <xf numFmtId="0" fontId="14" fillId="0" borderId="13" xfId="0" applyFont="1" applyBorder="1" applyAlignment="1">
      <alignment horizontal="justify" vertical="center" wrapText="1"/>
    </xf>
    <xf numFmtId="0" fontId="14" fillId="0" borderId="16" xfId="0" applyFont="1" applyBorder="1" applyAlignment="1">
      <alignment horizontal="justify" vertical="center" wrapText="1"/>
    </xf>
    <xf numFmtId="0" fontId="14" fillId="7" borderId="15" xfId="0" applyFont="1" applyFill="1" applyBorder="1" applyAlignment="1">
      <alignment horizontal="justify" vertical="center" wrapText="1"/>
    </xf>
    <xf numFmtId="0" fontId="14" fillId="7" borderId="19" xfId="0" applyFont="1" applyFill="1" applyBorder="1" applyAlignment="1">
      <alignment horizontal="justify" vertical="center" wrapText="1"/>
    </xf>
    <xf numFmtId="43" fontId="3" fillId="0" borderId="13" xfId="1" applyFont="1" applyBorder="1" applyAlignment="1">
      <alignment horizontal="center" vertical="center"/>
    </xf>
    <xf numFmtId="9" fontId="3" fillId="0" borderId="13" xfId="3" applyFont="1" applyBorder="1" applyAlignment="1">
      <alignment horizontal="center" vertical="center"/>
    </xf>
    <xf numFmtId="0" fontId="3" fillId="0" borderId="8" xfId="0" applyFont="1" applyBorder="1" applyAlignment="1">
      <alignment horizontal="center" vertical="center" wrapText="1"/>
    </xf>
    <xf numFmtId="2" fontId="3" fillId="0" borderId="1" xfId="0" applyNumberFormat="1" applyFont="1" applyBorder="1" applyAlignment="1">
      <alignment horizontal="center" vertical="center" wrapText="1"/>
    </xf>
    <xf numFmtId="1" fontId="3" fillId="0" borderId="13" xfId="0" applyNumberFormat="1" applyFont="1" applyBorder="1" applyAlignment="1">
      <alignment vertical="center" wrapText="1"/>
    </xf>
    <xf numFmtId="0" fontId="14" fillId="0" borderId="1" xfId="14" applyFont="1" applyBorder="1" applyAlignment="1">
      <alignment horizontal="justify" vertical="center" wrapText="1"/>
    </xf>
    <xf numFmtId="2" fontId="3" fillId="0" borderId="1" xfId="0" applyNumberFormat="1" applyFont="1" applyBorder="1" applyAlignment="1">
      <alignment vertical="center" wrapText="1"/>
    </xf>
    <xf numFmtId="9" fontId="3" fillId="0" borderId="1" xfId="7" applyFont="1" applyBorder="1" applyAlignment="1">
      <alignment horizontal="center" vertical="center" wrapText="1"/>
    </xf>
    <xf numFmtId="0" fontId="3" fillId="0" borderId="49" xfId="0" applyFont="1" applyBorder="1" applyAlignment="1">
      <alignment horizontal="center" vertical="center" wrapText="1"/>
    </xf>
    <xf numFmtId="0" fontId="3" fillId="0" borderId="34" xfId="0" applyFont="1" applyBorder="1" applyAlignment="1">
      <alignment horizontal="center" vertical="center" wrapText="1"/>
    </xf>
    <xf numFmtId="0" fontId="14" fillId="7" borderId="1" xfId="14" applyFont="1" applyFill="1" applyBorder="1" applyAlignment="1">
      <alignment horizontal="justify" vertical="center" wrapText="1"/>
    </xf>
    <xf numFmtId="1" fontId="3" fillId="0" borderId="17" xfId="0" applyNumberFormat="1" applyFont="1" applyBorder="1" applyAlignment="1">
      <alignment horizontal="justify"/>
    </xf>
    <xf numFmtId="0" fontId="6" fillId="0" borderId="0" xfId="0" applyFont="1" applyAlignment="1">
      <alignment horizontal="justify" vertical="center" wrapText="1"/>
    </xf>
    <xf numFmtId="0" fontId="3" fillId="0" borderId="17" xfId="0" applyFont="1" applyBorder="1" applyAlignment="1">
      <alignment horizontal="justify"/>
    </xf>
    <xf numFmtId="0" fontId="3" fillId="0" borderId="15" xfId="0" applyFont="1" applyBorder="1" applyAlignment="1">
      <alignment horizontal="justify"/>
    </xf>
    <xf numFmtId="0" fontId="3" fillId="0" borderId="0" xfId="0" applyFont="1" applyAlignment="1">
      <alignment horizontal="justify"/>
    </xf>
    <xf numFmtId="1" fontId="3" fillId="0" borderId="34" xfId="0" applyNumberFormat="1" applyFont="1" applyBorder="1" applyAlignment="1">
      <alignment horizontal="center" vertical="center" wrapText="1"/>
    </xf>
    <xf numFmtId="1" fontId="3" fillId="0" borderId="19" xfId="0" applyNumberFormat="1" applyFont="1" applyBorder="1" applyAlignment="1">
      <alignment horizontal="center" vertical="center" wrapText="1"/>
    </xf>
    <xf numFmtId="0" fontId="3" fillId="0" borderId="18" xfId="6" applyNumberFormat="1" applyFont="1" applyBorder="1" applyAlignment="1">
      <alignment horizontal="center" vertical="center"/>
    </xf>
    <xf numFmtId="0" fontId="3" fillId="0" borderId="14" xfId="6" applyNumberFormat="1" applyFont="1" applyBorder="1" applyAlignment="1">
      <alignment horizontal="center" vertical="center"/>
    </xf>
    <xf numFmtId="0" fontId="3" fillId="0" borderId="15" xfId="6" applyNumberFormat="1" applyFont="1" applyBorder="1" applyAlignment="1">
      <alignment horizontal="center" vertical="center" wrapText="1"/>
    </xf>
    <xf numFmtId="0" fontId="3" fillId="0" borderId="16" xfId="6" applyNumberFormat="1" applyFont="1" applyBorder="1" applyAlignment="1">
      <alignment horizontal="center" vertical="center" wrapText="1"/>
    </xf>
    <xf numFmtId="43" fontId="3" fillId="0" borderId="13" xfId="6" applyFont="1" applyFill="1" applyBorder="1" applyAlignment="1">
      <alignment horizontal="center" vertical="center"/>
    </xf>
    <xf numFmtId="43" fontId="3" fillId="0" borderId="16" xfId="6" applyFont="1" applyFill="1" applyBorder="1" applyAlignment="1">
      <alignment horizontal="center" vertical="center"/>
    </xf>
    <xf numFmtId="43" fontId="3" fillId="0" borderId="21" xfId="6" applyFont="1" applyFill="1" applyBorder="1" applyAlignment="1">
      <alignment horizontal="center" vertical="center"/>
    </xf>
    <xf numFmtId="43" fontId="3" fillId="0" borderId="34" xfId="6" applyFont="1" applyFill="1" applyBorder="1" applyAlignment="1">
      <alignment horizontal="center" vertical="center"/>
    </xf>
    <xf numFmtId="1" fontId="3" fillId="0" borderId="21" xfId="0" applyNumberFormat="1" applyFont="1" applyBorder="1" applyAlignment="1">
      <alignment horizontal="center" vertical="center" wrapText="1"/>
    </xf>
    <xf numFmtId="43" fontId="3" fillId="0" borderId="24" xfId="6" applyFont="1" applyFill="1" applyBorder="1" applyAlignment="1">
      <alignment horizontal="center" vertical="center"/>
    </xf>
    <xf numFmtId="43" fontId="3" fillId="0" borderId="49" xfId="6" applyFont="1" applyFill="1" applyBorder="1" applyAlignment="1">
      <alignment horizontal="center" vertical="center"/>
    </xf>
    <xf numFmtId="43" fontId="3" fillId="0" borderId="15" xfId="6" applyNumberFormat="1" applyFont="1" applyBorder="1" applyAlignment="1">
      <alignment horizontal="center" vertical="center"/>
    </xf>
    <xf numFmtId="9" fontId="3" fillId="0" borderId="15" xfId="3" applyFont="1" applyBorder="1" applyAlignment="1">
      <alignment horizontal="center" vertical="center"/>
    </xf>
    <xf numFmtId="9" fontId="3" fillId="0" borderId="16" xfId="3" applyFont="1" applyBorder="1" applyAlignment="1">
      <alignment horizontal="center" vertical="center"/>
    </xf>
    <xf numFmtId="1" fontId="3" fillId="0" borderId="16" xfId="0" applyNumberFormat="1" applyFont="1" applyBorder="1" applyAlignment="1">
      <alignment horizontal="justify" vertical="center" wrapText="1"/>
    </xf>
    <xf numFmtId="170" fontId="3" fillId="0" borderId="1" xfId="0" applyNumberFormat="1" applyFont="1" applyBorder="1" applyAlignment="1">
      <alignment horizontal="center" vertical="center"/>
    </xf>
    <xf numFmtId="0" fontId="13" fillId="0" borderId="3" xfId="0" applyFont="1" applyFill="1" applyBorder="1" applyAlignment="1">
      <alignment horizontal="justify" vertical="center" wrapText="1"/>
    </xf>
    <xf numFmtId="0" fontId="13" fillId="0" borderId="5" xfId="0" applyFont="1" applyFill="1" applyBorder="1" applyAlignment="1">
      <alignment horizontal="justify" vertical="center" wrapText="1"/>
    </xf>
    <xf numFmtId="0" fontId="13" fillId="0" borderId="3" xfId="0" applyFont="1" applyBorder="1" applyAlignment="1">
      <alignment horizontal="justify" vertical="center" wrapText="1"/>
    </xf>
    <xf numFmtId="0" fontId="13" fillId="0" borderId="15" xfId="0" applyFont="1" applyBorder="1" applyAlignment="1">
      <alignment horizontal="justify" vertical="center" wrapText="1"/>
    </xf>
    <xf numFmtId="0" fontId="13" fillId="0" borderId="19" xfId="0" applyFont="1" applyBorder="1" applyAlignment="1">
      <alignment horizontal="justify" vertical="center" wrapText="1"/>
    </xf>
    <xf numFmtId="0" fontId="3" fillId="0" borderId="34" xfId="0" applyFont="1" applyBorder="1" applyAlignment="1">
      <alignment horizontal="justify" vertical="center"/>
    </xf>
    <xf numFmtId="0" fontId="3" fillId="0" borderId="19" xfId="0" applyFont="1" applyBorder="1" applyAlignment="1">
      <alignment horizontal="justify" vertical="center"/>
    </xf>
    <xf numFmtId="9" fontId="3" fillId="0" borderId="34" xfId="7" applyFont="1" applyBorder="1" applyAlignment="1">
      <alignment horizontal="center" vertical="center"/>
    </xf>
    <xf numFmtId="9" fontId="3" fillId="0" borderId="19" xfId="7" applyFont="1" applyBorder="1" applyAlignment="1">
      <alignment horizontal="center" vertical="center"/>
    </xf>
    <xf numFmtId="3" fontId="3" fillId="0" borderId="34" xfId="0" applyNumberFormat="1" applyFont="1" applyBorder="1" applyAlignment="1">
      <alignment horizontal="center" vertical="center"/>
    </xf>
    <xf numFmtId="3" fontId="3" fillId="0" borderId="19" xfId="0" applyNumberFormat="1" applyFont="1" applyBorder="1" applyAlignment="1">
      <alignment horizontal="center" vertical="center"/>
    </xf>
    <xf numFmtId="0" fontId="3" fillId="0" borderId="14" xfId="0" applyFont="1" applyBorder="1" applyAlignment="1">
      <alignment horizontal="justify" vertical="center" wrapText="1"/>
    </xf>
    <xf numFmtId="0" fontId="3" fillId="0" borderId="34" xfId="0" applyFont="1" applyBorder="1" applyAlignment="1">
      <alignment horizontal="justify" vertical="center" wrapText="1"/>
    </xf>
    <xf numFmtId="1" fontId="3" fillId="0" borderId="48" xfId="0" applyNumberFormat="1" applyFont="1" applyBorder="1" applyAlignment="1">
      <alignment horizontal="center" vertical="center"/>
    </xf>
    <xf numFmtId="1" fontId="3" fillId="0" borderId="20" xfId="0" applyNumberFormat="1" applyFont="1" applyBorder="1" applyAlignment="1">
      <alignment horizontal="center" vertical="center"/>
    </xf>
    <xf numFmtId="2" fontId="3" fillId="0" borderId="16" xfId="0" applyNumberFormat="1" applyFont="1" applyBorder="1" applyAlignment="1">
      <alignment horizontal="center" vertical="center"/>
    </xf>
    <xf numFmtId="2" fontId="3" fillId="0" borderId="1" xfId="0" applyNumberFormat="1" applyFont="1" applyBorder="1" applyAlignment="1">
      <alignment horizontal="center" vertical="center"/>
    </xf>
    <xf numFmtId="2" fontId="3" fillId="0" borderId="13" xfId="0" applyNumberFormat="1" applyFont="1" applyBorder="1" applyAlignment="1">
      <alignment vertical="center" wrapText="1"/>
    </xf>
    <xf numFmtId="2" fontId="3" fillId="0" borderId="15" xfId="0" applyNumberFormat="1" applyFont="1" applyBorder="1" applyAlignment="1">
      <alignment vertical="center" wrapText="1"/>
    </xf>
    <xf numFmtId="2" fontId="3" fillId="0" borderId="16" xfId="0" applyNumberFormat="1" applyFont="1" applyBorder="1" applyAlignment="1">
      <alignment vertical="center" wrapText="1"/>
    </xf>
    <xf numFmtId="0" fontId="3" fillId="0" borderId="16" xfId="0" applyFont="1" applyBorder="1" applyAlignment="1">
      <alignment horizontal="justify" vertical="center"/>
    </xf>
    <xf numFmtId="0" fontId="3" fillId="0" borderId="1" xfId="0" applyFont="1" applyBorder="1" applyAlignment="1">
      <alignment horizontal="justify" vertical="center"/>
    </xf>
    <xf numFmtId="9" fontId="3" fillId="0" borderId="16" xfId="7" applyFont="1" applyBorder="1" applyAlignment="1">
      <alignment horizontal="center" vertical="center"/>
    </xf>
    <xf numFmtId="169" fontId="3" fillId="0" borderId="16" xfId="0" applyNumberFormat="1" applyFont="1" applyBorder="1" applyAlignment="1">
      <alignment horizontal="center" vertical="center"/>
    </xf>
    <xf numFmtId="169" fontId="3" fillId="0" borderId="1" xfId="0" applyNumberFormat="1" applyFont="1" applyBorder="1" applyAlignment="1">
      <alignment horizontal="center" vertical="center"/>
    </xf>
    <xf numFmtId="168" fontId="3" fillId="0" borderId="13" xfId="6" applyNumberFormat="1" applyFont="1" applyBorder="1" applyAlignment="1">
      <alignment horizontal="center" vertical="center"/>
    </xf>
    <xf numFmtId="168" fontId="3" fillId="0" borderId="15" xfId="6" applyNumberFormat="1" applyFont="1" applyBorder="1" applyAlignment="1">
      <alignment horizontal="center" vertical="center"/>
    </xf>
    <xf numFmtId="168" fontId="3" fillId="0" borderId="16" xfId="6" applyNumberFormat="1" applyFont="1" applyBorder="1" applyAlignment="1">
      <alignment horizontal="center" vertical="center"/>
    </xf>
    <xf numFmtId="0" fontId="3" fillId="0" borderId="51" xfId="0" applyFont="1" applyBorder="1" applyAlignment="1">
      <alignment horizontal="justify" vertical="center" wrapText="1"/>
    </xf>
    <xf numFmtId="0" fontId="3" fillId="0" borderId="53" xfId="0" applyFont="1" applyBorder="1" applyAlignment="1">
      <alignment horizontal="justify" vertical="center" wrapText="1"/>
    </xf>
    <xf numFmtId="1" fontId="3" fillId="0" borderId="50" xfId="0" applyNumberFormat="1" applyFont="1" applyBorder="1" applyAlignment="1">
      <alignment horizontal="center"/>
    </xf>
    <xf numFmtId="1" fontId="3" fillId="0" borderId="0" xfId="0" applyNumberFormat="1" applyFont="1" applyBorder="1" applyAlignment="1">
      <alignment horizontal="center"/>
    </xf>
    <xf numFmtId="0" fontId="3" fillId="0" borderId="50" xfId="0" applyFont="1" applyBorder="1" applyAlignment="1">
      <alignment horizontal="center"/>
    </xf>
    <xf numFmtId="0" fontId="3" fillId="0" borderId="0" xfId="0" applyFont="1" applyBorder="1" applyAlignment="1">
      <alignment horizontal="center"/>
    </xf>
    <xf numFmtId="0" fontId="13" fillId="0" borderId="19" xfId="0" applyFont="1" applyBorder="1" applyAlignment="1">
      <alignment horizontal="center" vertical="center" wrapText="1"/>
    </xf>
    <xf numFmtId="0" fontId="13" fillId="0" borderId="20" xfId="0" applyFont="1" applyBorder="1" applyAlignment="1">
      <alignment horizontal="justify" vertical="center" wrapText="1"/>
    </xf>
    <xf numFmtId="0" fontId="13" fillId="7" borderId="13" xfId="0" applyFont="1" applyFill="1" applyBorder="1" applyAlignment="1" applyProtection="1">
      <alignment horizontal="justify" vertical="center" wrapText="1"/>
      <protection locked="0"/>
    </xf>
    <xf numFmtId="0" fontId="13" fillId="7" borderId="16" xfId="0" applyFont="1" applyFill="1" applyBorder="1" applyAlignment="1" applyProtection="1">
      <alignment horizontal="justify" vertical="center" wrapText="1"/>
      <protection locked="0"/>
    </xf>
    <xf numFmtId="1" fontId="13" fillId="0" borderId="13" xfId="0" applyNumberFormat="1" applyFont="1" applyBorder="1" applyAlignment="1">
      <alignment horizontal="center" vertical="center"/>
    </xf>
    <xf numFmtId="1" fontId="13" fillId="0" borderId="16" xfId="0" applyNumberFormat="1" applyFont="1" applyBorder="1" applyAlignment="1">
      <alignment horizontal="center" vertical="center"/>
    </xf>
    <xf numFmtId="170" fontId="13" fillId="0" borderId="1" xfId="0" applyNumberFormat="1" applyFont="1" applyBorder="1" applyAlignment="1">
      <alignment horizontal="center" vertical="center"/>
    </xf>
    <xf numFmtId="168" fontId="3" fillId="0" borderId="13" xfId="6" applyNumberFormat="1" applyFont="1" applyBorder="1" applyAlignment="1">
      <alignment horizontal="center" vertical="center" wrapText="1"/>
    </xf>
    <xf numFmtId="168" fontId="3" fillId="0" borderId="15" xfId="6" applyNumberFormat="1" applyFont="1" applyBorder="1" applyAlignment="1">
      <alignment horizontal="center" vertical="center" wrapText="1"/>
    </xf>
    <xf numFmtId="0" fontId="13" fillId="7" borderId="20" xfId="15" applyFont="1" applyFill="1" applyBorder="1" applyAlignment="1">
      <alignment horizontal="justify" vertical="center" wrapText="1"/>
    </xf>
    <xf numFmtId="0" fontId="13" fillId="7" borderId="13" xfId="15" applyFont="1" applyFill="1" applyBorder="1" applyAlignment="1">
      <alignment horizontal="justify" vertical="center" wrapText="1"/>
    </xf>
    <xf numFmtId="0" fontId="13" fillId="7" borderId="16" xfId="15" applyFont="1" applyFill="1" applyBorder="1" applyAlignment="1">
      <alignment horizontal="justify"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justify" vertical="center" wrapText="1"/>
    </xf>
    <xf numFmtId="0" fontId="13" fillId="7" borderId="15" xfId="0" applyFont="1" applyFill="1" applyBorder="1" applyAlignment="1" applyProtection="1">
      <alignment horizontal="justify" vertical="center" wrapText="1"/>
      <protection locked="0"/>
    </xf>
    <xf numFmtId="1" fontId="13" fillId="0" borderId="15" xfId="0" applyNumberFormat="1" applyFont="1" applyBorder="1" applyAlignment="1">
      <alignment horizontal="center" vertical="center"/>
    </xf>
    <xf numFmtId="0" fontId="13" fillId="7" borderId="36" xfId="15" applyFont="1" applyFill="1" applyBorder="1" applyAlignment="1">
      <alignment horizontal="justify" vertical="center" wrapText="1"/>
    </xf>
    <xf numFmtId="0" fontId="13" fillId="7" borderId="5" xfId="15" applyFont="1" applyFill="1" applyBorder="1" applyAlignment="1">
      <alignment horizontal="justify" vertical="center" wrapText="1"/>
    </xf>
    <xf numFmtId="9" fontId="3" fillId="0" borderId="29" xfId="3" applyFont="1" applyBorder="1" applyAlignment="1">
      <alignment horizontal="center" vertical="center"/>
    </xf>
    <xf numFmtId="1" fontId="3" fillId="0" borderId="29" xfId="0" applyNumberFormat="1" applyFont="1" applyBorder="1" applyAlignment="1">
      <alignment horizontal="center" vertical="center"/>
    </xf>
    <xf numFmtId="43" fontId="3" fillId="0" borderId="15" xfId="1" applyFont="1" applyBorder="1" applyAlignment="1">
      <alignment horizontal="center" vertical="center"/>
    </xf>
    <xf numFmtId="43" fontId="3" fillId="0" borderId="29" xfId="1" applyFont="1" applyBorder="1" applyAlignment="1">
      <alignment horizontal="center" vertical="center"/>
    </xf>
    <xf numFmtId="0" fontId="13" fillId="0" borderId="13" xfId="0" applyFont="1" applyBorder="1" applyAlignment="1">
      <alignment horizontal="center" vertical="center" wrapText="1"/>
    </xf>
    <xf numFmtId="2" fontId="3" fillId="0" borderId="13" xfId="0" applyNumberFormat="1" applyFont="1" applyBorder="1" applyAlignment="1">
      <alignment horizontal="center" vertical="center" wrapText="1"/>
    </xf>
    <xf numFmtId="0" fontId="3" fillId="0" borderId="13" xfId="0" applyFont="1" applyBorder="1" applyAlignment="1">
      <alignment horizontal="justify" vertical="center"/>
    </xf>
    <xf numFmtId="0" fontId="13" fillId="0" borderId="29" xfId="0" applyFont="1" applyBorder="1" applyAlignment="1">
      <alignment horizontal="center" vertical="center" wrapText="1"/>
    </xf>
    <xf numFmtId="0" fontId="13" fillId="0" borderId="29" xfId="0" applyFont="1" applyBorder="1" applyAlignment="1">
      <alignment horizontal="justify" vertical="center" wrapText="1"/>
    </xf>
    <xf numFmtId="0" fontId="13" fillId="7" borderId="29" xfId="0" applyFont="1" applyFill="1" applyBorder="1" applyAlignment="1" applyProtection="1">
      <alignment horizontal="justify" vertical="center" wrapText="1"/>
      <protection locked="0"/>
    </xf>
    <xf numFmtId="1" fontId="13" fillId="0" borderId="29" xfId="0" applyNumberFormat="1" applyFont="1" applyBorder="1" applyAlignment="1">
      <alignment horizontal="center" vertical="center"/>
    </xf>
    <xf numFmtId="9" fontId="3" fillId="0" borderId="29" xfId="7" applyFont="1" applyBorder="1" applyAlignment="1">
      <alignment horizontal="center" vertical="center"/>
    </xf>
    <xf numFmtId="0" fontId="13" fillId="7" borderId="54" xfId="0" applyFont="1" applyFill="1" applyBorder="1" applyAlignment="1" applyProtection="1">
      <alignment horizontal="justify" vertical="center" wrapText="1"/>
      <protection locked="0"/>
    </xf>
    <xf numFmtId="0" fontId="13" fillId="7" borderId="55" xfId="0" applyFont="1" applyFill="1" applyBorder="1" applyAlignment="1" applyProtection="1">
      <alignment horizontal="justify" vertical="center" wrapText="1"/>
      <protection locked="0"/>
    </xf>
    <xf numFmtId="0" fontId="13" fillId="7" borderId="56" xfId="0" applyFont="1" applyFill="1" applyBorder="1" applyAlignment="1" applyProtection="1">
      <alignment horizontal="justify" vertical="center" wrapText="1"/>
      <protection locked="0"/>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1" fontId="6" fillId="3" borderId="76" xfId="0" applyNumberFormat="1" applyFont="1" applyFill="1" applyBorder="1" applyAlignment="1">
      <alignment horizontal="center" vertical="center" wrapText="1"/>
    </xf>
    <xf numFmtId="0" fontId="6" fillId="3" borderId="15" xfId="0" applyFont="1" applyFill="1" applyBorder="1" applyAlignment="1">
      <alignment horizontal="center" vertical="center" wrapText="1"/>
    </xf>
    <xf numFmtId="183" fontId="6" fillId="3" borderId="17" xfId="2" applyNumberFormat="1"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8" xfId="0" applyFont="1" applyFill="1" applyBorder="1" applyAlignment="1">
      <alignment horizontal="center" vertical="center" wrapText="1"/>
    </xf>
    <xf numFmtId="169" fontId="6" fillId="3" borderId="16" xfId="0" applyNumberFormat="1" applyFont="1" applyFill="1" applyBorder="1" applyAlignment="1">
      <alignment horizontal="center" vertical="center" wrapText="1"/>
    </xf>
    <xf numFmtId="1" fontId="6" fillId="3" borderId="13" xfId="0" applyNumberFormat="1" applyFont="1" applyFill="1" applyBorder="1" applyAlignment="1">
      <alignment horizontal="center" vertical="center" wrapText="1"/>
    </xf>
    <xf numFmtId="1" fontId="6" fillId="3" borderId="16" xfId="0" applyNumberFormat="1" applyFont="1" applyFill="1" applyBorder="1" applyAlignment="1">
      <alignment horizontal="center" vertical="center" wrapText="1"/>
    </xf>
    <xf numFmtId="3" fontId="6" fillId="4" borderId="5" xfId="0" applyNumberFormat="1" applyFont="1" applyFill="1" applyBorder="1" applyAlignment="1">
      <alignment horizontal="center" vertical="center" wrapText="1"/>
    </xf>
    <xf numFmtId="3" fontId="6" fillId="4" borderId="2" xfId="0" applyNumberFormat="1"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2" xfId="0" applyFont="1" applyFill="1" applyBorder="1" applyAlignment="1">
      <alignment horizontal="center" vertical="center"/>
    </xf>
    <xf numFmtId="0" fontId="6" fillId="3" borderId="6" xfId="0" applyFont="1" applyFill="1" applyBorder="1" applyAlignment="1">
      <alignment horizontal="center" vertical="center" textRotation="90" wrapText="1"/>
    </xf>
    <xf numFmtId="0" fontId="6" fillId="3" borderId="8" xfId="0" applyFont="1" applyFill="1" applyBorder="1" applyAlignment="1">
      <alignment horizontal="center" vertical="center" textRotation="90" wrapText="1"/>
    </xf>
    <xf numFmtId="0" fontId="6" fillId="4" borderId="5"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7" xfId="0" applyFont="1" applyFill="1" applyBorder="1" applyAlignment="1">
      <alignment horizontal="center" vertical="center" textRotation="90" wrapText="1"/>
    </xf>
    <xf numFmtId="0" fontId="6" fillId="4" borderId="18" xfId="0" applyFont="1" applyFill="1" applyBorder="1" applyAlignment="1">
      <alignment horizontal="center" vertical="center" textRotation="90" wrapText="1"/>
    </xf>
    <xf numFmtId="0" fontId="6" fillId="4" borderId="5" xfId="0" applyFont="1" applyFill="1" applyBorder="1" applyAlignment="1">
      <alignment horizontal="center" vertical="center" textRotation="90" wrapText="1"/>
    </xf>
    <xf numFmtId="0" fontId="6" fillId="4" borderId="14" xfId="0" applyFont="1" applyFill="1" applyBorder="1" applyAlignment="1">
      <alignment horizontal="center" vertical="center" textRotation="90" wrapText="1"/>
    </xf>
    <xf numFmtId="165" fontId="6" fillId="3" borderId="5" xfId="4" applyFont="1" applyFill="1" applyBorder="1" applyAlignment="1">
      <alignment horizontal="center" vertical="center"/>
    </xf>
    <xf numFmtId="165" fontId="6" fillId="3" borderId="2" xfId="4" applyFont="1" applyFill="1" applyBorder="1" applyAlignment="1">
      <alignment horizontal="center" vertical="center"/>
    </xf>
    <xf numFmtId="165" fontId="6" fillId="3" borderId="14" xfId="4" applyFont="1" applyFill="1" applyBorder="1" applyAlignment="1">
      <alignment horizontal="center" vertical="center"/>
    </xf>
    <xf numFmtId="167" fontId="6" fillId="3" borderId="17" xfId="0" applyNumberFormat="1" applyFont="1" applyFill="1" applyBorder="1" applyAlignment="1">
      <alignment horizontal="center" vertical="center" wrapText="1"/>
    </xf>
    <xf numFmtId="167" fontId="6" fillId="3" borderId="18" xfId="0" applyNumberFormat="1" applyFont="1" applyFill="1" applyBorder="1" applyAlignment="1">
      <alignment horizontal="center" vertical="center" wrapText="1"/>
    </xf>
    <xf numFmtId="167" fontId="6" fillId="3" borderId="5" xfId="0" applyNumberFormat="1" applyFont="1" applyFill="1" applyBorder="1" applyAlignment="1">
      <alignment horizontal="center" vertical="center" wrapText="1"/>
    </xf>
    <xf numFmtId="167" fontId="6" fillId="3" borderId="14" xfId="0" applyNumberFormat="1" applyFont="1" applyFill="1" applyBorder="1" applyAlignment="1">
      <alignment horizontal="center" vertical="center" wrapText="1"/>
    </xf>
    <xf numFmtId="3" fontId="6" fillId="3" borderId="16"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3"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9" fontId="6" fillId="5" borderId="1" xfId="3"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170" fontId="6" fillId="3" borderId="17" xfId="0" applyNumberFormat="1" applyFont="1" applyFill="1" applyBorder="1" applyAlignment="1">
      <alignment horizontal="center" vertical="center" wrapText="1"/>
    </xf>
    <xf numFmtId="1" fontId="3" fillId="7" borderId="9" xfId="0" applyNumberFormat="1" applyFont="1" applyFill="1" applyBorder="1" applyAlignment="1">
      <alignment horizontal="center" vertical="center" wrapText="1"/>
    </xf>
    <xf numFmtId="1" fontId="3" fillId="7" borderId="18" xfId="0" applyNumberFormat="1" applyFont="1" applyFill="1" applyBorder="1" applyAlignment="1">
      <alignment horizontal="center" vertical="center" wrapText="1"/>
    </xf>
    <xf numFmtId="1" fontId="3" fillId="7" borderId="14" xfId="0" applyNumberFormat="1" applyFont="1" applyFill="1" applyBorder="1" applyAlignment="1">
      <alignment horizontal="center" vertical="center" wrapText="1"/>
    </xf>
    <xf numFmtId="43" fontId="3" fillId="0" borderId="1" xfId="1" applyFont="1" applyBorder="1" applyAlignment="1">
      <alignment horizontal="justify" vertical="center" wrapText="1"/>
    </xf>
    <xf numFmtId="0" fontId="3" fillId="0" borderId="3" xfId="0" applyFont="1" applyBorder="1" applyAlignment="1">
      <alignment horizontal="left" vertical="center" wrapText="1" readingOrder="2"/>
    </xf>
    <xf numFmtId="0" fontId="3" fillId="0" borderId="5" xfId="0" applyFont="1" applyBorder="1" applyAlignment="1">
      <alignment horizontal="left" vertical="center" wrapText="1" readingOrder="2"/>
    </xf>
    <xf numFmtId="43" fontId="3" fillId="7" borderId="1" xfId="1" applyFont="1" applyFill="1" applyBorder="1" applyAlignment="1">
      <alignment horizontal="right" vertical="center" wrapText="1"/>
    </xf>
    <xf numFmtId="43" fontId="3" fillId="7" borderId="13" xfId="1" applyFont="1" applyFill="1" applyBorder="1" applyAlignment="1">
      <alignment horizontal="center" vertical="center" wrapText="1"/>
    </xf>
    <xf numFmtId="43" fontId="3" fillId="7" borderId="15" xfId="1" applyFont="1" applyFill="1" applyBorder="1" applyAlignment="1">
      <alignment horizontal="center" vertical="center" wrapText="1"/>
    </xf>
    <xf numFmtId="43" fontId="3" fillId="7" borderId="16" xfId="1" applyFont="1" applyFill="1" applyBorder="1" applyAlignment="1">
      <alignment horizontal="center" vertical="center" wrapText="1"/>
    </xf>
    <xf numFmtId="184" fontId="3" fillId="0" borderId="18" xfId="25" applyNumberFormat="1" applyFont="1" applyBorder="1" applyAlignment="1">
      <alignment vertical="center" wrapText="1"/>
    </xf>
    <xf numFmtId="0" fontId="3" fillId="0" borderId="15" xfId="0" applyFont="1" applyBorder="1" applyAlignment="1">
      <alignment vertical="center" wrapText="1"/>
    </xf>
    <xf numFmtId="0" fontId="3" fillId="7" borderId="0" xfId="0" applyFont="1" applyFill="1" applyAlignment="1">
      <alignment horizontal="center" vertical="center" wrapText="1"/>
    </xf>
    <xf numFmtId="4" fontId="3" fillId="0" borderId="13" xfId="0" applyNumberFormat="1" applyFont="1" applyBorder="1" applyAlignment="1">
      <alignment horizontal="center" vertical="center"/>
    </xf>
    <xf numFmtId="4" fontId="3" fillId="0" borderId="15" xfId="0" applyNumberFormat="1" applyFont="1" applyBorder="1" applyAlignment="1">
      <alignment horizontal="center" vertical="center"/>
    </xf>
    <xf numFmtId="4" fontId="3" fillId="0" borderId="16" xfId="0" applyNumberFormat="1" applyFont="1" applyBorder="1" applyAlignment="1">
      <alignment horizontal="center" vertical="center"/>
    </xf>
    <xf numFmtId="0" fontId="3" fillId="0" borderId="36" xfId="0" applyFont="1" applyBorder="1" applyAlignment="1">
      <alignment horizontal="center" vertical="center" wrapText="1"/>
    </xf>
    <xf numFmtId="3" fontId="3" fillId="0" borderId="16" xfId="0" applyNumberFormat="1" applyFont="1" applyBorder="1" applyAlignment="1">
      <alignment horizontal="center" vertical="center" wrapText="1"/>
    </xf>
    <xf numFmtId="9" fontId="3" fillId="0" borderId="1" xfId="3" applyFont="1" applyBorder="1" applyAlignment="1">
      <alignment horizontal="center" vertical="center" wrapText="1"/>
    </xf>
    <xf numFmtId="1" fontId="3" fillId="7" borderId="54" xfId="0" applyNumberFormat="1" applyFont="1" applyFill="1" applyBorder="1" applyAlignment="1">
      <alignment horizontal="center" vertical="center" wrapText="1"/>
    </xf>
    <xf numFmtId="1" fontId="3" fillId="7" borderId="55" xfId="0" applyNumberFormat="1" applyFont="1" applyFill="1" applyBorder="1" applyAlignment="1">
      <alignment horizontal="center" vertical="center" wrapText="1"/>
    </xf>
    <xf numFmtId="3" fontId="3" fillId="7" borderId="13" xfId="0" applyNumberFormat="1" applyFont="1" applyFill="1" applyBorder="1" applyAlignment="1">
      <alignment horizontal="center" vertical="center" wrapText="1"/>
    </xf>
    <xf numFmtId="3" fontId="3" fillId="7" borderId="15" xfId="0" applyNumberFormat="1" applyFont="1" applyFill="1" applyBorder="1" applyAlignment="1">
      <alignment horizontal="center" vertical="center" wrapText="1"/>
    </xf>
    <xf numFmtId="4" fontId="3" fillId="7" borderId="13" xfId="0" applyNumberFormat="1" applyFont="1" applyFill="1" applyBorder="1" applyAlignment="1">
      <alignment horizontal="center" vertical="center" wrapText="1"/>
    </xf>
    <xf numFmtId="4" fontId="3" fillId="7" borderId="15" xfId="0" applyNumberFormat="1" applyFont="1" applyFill="1" applyBorder="1" applyAlignment="1">
      <alignment horizontal="center" vertical="center" wrapText="1"/>
    </xf>
    <xf numFmtId="0" fontId="6" fillId="0" borderId="0" xfId="0" applyFont="1" applyAlignment="1">
      <alignment horizontal="center" vertical="center"/>
    </xf>
    <xf numFmtId="169" fontId="6" fillId="0" borderId="0" xfId="0" applyNumberFormat="1" applyFont="1" applyAlignment="1">
      <alignment horizontal="justify" vertical="center"/>
    </xf>
    <xf numFmtId="0" fontId="6" fillId="0" borderId="0" xfId="0" applyFont="1" applyAlignment="1">
      <alignment horizontal="justify"/>
    </xf>
    <xf numFmtId="3" fontId="3" fillId="7" borderId="0" xfId="0" applyNumberFormat="1" applyFont="1" applyFill="1" applyBorder="1" applyAlignment="1">
      <alignment horizontal="center" vertical="center" wrapText="1"/>
    </xf>
    <xf numFmtId="166" fontId="3" fillId="0" borderId="13" xfId="0" applyNumberFormat="1" applyFont="1" applyBorder="1" applyAlignment="1">
      <alignment horizontal="center" vertical="center"/>
    </xf>
    <xf numFmtId="166" fontId="3" fillId="0" borderId="15" xfId="0" applyNumberFormat="1" applyFont="1" applyBorder="1" applyAlignment="1">
      <alignment horizontal="center" vertical="center"/>
    </xf>
    <xf numFmtId="3" fontId="3" fillId="0" borderId="41" xfId="0" applyNumberFormat="1" applyFont="1" applyBorder="1" applyAlignment="1">
      <alignment horizontal="center" vertical="center" wrapText="1"/>
    </xf>
    <xf numFmtId="3" fontId="3" fillId="0" borderId="64" xfId="0" applyNumberFormat="1" applyFont="1" applyBorder="1" applyAlignment="1">
      <alignment horizontal="center" vertical="center" wrapText="1"/>
    </xf>
    <xf numFmtId="0" fontId="3" fillId="0" borderId="29" xfId="0" applyFont="1" applyBorder="1" applyAlignment="1">
      <alignment horizontal="center" vertical="center" wrapText="1"/>
    </xf>
    <xf numFmtId="0" fontId="3" fillId="0" borderId="29" xfId="0" applyFont="1" applyBorder="1" applyAlignment="1">
      <alignment horizontal="left" vertical="center" wrapText="1"/>
    </xf>
    <xf numFmtId="9" fontId="3" fillId="0" borderId="29" xfId="3" applyFont="1" applyBorder="1" applyAlignment="1">
      <alignment horizontal="center" vertical="center" wrapText="1"/>
    </xf>
    <xf numFmtId="0" fontId="3" fillId="0" borderId="3" xfId="0" applyFont="1" applyBorder="1" applyAlignment="1">
      <alignment horizontal="left" vertical="center" wrapText="1"/>
    </xf>
    <xf numFmtId="0" fontId="3" fillId="0" borderId="25" xfId="0" applyFont="1" applyBorder="1" applyAlignment="1">
      <alignment horizontal="left" vertical="center" wrapText="1"/>
    </xf>
    <xf numFmtId="9" fontId="3" fillId="7" borderId="13" xfId="3" applyFont="1" applyFill="1" applyBorder="1" applyAlignment="1">
      <alignment horizontal="center" vertical="center" wrapText="1"/>
    </xf>
    <xf numFmtId="9" fontId="3" fillId="7" borderId="15" xfId="3"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7" borderId="13" xfId="0" applyFont="1" applyFill="1" applyBorder="1" applyAlignment="1">
      <alignment horizontal="center" vertical="center"/>
    </xf>
    <xf numFmtId="0" fontId="6" fillId="7" borderId="16" xfId="0" applyFont="1" applyFill="1" applyBorder="1" applyAlignment="1">
      <alignment horizontal="center" vertical="center"/>
    </xf>
    <xf numFmtId="0" fontId="3" fillId="7" borderId="13" xfId="0" applyFont="1" applyFill="1" applyBorder="1" applyAlignment="1">
      <alignment horizontal="justify" vertical="center" wrapText="1"/>
    </xf>
    <xf numFmtId="0" fontId="3" fillId="7" borderId="16" xfId="0" applyFont="1" applyFill="1" applyBorder="1" applyAlignment="1">
      <alignment horizontal="justify" vertical="center" wrapText="1"/>
    </xf>
    <xf numFmtId="0" fontId="3" fillId="7" borderId="13" xfId="0" applyFont="1" applyFill="1" applyBorder="1" applyAlignment="1">
      <alignment horizontal="center" vertical="center" wrapText="1"/>
    </xf>
    <xf numFmtId="0" fontId="3" fillId="7" borderId="16" xfId="0" applyFont="1" applyFill="1" applyBorder="1" applyAlignment="1">
      <alignment horizontal="center" vertical="center" wrapText="1"/>
    </xf>
    <xf numFmtId="10" fontId="3" fillId="7" borderId="13" xfId="3" applyNumberFormat="1" applyFont="1" applyFill="1" applyBorder="1" applyAlignment="1">
      <alignment horizontal="center" vertical="center" wrapText="1"/>
    </xf>
    <xf numFmtId="10" fontId="3" fillId="7" borderId="16" xfId="3" applyNumberFormat="1" applyFont="1" applyFill="1" applyBorder="1" applyAlignment="1">
      <alignment horizontal="center" vertical="center" wrapText="1"/>
    </xf>
    <xf numFmtId="1" fontId="6" fillId="7" borderId="13" xfId="0" applyNumberFormat="1" applyFont="1" applyFill="1" applyBorder="1" applyAlignment="1">
      <alignment horizontal="center" vertical="center" wrapText="1"/>
    </xf>
    <xf numFmtId="1" fontId="6" fillId="7" borderId="16" xfId="0" applyNumberFormat="1"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14" xfId="0" applyFont="1" applyFill="1" applyBorder="1" applyAlignment="1">
      <alignment horizontal="center" vertical="center" wrapText="1"/>
    </xf>
    <xf numFmtId="1" fontId="6" fillId="7" borderId="1" xfId="0" applyNumberFormat="1" applyFont="1" applyFill="1" applyBorder="1" applyAlignment="1">
      <alignment horizontal="center" vertical="center" wrapText="1"/>
    </xf>
    <xf numFmtId="0" fontId="3" fillId="7" borderId="1" xfId="0" applyFont="1" applyFill="1" applyBorder="1" applyAlignment="1">
      <alignment horizontal="justify" vertical="center" wrapText="1"/>
    </xf>
    <xf numFmtId="10" fontId="3" fillId="7" borderId="1" xfId="3" applyNumberFormat="1"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10" fontId="3" fillId="0" borderId="13" xfId="3" applyNumberFormat="1" applyFont="1" applyBorder="1" applyAlignment="1">
      <alignment horizontal="center" vertical="center" wrapText="1"/>
    </xf>
    <xf numFmtId="10" fontId="3" fillId="0" borderId="15" xfId="3" applyNumberFormat="1" applyFont="1" applyBorder="1" applyAlignment="1">
      <alignment horizontal="center" vertical="center" wrapText="1"/>
    </xf>
    <xf numFmtId="0" fontId="13" fillId="0" borderId="73"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87" xfId="0" applyFont="1" applyBorder="1" applyAlignment="1">
      <alignment horizontal="center" vertical="center" wrapText="1"/>
    </xf>
    <xf numFmtId="0" fontId="3" fillId="7" borderId="75" xfId="0" applyFont="1" applyFill="1" applyBorder="1" applyAlignment="1">
      <alignment horizontal="center" vertical="center" wrapText="1"/>
    </xf>
    <xf numFmtId="0" fontId="3" fillId="7" borderId="76" xfId="0" applyFont="1" applyFill="1" applyBorder="1" applyAlignment="1">
      <alignment horizontal="center" vertical="center" wrapText="1"/>
    </xf>
    <xf numFmtId="0" fontId="3" fillId="7" borderId="82" xfId="0" applyFont="1" applyFill="1" applyBorder="1" applyAlignment="1">
      <alignment horizontal="center" vertical="center" wrapText="1"/>
    </xf>
    <xf numFmtId="49" fontId="3" fillId="7" borderId="13" xfId="0" applyNumberFormat="1" applyFont="1" applyFill="1" applyBorder="1" applyAlignment="1">
      <alignment horizontal="center" vertical="center" wrapText="1"/>
    </xf>
    <xf numFmtId="49" fontId="3" fillId="7" borderId="16" xfId="0" applyNumberFormat="1" applyFont="1" applyFill="1" applyBorder="1" applyAlignment="1">
      <alignment horizontal="center" vertical="center" wrapText="1"/>
    </xf>
    <xf numFmtId="3" fontId="3" fillId="7" borderId="41" xfId="0" applyNumberFormat="1" applyFont="1" applyFill="1" applyBorder="1" applyAlignment="1">
      <alignment horizontal="center" vertical="center" wrapText="1"/>
    </xf>
    <xf numFmtId="3" fontId="3" fillId="7" borderId="67" xfId="0" applyNumberFormat="1" applyFont="1" applyFill="1" applyBorder="1" applyAlignment="1">
      <alignment horizontal="center" vertical="center" wrapText="1"/>
    </xf>
    <xf numFmtId="0" fontId="3" fillId="0" borderId="75" xfId="0" applyFont="1" applyBorder="1" applyAlignment="1">
      <alignment horizontal="left" vertical="center" wrapText="1"/>
    </xf>
    <xf numFmtId="0" fontId="3" fillId="0" borderId="82" xfId="0" applyFont="1" applyBorder="1" applyAlignment="1">
      <alignment horizontal="left" vertical="center" wrapText="1"/>
    </xf>
    <xf numFmtId="0" fontId="13" fillId="0" borderId="38" xfId="0" applyFont="1" applyBorder="1" applyAlignment="1">
      <alignment horizontal="center" vertical="center" wrapText="1"/>
    </xf>
    <xf numFmtId="0" fontId="13" fillId="0" borderId="1" xfId="0" applyFont="1" applyBorder="1" applyAlignment="1">
      <alignment horizontal="center" vertical="center"/>
    </xf>
    <xf numFmtId="0" fontId="13" fillId="0" borderId="40" xfId="0" applyFont="1" applyBorder="1" applyAlignment="1">
      <alignment horizontal="center" vertical="center"/>
    </xf>
    <xf numFmtId="14" fontId="13" fillId="0" borderId="38" xfId="0" applyNumberFormat="1" applyFont="1" applyBorder="1" applyAlignment="1">
      <alignment horizontal="center" vertical="center"/>
    </xf>
    <xf numFmtId="0" fontId="13" fillId="0" borderId="38" xfId="0" applyFont="1" applyBorder="1" applyAlignment="1">
      <alignment horizontal="center" vertical="center"/>
    </xf>
    <xf numFmtId="0" fontId="13" fillId="7" borderId="38" xfId="0" applyFont="1" applyFill="1" applyBorder="1" applyAlignment="1">
      <alignment horizontal="center" vertical="center"/>
    </xf>
    <xf numFmtId="0" fontId="13" fillId="7" borderId="1" xfId="0" applyFont="1" applyFill="1" applyBorder="1" applyAlignment="1">
      <alignment horizontal="center" vertical="center"/>
    </xf>
    <xf numFmtId="0" fontId="13" fillId="7" borderId="40" xfId="0" applyFont="1" applyFill="1" applyBorder="1" applyAlignment="1">
      <alignment horizontal="center" vertical="center"/>
    </xf>
    <xf numFmtId="43" fontId="13" fillId="0" borderId="35" xfId="1" applyFont="1" applyBorder="1" applyAlignment="1">
      <alignment horizontal="center" vertical="center"/>
    </xf>
    <xf numFmtId="43" fontId="13" fillId="0" borderId="15" xfId="1" applyFont="1" applyBorder="1" applyAlignment="1">
      <alignment horizontal="center" vertical="center"/>
    </xf>
    <xf numFmtId="43" fontId="13" fillId="0" borderId="16" xfId="1" applyFont="1" applyBorder="1" applyAlignment="1">
      <alignment horizontal="center" vertical="center"/>
    </xf>
    <xf numFmtId="9" fontId="13" fillId="0" borderId="38" xfId="3" applyFont="1" applyBorder="1" applyAlignment="1">
      <alignment horizontal="center" vertical="center"/>
    </xf>
    <xf numFmtId="9" fontId="13" fillId="0" borderId="1" xfId="3" applyFont="1" applyBorder="1" applyAlignment="1">
      <alignment horizontal="center" vertical="center"/>
    </xf>
    <xf numFmtId="9" fontId="13" fillId="0" borderId="13" xfId="3" applyFont="1" applyBorder="1" applyAlignment="1">
      <alignment horizontal="center" vertical="center"/>
    </xf>
    <xf numFmtId="1" fontId="3" fillId="0" borderId="35" xfId="0" applyNumberFormat="1" applyFont="1" applyBorder="1" applyAlignment="1">
      <alignment horizontal="center" vertical="center" wrapText="1"/>
    </xf>
    <xf numFmtId="1" fontId="3" fillId="0" borderId="29" xfId="0" applyNumberFormat="1" applyFont="1" applyBorder="1" applyAlignment="1">
      <alignment horizontal="center" vertical="center" wrapText="1"/>
    </xf>
    <xf numFmtId="0" fontId="13" fillId="7" borderId="38" xfId="0" applyNumberFormat="1" applyFont="1" applyFill="1" applyBorder="1" applyAlignment="1">
      <alignment horizontal="center" vertical="center"/>
    </xf>
    <xf numFmtId="0" fontId="13" fillId="7" borderId="1" xfId="0" applyNumberFormat="1" applyFont="1" applyFill="1" applyBorder="1" applyAlignment="1">
      <alignment horizontal="center" vertical="center"/>
    </xf>
    <xf numFmtId="0" fontId="13" fillId="7" borderId="40" xfId="0" applyNumberFormat="1" applyFont="1" applyFill="1" applyBorder="1" applyAlignment="1">
      <alignment horizontal="center" vertical="center"/>
    </xf>
    <xf numFmtId="0" fontId="3" fillId="0" borderId="35" xfId="0" applyFont="1" applyBorder="1" applyAlignment="1">
      <alignment horizontal="center" vertical="center" wrapText="1"/>
    </xf>
    <xf numFmtId="0" fontId="3" fillId="0" borderId="35"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29" xfId="0" applyNumberFormat="1" applyFont="1" applyBorder="1" applyAlignment="1">
      <alignment horizontal="center" vertical="center" wrapText="1"/>
    </xf>
    <xf numFmtId="3" fontId="3" fillId="0" borderId="35" xfId="0" applyNumberFormat="1" applyFont="1" applyBorder="1" applyAlignment="1">
      <alignment horizontal="center" vertical="center" wrapText="1"/>
    </xf>
    <xf numFmtId="3" fontId="3" fillId="0" borderId="84" xfId="0" applyNumberFormat="1" applyFont="1" applyBorder="1" applyAlignment="1">
      <alignment horizontal="center" vertical="center" wrapText="1"/>
    </xf>
    <xf numFmtId="3" fontId="3" fillId="0" borderId="76" xfId="0" applyNumberFormat="1" applyFont="1" applyBorder="1" applyAlignment="1">
      <alignment horizontal="center" vertical="center" wrapText="1"/>
    </xf>
    <xf numFmtId="3" fontId="3" fillId="0" borderId="88" xfId="0" applyNumberFormat="1" applyFont="1" applyBorder="1" applyAlignment="1">
      <alignment horizontal="center" vertical="center" wrapText="1"/>
    </xf>
    <xf numFmtId="0" fontId="3" fillId="7" borderId="15" xfId="0" applyFont="1" applyFill="1" applyBorder="1" applyAlignment="1">
      <alignment horizontal="center" vertical="center" wrapText="1"/>
    </xf>
    <xf numFmtId="0" fontId="3" fillId="7" borderId="15" xfId="0" applyFont="1" applyFill="1" applyBorder="1" applyAlignment="1">
      <alignment horizontal="justify" vertical="center" wrapText="1"/>
    </xf>
    <xf numFmtId="10" fontId="3" fillId="7" borderId="15" xfId="3" applyNumberFormat="1" applyFont="1" applyFill="1" applyBorder="1" applyAlignment="1">
      <alignment horizontal="center" vertical="center" wrapText="1"/>
    </xf>
    <xf numFmtId="0" fontId="3" fillId="7" borderId="41" xfId="0" applyFont="1" applyFill="1" applyBorder="1" applyAlignment="1">
      <alignment horizontal="center" vertical="center" wrapText="1"/>
    </xf>
    <xf numFmtId="0" fontId="3" fillId="7" borderId="64" xfId="0" applyFont="1" applyFill="1" applyBorder="1" applyAlignment="1">
      <alignment horizontal="center" vertical="center" wrapText="1"/>
    </xf>
    <xf numFmtId="0" fontId="3" fillId="7" borderId="67" xfId="0" applyFont="1" applyFill="1" applyBorder="1" applyAlignment="1">
      <alignment horizontal="center" vertical="center" wrapText="1"/>
    </xf>
    <xf numFmtId="3" fontId="3" fillId="9" borderId="57" xfId="28" applyNumberFormat="1" applyFont="1" applyFill="1" applyBorder="1" applyAlignment="1">
      <alignment horizontal="center" vertical="center"/>
    </xf>
    <xf numFmtId="3" fontId="3" fillId="9" borderId="58" xfId="28" applyNumberFormat="1" applyFont="1" applyFill="1" applyBorder="1" applyAlignment="1">
      <alignment horizontal="center" vertical="center"/>
    </xf>
    <xf numFmtId="3" fontId="3" fillId="9" borderId="86" xfId="28" applyNumberFormat="1" applyFont="1" applyFill="1" applyBorder="1" applyAlignment="1">
      <alignment horizontal="center" vertical="center"/>
    </xf>
    <xf numFmtId="0" fontId="6" fillId="0" borderId="16" xfId="0" applyFont="1" applyBorder="1" applyAlignment="1">
      <alignment horizontal="center" vertical="center" wrapText="1"/>
    </xf>
    <xf numFmtId="166" fontId="13" fillId="0" borderId="1" xfId="0" applyNumberFormat="1" applyFont="1" applyBorder="1" applyAlignment="1">
      <alignment horizontal="center" vertical="center" wrapText="1"/>
    </xf>
    <xf numFmtId="166" fontId="13" fillId="0" borderId="13"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3" fontId="13" fillId="0" borderId="13" xfId="0" applyNumberFormat="1" applyFont="1" applyBorder="1" applyAlignment="1">
      <alignment horizontal="center" vertical="center" wrapText="1"/>
    </xf>
    <xf numFmtId="1" fontId="3" fillId="7" borderId="13" xfId="0" applyNumberFormat="1" applyFont="1" applyFill="1" applyBorder="1" applyAlignment="1">
      <alignment horizontal="center" vertical="center" wrapText="1"/>
    </xf>
    <xf numFmtId="1" fontId="3" fillId="7" borderId="15" xfId="0" applyNumberFormat="1" applyFont="1" applyFill="1" applyBorder="1" applyAlignment="1">
      <alignment horizontal="center" vertical="center" wrapText="1"/>
    </xf>
    <xf numFmtId="1" fontId="3" fillId="7" borderId="16" xfId="0" applyNumberFormat="1" applyFont="1" applyFill="1" applyBorder="1" applyAlignment="1">
      <alignment horizontal="center" vertical="center" wrapText="1"/>
    </xf>
    <xf numFmtId="9" fontId="3" fillId="7" borderId="16" xfId="3" applyFont="1" applyFill="1" applyBorder="1" applyAlignment="1">
      <alignment horizontal="center" vertical="center" wrapText="1"/>
    </xf>
    <xf numFmtId="9" fontId="13" fillId="0" borderId="1" xfId="0" applyNumberFormat="1" applyFont="1" applyBorder="1" applyAlignment="1">
      <alignment horizontal="center" vertical="center" wrapText="1"/>
    </xf>
    <xf numFmtId="9" fontId="13" fillId="0" borderId="13" xfId="0" applyNumberFormat="1" applyFont="1" applyBorder="1" applyAlignment="1">
      <alignment horizontal="center" vertical="center" wrapText="1"/>
    </xf>
    <xf numFmtId="0" fontId="13" fillId="0" borderId="1" xfId="0" applyFont="1" applyBorder="1" applyAlignment="1">
      <alignment horizontal="center" vertical="center" wrapText="1"/>
    </xf>
    <xf numFmtId="3" fontId="12" fillId="0" borderId="1" xfId="0" applyNumberFormat="1" applyFont="1" applyBorder="1" applyAlignment="1">
      <alignment horizontal="center" vertical="center"/>
    </xf>
    <xf numFmtId="3" fontId="12" fillId="0" borderId="13" xfId="0" applyNumberFormat="1" applyFont="1" applyBorder="1" applyAlignment="1">
      <alignment horizontal="center" vertical="center"/>
    </xf>
    <xf numFmtId="0" fontId="13" fillId="7" borderId="1" xfId="0" applyFont="1" applyFill="1" applyBorder="1" applyAlignment="1">
      <alignment horizontal="center" vertical="center" wrapText="1"/>
    </xf>
    <xf numFmtId="0" fontId="13" fillId="7" borderId="13" xfId="0" applyFont="1" applyFill="1" applyBorder="1" applyAlignment="1">
      <alignment horizontal="center" vertical="center" wrapText="1"/>
    </xf>
    <xf numFmtId="43" fontId="13" fillId="0" borderId="1" xfId="1" applyFont="1" applyBorder="1" applyAlignment="1">
      <alignment horizontal="center" vertical="center" wrapText="1"/>
    </xf>
    <xf numFmtId="43" fontId="13" fillId="0" borderId="13" xfId="1" applyFont="1" applyBorder="1" applyAlignment="1">
      <alignment horizontal="center" vertical="center" wrapText="1"/>
    </xf>
    <xf numFmtId="0" fontId="3" fillId="0" borderId="84" xfId="0" applyFont="1" applyBorder="1" applyAlignment="1">
      <alignment horizontal="left" vertical="center" wrapText="1"/>
    </xf>
    <xf numFmtId="14" fontId="13" fillId="0" borderId="13" xfId="0" applyNumberFormat="1" applyFont="1" applyBorder="1" applyAlignment="1">
      <alignment horizontal="center" vertical="center"/>
    </xf>
    <xf numFmtId="14" fontId="13" fillId="0" borderId="16" xfId="0" applyNumberFormat="1" applyFont="1" applyBorder="1" applyAlignment="1">
      <alignment horizontal="center" vertical="center"/>
    </xf>
    <xf numFmtId="3" fontId="13" fillId="0" borderId="16" xfId="0" applyNumberFormat="1" applyFont="1" applyBorder="1" applyAlignment="1">
      <alignment horizontal="center" vertical="center" wrapText="1"/>
    </xf>
    <xf numFmtId="3" fontId="12" fillId="0" borderId="16" xfId="0" applyNumberFormat="1" applyFont="1" applyBorder="1" applyAlignment="1">
      <alignment horizontal="center" vertical="center"/>
    </xf>
    <xf numFmtId="3" fontId="12" fillId="7" borderId="13" xfId="0" applyNumberFormat="1" applyFont="1" applyFill="1" applyBorder="1" applyAlignment="1">
      <alignment horizontal="center" vertical="center"/>
    </xf>
    <xf numFmtId="3" fontId="12" fillId="7" borderId="16" xfId="0" applyNumberFormat="1" applyFont="1" applyFill="1" applyBorder="1" applyAlignment="1">
      <alignment horizontal="center" vertical="center"/>
    </xf>
    <xf numFmtId="9" fontId="14" fillId="0" borderId="13" xfId="3" applyFont="1" applyBorder="1" applyAlignment="1">
      <alignment horizontal="center" vertical="center"/>
    </xf>
    <xf numFmtId="9" fontId="14" fillId="0" borderId="16" xfId="3" applyFont="1" applyBorder="1" applyAlignment="1">
      <alignment horizontal="center" vertical="center"/>
    </xf>
    <xf numFmtId="43" fontId="13" fillId="0" borderId="16" xfId="1" applyFont="1" applyBorder="1" applyAlignment="1">
      <alignment horizontal="center" vertical="center" wrapText="1"/>
    </xf>
    <xf numFmtId="166" fontId="13" fillId="0" borderId="16" xfId="0" applyNumberFormat="1" applyFont="1" applyBorder="1" applyAlignment="1">
      <alignment horizontal="center" vertical="center" wrapText="1"/>
    </xf>
    <xf numFmtId="0" fontId="13" fillId="7" borderId="16" xfId="0" applyFont="1" applyFill="1" applyBorder="1" applyAlignment="1">
      <alignment horizontal="center" vertical="center" wrapText="1"/>
    </xf>
    <xf numFmtId="43" fontId="13" fillId="0" borderId="13" xfId="0" applyNumberFormat="1" applyFont="1" applyBorder="1" applyAlignment="1">
      <alignment horizontal="center" vertical="center" wrapText="1"/>
    </xf>
    <xf numFmtId="166" fontId="13" fillId="0" borderId="15" xfId="0" applyNumberFormat="1" applyFont="1" applyBorder="1" applyAlignment="1">
      <alignment horizontal="center" vertical="center" wrapText="1"/>
    </xf>
    <xf numFmtId="3" fontId="13" fillId="0" borderId="15" xfId="0" applyNumberFormat="1" applyFont="1" applyBorder="1" applyAlignment="1">
      <alignment horizontal="center" vertical="center" wrapText="1"/>
    </xf>
    <xf numFmtId="3" fontId="12" fillId="0" borderId="15" xfId="0" applyNumberFormat="1" applyFont="1" applyBorder="1" applyAlignment="1">
      <alignment horizontal="center" vertical="center"/>
    </xf>
    <xf numFmtId="9" fontId="13" fillId="0" borderId="13" xfId="3" applyFont="1" applyBorder="1" applyAlignment="1">
      <alignment horizontal="center" vertical="center" wrapText="1"/>
    </xf>
    <xf numFmtId="9" fontId="13" fillId="0" borderId="15" xfId="3" applyFont="1" applyBorder="1" applyAlignment="1">
      <alignment horizontal="center" vertical="center" wrapText="1"/>
    </xf>
    <xf numFmtId="9" fontId="13" fillId="0" borderId="16" xfId="3" applyFont="1" applyBorder="1" applyAlignment="1">
      <alignment horizontal="center" vertical="center" wrapText="1"/>
    </xf>
    <xf numFmtId="43" fontId="13" fillId="0" borderId="15" xfId="1" applyFont="1" applyBorder="1" applyAlignment="1">
      <alignment horizontal="center" vertical="center" wrapText="1"/>
    </xf>
    <xf numFmtId="3" fontId="3" fillId="7" borderId="16" xfId="0" applyNumberFormat="1" applyFont="1" applyFill="1" applyBorder="1" applyAlignment="1">
      <alignment horizontal="center" vertical="center" wrapText="1"/>
    </xf>
    <xf numFmtId="0" fontId="7" fillId="3" borderId="6" xfId="0" applyFont="1" applyFill="1" applyBorder="1" applyAlignment="1">
      <alignment horizontal="center" vertical="center" textRotation="90" wrapText="1"/>
    </xf>
    <xf numFmtId="0" fontId="7" fillId="3" borderId="8" xfId="0" applyFont="1" applyFill="1" applyBorder="1" applyAlignment="1">
      <alignment horizontal="center" vertical="center" textRotation="90" wrapText="1"/>
    </xf>
    <xf numFmtId="0" fontId="7" fillId="3" borderId="5" xfId="0" applyFont="1" applyFill="1" applyBorder="1" applyAlignment="1">
      <alignment horizontal="center" vertical="center" wrapText="1"/>
    </xf>
    <xf numFmtId="0" fontId="7" fillId="3" borderId="14" xfId="0" applyFont="1" applyFill="1" applyBorder="1" applyAlignment="1">
      <alignment horizontal="center" vertical="center" wrapText="1"/>
    </xf>
    <xf numFmtId="3" fontId="4" fillId="5" borderId="13" xfId="0" applyNumberFormat="1" applyFont="1" applyFill="1" applyBorder="1" applyAlignment="1">
      <alignment horizontal="center" vertical="center" wrapText="1"/>
    </xf>
    <xf numFmtId="3" fontId="4" fillId="5" borderId="16" xfId="0" applyNumberFormat="1" applyFont="1" applyFill="1" applyBorder="1" applyAlignment="1">
      <alignment horizontal="center" vertical="center" wrapText="1"/>
    </xf>
    <xf numFmtId="9" fontId="4" fillId="5" borderId="13" xfId="9" applyFont="1" applyFill="1" applyBorder="1" applyAlignment="1">
      <alignment horizontal="center" vertical="center" wrapText="1"/>
    </xf>
    <xf numFmtId="9" fontId="4" fillId="5" borderId="16" xfId="9" applyFont="1" applyFill="1" applyBorder="1" applyAlignment="1">
      <alignment horizontal="center" vertical="center" wrapText="1"/>
    </xf>
    <xf numFmtId="0" fontId="7" fillId="4" borderId="3" xfId="0" applyFont="1" applyFill="1" applyBorder="1" applyAlignment="1">
      <alignment horizontal="center" vertical="center" textRotation="90" wrapText="1"/>
    </xf>
    <xf numFmtId="0" fontId="7" fillId="4" borderId="9" xfId="0" applyFont="1" applyFill="1" applyBorder="1" applyAlignment="1">
      <alignment horizontal="center" vertical="center" textRotation="90" wrapText="1"/>
    </xf>
    <xf numFmtId="0" fontId="7" fillId="4" borderId="5" xfId="0" applyFont="1" applyFill="1" applyBorder="1" applyAlignment="1">
      <alignment horizontal="center" vertical="center" textRotation="90" wrapText="1"/>
    </xf>
    <xf numFmtId="0" fontId="7" fillId="4" borderId="14" xfId="0" applyFont="1" applyFill="1" applyBorder="1" applyAlignment="1">
      <alignment horizontal="center" vertical="center" textRotation="90" wrapText="1"/>
    </xf>
    <xf numFmtId="3" fontId="7" fillId="4" borderId="6" xfId="0" applyNumberFormat="1" applyFont="1" applyFill="1" applyBorder="1" applyAlignment="1">
      <alignment horizontal="center" vertical="center" wrapText="1"/>
    </xf>
    <xf numFmtId="3" fontId="7" fillId="4" borderId="7" xfId="0" applyNumberFormat="1" applyFont="1" applyFill="1" applyBorder="1" applyAlignment="1">
      <alignment horizontal="center" vertical="center" wrapText="1"/>
    </xf>
    <xf numFmtId="3" fontId="7" fillId="4" borderId="8" xfId="0" applyNumberFormat="1"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13" fillId="7" borderId="1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165" fontId="7" fillId="3" borderId="5" xfId="4" applyFont="1" applyFill="1" applyBorder="1" applyAlignment="1">
      <alignment horizontal="center" vertical="center"/>
    </xf>
    <xf numFmtId="165" fontId="7" fillId="3" borderId="2" xfId="4" applyFont="1" applyFill="1" applyBorder="1" applyAlignment="1">
      <alignment horizontal="center" vertical="center"/>
    </xf>
    <xf numFmtId="165" fontId="7" fillId="3" borderId="14" xfId="4" applyFont="1" applyFill="1" applyBorder="1" applyAlignment="1">
      <alignment horizontal="center" vertical="center"/>
    </xf>
    <xf numFmtId="166" fontId="7" fillId="3" borderId="17" xfId="0" applyNumberFormat="1" applyFont="1" applyFill="1" applyBorder="1" applyAlignment="1">
      <alignment horizontal="center" vertical="center" wrapText="1"/>
    </xf>
    <xf numFmtId="166" fontId="7" fillId="3" borderId="18" xfId="0" applyNumberFormat="1" applyFont="1" applyFill="1" applyBorder="1" applyAlignment="1">
      <alignment horizontal="center" vertical="center" wrapText="1"/>
    </xf>
    <xf numFmtId="3" fontId="5" fillId="3" borderId="15" xfId="0" applyNumberFormat="1" applyFont="1" applyFill="1" applyBorder="1" applyAlignment="1">
      <alignment horizontal="center" vertical="center" wrapText="1"/>
    </xf>
    <xf numFmtId="49" fontId="7" fillId="3" borderId="6" xfId="0" applyNumberFormat="1" applyFont="1" applyFill="1" applyBorder="1" applyAlignment="1">
      <alignment horizontal="center" vertical="center" textRotation="90" wrapText="1"/>
    </xf>
    <xf numFmtId="49" fontId="7" fillId="3" borderId="8" xfId="0" applyNumberFormat="1" applyFont="1" applyFill="1" applyBorder="1" applyAlignment="1">
      <alignment horizontal="center" vertical="center" textRotation="90"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3" xfId="0" applyFont="1" applyFill="1" applyBorder="1" applyAlignment="1">
      <alignment horizontal="center" vertical="center" textRotation="90" wrapText="1"/>
    </xf>
    <xf numFmtId="0" fontId="8" fillId="4" borderId="4" xfId="0" applyFont="1" applyFill="1" applyBorder="1" applyAlignment="1">
      <alignment horizontal="center" vertical="center" textRotation="90" wrapText="1"/>
    </xf>
    <xf numFmtId="0" fontId="8" fillId="4" borderId="5" xfId="0" applyFont="1" applyFill="1" applyBorder="1" applyAlignment="1">
      <alignment horizontal="center" vertical="center" textRotation="90" wrapText="1"/>
    </xf>
    <xf numFmtId="0" fontId="8" fillId="4" borderId="2" xfId="0" applyFont="1" applyFill="1" applyBorder="1" applyAlignment="1">
      <alignment horizontal="center" vertical="center" textRotation="90" wrapText="1"/>
    </xf>
    <xf numFmtId="1" fontId="6" fillId="3" borderId="74" xfId="0" applyNumberFormat="1" applyFont="1" applyFill="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6" fillId="0" borderId="61" xfId="0" applyFont="1" applyBorder="1" applyAlignment="1">
      <alignment horizontal="center" vertical="center"/>
    </xf>
    <xf numFmtId="0" fontId="6" fillId="0" borderId="60" xfId="0" applyFont="1" applyBorder="1" applyAlignment="1">
      <alignment horizontal="center" vertical="center"/>
    </xf>
    <xf numFmtId="0" fontId="6" fillId="0" borderId="39"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3" borderId="3" xfId="0" applyFont="1" applyFill="1" applyBorder="1" applyAlignment="1">
      <alignment horizontal="center" vertical="center" wrapText="1"/>
    </xf>
    <xf numFmtId="0" fontId="6" fillId="3" borderId="9" xfId="0" applyFont="1" applyFill="1" applyBorder="1" applyAlignment="1">
      <alignment horizontal="center" vertical="center" wrapText="1"/>
    </xf>
    <xf numFmtId="3" fontId="8" fillId="4" borderId="6" xfId="0" applyNumberFormat="1" applyFont="1" applyFill="1" applyBorder="1" applyAlignment="1">
      <alignment horizontal="center" vertical="center" wrapText="1"/>
    </xf>
    <xf numFmtId="3" fontId="8" fillId="4" borderId="7" xfId="0" applyNumberFormat="1" applyFont="1" applyFill="1" applyBorder="1" applyAlignment="1">
      <alignment horizontal="center" vertical="center" wrapText="1"/>
    </xf>
    <xf numFmtId="3" fontId="8" fillId="4" borderId="8" xfId="0" applyNumberFormat="1" applyFont="1" applyFill="1" applyBorder="1" applyAlignment="1">
      <alignment horizontal="center" vertical="center" wrapText="1"/>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169" fontId="6" fillId="3" borderId="3" xfId="0" applyNumberFormat="1" applyFont="1" applyFill="1" applyBorder="1" applyAlignment="1">
      <alignment horizontal="center" vertical="center" wrapText="1"/>
    </xf>
    <xf numFmtId="169" fontId="6" fillId="3" borderId="5" xfId="0" applyNumberFormat="1" applyFont="1" applyFill="1" applyBorder="1" applyAlignment="1">
      <alignment horizontal="center" vertical="center" wrapText="1"/>
    </xf>
    <xf numFmtId="169" fontId="6" fillId="3" borderId="13" xfId="0" applyNumberFormat="1" applyFont="1" applyFill="1" applyBorder="1" applyAlignment="1">
      <alignment horizontal="center" vertical="center" wrapText="1"/>
    </xf>
    <xf numFmtId="0" fontId="22" fillId="3" borderId="6" xfId="0" applyFont="1" applyFill="1" applyBorder="1" applyAlignment="1">
      <alignment horizontal="center" vertical="center" textRotation="90" wrapText="1"/>
    </xf>
    <xf numFmtId="0" fontId="22" fillId="3" borderId="8" xfId="0" applyFont="1" applyFill="1" applyBorder="1" applyAlignment="1">
      <alignment horizontal="center" vertical="center" textRotation="90" wrapText="1"/>
    </xf>
    <xf numFmtId="170" fontId="6" fillId="3" borderId="1" xfId="0" applyNumberFormat="1" applyFont="1" applyFill="1" applyBorder="1" applyAlignment="1">
      <alignment horizontal="center" vertical="center" wrapText="1"/>
    </xf>
    <xf numFmtId="169" fontId="6" fillId="3" borderId="1" xfId="0" applyNumberFormat="1"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167" fontId="6" fillId="3" borderId="6" xfId="0" applyNumberFormat="1" applyFont="1" applyFill="1" applyBorder="1" applyAlignment="1">
      <alignment horizontal="center" vertical="center" wrapText="1"/>
    </xf>
    <xf numFmtId="167" fontId="6" fillId="3" borderId="8" xfId="0" applyNumberFormat="1" applyFont="1" applyFill="1" applyBorder="1" applyAlignment="1">
      <alignment horizontal="center" vertical="center" wrapText="1"/>
    </xf>
    <xf numFmtId="167" fontId="6" fillId="3" borderId="1" xfId="0" applyNumberFormat="1" applyFont="1" applyFill="1" applyBorder="1" applyAlignment="1">
      <alignment horizontal="center" vertical="center" wrapText="1"/>
    </xf>
    <xf numFmtId="3" fontId="6" fillId="3" borderId="39" xfId="0" applyNumberFormat="1" applyFont="1" applyFill="1" applyBorder="1" applyAlignment="1">
      <alignment horizontal="center" vertical="center" wrapText="1"/>
    </xf>
    <xf numFmtId="1" fontId="6" fillId="7" borderId="9" xfId="0" applyNumberFormat="1" applyFont="1" applyFill="1" applyBorder="1" applyAlignment="1">
      <alignment horizontal="center" vertical="center" wrapText="1"/>
    </xf>
    <xf numFmtId="1" fontId="6" fillId="7" borderId="18" xfId="0" applyNumberFormat="1" applyFont="1" applyFill="1" applyBorder="1" applyAlignment="1">
      <alignment horizontal="center" vertical="center" wrapText="1"/>
    </xf>
    <xf numFmtId="1" fontId="6" fillId="7" borderId="14" xfId="0" applyNumberFormat="1"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1" xfId="0" applyFont="1" applyFill="1" applyBorder="1" applyAlignment="1">
      <alignment horizontal="center" vertical="center" wrapText="1"/>
    </xf>
    <xf numFmtId="3" fontId="13" fillId="7" borderId="13" xfId="21" applyNumberFormat="1" applyFont="1" applyFill="1" applyBorder="1" applyAlignment="1">
      <alignment horizontal="center" vertical="center" wrapText="1"/>
    </xf>
    <xf numFmtId="3" fontId="13" fillId="7" borderId="16" xfId="21" applyNumberFormat="1" applyFont="1" applyFill="1" applyBorder="1" applyAlignment="1">
      <alignment horizontal="center" vertical="center" wrapText="1"/>
    </xf>
    <xf numFmtId="165" fontId="13" fillId="7" borderId="13" xfId="21" applyFont="1" applyFill="1" applyBorder="1" applyAlignment="1">
      <alignment horizontal="left" vertical="center" wrapText="1"/>
    </xf>
    <xf numFmtId="165" fontId="13" fillId="7" borderId="16" xfId="21" applyFont="1" applyFill="1" applyBorder="1" applyAlignment="1">
      <alignment horizontal="left" vertical="center" wrapText="1"/>
    </xf>
    <xf numFmtId="165" fontId="13" fillId="0" borderId="13" xfId="21" applyFont="1" applyFill="1" applyBorder="1" applyAlignment="1">
      <alignment horizontal="left" vertical="center" wrapText="1"/>
    </xf>
    <xf numFmtId="165" fontId="13" fillId="0" borderId="16" xfId="21" applyFont="1" applyFill="1" applyBorder="1" applyAlignment="1">
      <alignment horizontal="left" vertical="center" wrapText="1"/>
    </xf>
    <xf numFmtId="3" fontId="13" fillId="0" borderId="13" xfId="21" applyNumberFormat="1" applyFont="1" applyBorder="1" applyAlignment="1">
      <alignment horizontal="center" vertical="center"/>
    </xf>
    <xf numFmtId="3" fontId="13" fillId="0" borderId="16" xfId="21" applyNumberFormat="1" applyFont="1" applyBorder="1" applyAlignment="1">
      <alignment horizontal="center" vertical="center"/>
    </xf>
    <xf numFmtId="165" fontId="13" fillId="7" borderId="4" xfId="21" applyFont="1" applyFill="1" applyBorder="1" applyAlignment="1">
      <alignment horizontal="justify" vertical="center" wrapText="1"/>
    </xf>
    <xf numFmtId="165" fontId="13" fillId="7" borderId="0" xfId="21" applyFont="1" applyFill="1" applyBorder="1" applyAlignment="1">
      <alignment horizontal="justify" vertical="center" wrapText="1"/>
    </xf>
    <xf numFmtId="49" fontId="13" fillId="0" borderId="1" xfId="21" applyNumberFormat="1" applyFont="1" applyFill="1" applyBorder="1" applyAlignment="1">
      <alignment horizontal="center" vertical="center" wrapText="1"/>
    </xf>
    <xf numFmtId="165" fontId="13" fillId="7" borderId="3" xfId="21" applyFont="1" applyFill="1" applyBorder="1" applyAlignment="1">
      <alignment horizontal="justify" vertical="center" wrapText="1"/>
    </xf>
    <xf numFmtId="165" fontId="13" fillId="7" borderId="17" xfId="21" applyFont="1" applyFill="1" applyBorder="1" applyAlignment="1">
      <alignment horizontal="justify" vertical="center" wrapText="1"/>
    </xf>
    <xf numFmtId="165" fontId="13" fillId="0" borderId="13" xfId="21" applyFont="1" applyFill="1" applyBorder="1" applyAlignment="1">
      <alignment horizontal="center" vertical="center" wrapText="1"/>
    </xf>
    <xf numFmtId="165" fontId="13" fillId="0" borderId="15" xfId="21" applyFont="1" applyFill="1" applyBorder="1" applyAlignment="1">
      <alignment horizontal="center" vertical="center" wrapText="1"/>
    </xf>
    <xf numFmtId="165" fontId="13" fillId="0" borderId="16" xfId="21" applyFont="1" applyFill="1" applyBorder="1" applyAlignment="1">
      <alignment horizontal="center" vertical="center" wrapText="1"/>
    </xf>
    <xf numFmtId="3" fontId="13" fillId="0" borderId="15" xfId="21" applyNumberFormat="1" applyFont="1" applyBorder="1" applyAlignment="1">
      <alignment horizontal="center" vertical="center"/>
    </xf>
    <xf numFmtId="4" fontId="13" fillId="7" borderId="13" xfId="21" applyNumberFormat="1" applyFont="1" applyFill="1" applyBorder="1" applyAlignment="1">
      <alignment horizontal="center" vertical="center"/>
    </xf>
    <xf numFmtId="4" fontId="13" fillId="7" borderId="15" xfId="21" applyNumberFormat="1" applyFont="1" applyFill="1" applyBorder="1" applyAlignment="1">
      <alignment horizontal="center" vertical="center"/>
    </xf>
    <xf numFmtId="4" fontId="13" fillId="7" borderId="16" xfId="21" applyNumberFormat="1" applyFont="1" applyFill="1" applyBorder="1" applyAlignment="1">
      <alignment horizontal="center" vertical="center"/>
    </xf>
    <xf numFmtId="3" fontId="14" fillId="0" borderId="13" xfId="0" applyNumberFormat="1" applyFont="1" applyBorder="1" applyAlignment="1">
      <alignment horizontal="center" vertical="center"/>
    </xf>
    <xf numFmtId="3" fontId="14" fillId="0" borderId="15" xfId="0" applyNumberFormat="1" applyFont="1" applyBorder="1" applyAlignment="1">
      <alignment horizontal="center" vertical="center"/>
    </xf>
    <xf numFmtId="3" fontId="14" fillId="0" borderId="16" xfId="0" applyNumberFormat="1" applyFont="1" applyBorder="1" applyAlignment="1">
      <alignment horizontal="center" vertical="center"/>
    </xf>
    <xf numFmtId="3" fontId="14" fillId="0" borderId="13" xfId="0" applyNumberFormat="1" applyFont="1" applyBorder="1" applyAlignment="1">
      <alignment horizontal="justify" vertical="center"/>
    </xf>
    <xf numFmtId="3" fontId="14" fillId="0" borderId="15" xfId="0" applyNumberFormat="1" applyFont="1" applyBorder="1" applyAlignment="1">
      <alignment horizontal="justify" vertical="center"/>
    </xf>
    <xf numFmtId="3" fontId="14" fillId="0" borderId="16" xfId="0" applyNumberFormat="1" applyFont="1" applyBorder="1" applyAlignment="1">
      <alignment horizontal="justify" vertical="center"/>
    </xf>
    <xf numFmtId="3" fontId="14" fillId="7" borderId="13" xfId="0" applyNumberFormat="1" applyFont="1" applyFill="1" applyBorder="1" applyAlignment="1">
      <alignment horizontal="justify" vertical="center"/>
    </xf>
    <xf numFmtId="3" fontId="14" fillId="7" borderId="15" xfId="0" applyNumberFormat="1" applyFont="1" applyFill="1" applyBorder="1" applyAlignment="1">
      <alignment horizontal="justify" vertical="center"/>
    </xf>
    <xf numFmtId="3" fontId="14" fillId="7" borderId="16" xfId="0" applyNumberFormat="1" applyFont="1" applyFill="1" applyBorder="1" applyAlignment="1">
      <alignment horizontal="justify" vertical="center"/>
    </xf>
    <xf numFmtId="3" fontId="14" fillId="7" borderId="13" xfId="0" applyNumberFormat="1" applyFont="1" applyFill="1" applyBorder="1" applyAlignment="1">
      <alignment horizontal="center" vertical="center"/>
    </xf>
    <xf numFmtId="3" fontId="14" fillId="7" borderId="15" xfId="0" applyNumberFormat="1" applyFont="1" applyFill="1" applyBorder="1" applyAlignment="1">
      <alignment horizontal="center" vertical="center"/>
    </xf>
    <xf numFmtId="3" fontId="14" fillId="7" borderId="16" xfId="0" applyNumberFormat="1" applyFont="1" applyFill="1" applyBorder="1" applyAlignment="1">
      <alignment horizontal="center" vertical="center"/>
    </xf>
    <xf numFmtId="10" fontId="13" fillId="7" borderId="13" xfId="3" applyNumberFormat="1" applyFont="1" applyFill="1" applyBorder="1" applyAlignment="1">
      <alignment horizontal="center" vertical="center" wrapText="1"/>
    </xf>
    <xf numFmtId="10" fontId="13" fillId="7" borderId="16" xfId="3" applyNumberFormat="1" applyFont="1" applyFill="1" applyBorder="1" applyAlignment="1">
      <alignment horizontal="center" vertical="center" wrapText="1"/>
    </xf>
    <xf numFmtId="43" fontId="13" fillId="7" borderId="13" xfId="1" applyFont="1" applyFill="1" applyBorder="1" applyAlignment="1">
      <alignment horizontal="center" vertical="center" wrapText="1"/>
    </xf>
    <xf numFmtId="43" fontId="13" fillId="7" borderId="15" xfId="1" applyFont="1" applyFill="1" applyBorder="1" applyAlignment="1">
      <alignment horizontal="center" vertical="center" wrapText="1"/>
    </xf>
    <xf numFmtId="43" fontId="13" fillId="7" borderId="16" xfId="1" applyFont="1" applyFill="1" applyBorder="1" applyAlignment="1">
      <alignment horizontal="center" vertical="center" wrapText="1"/>
    </xf>
    <xf numFmtId="165" fontId="13" fillId="7" borderId="1" xfId="21" applyFont="1" applyFill="1" applyBorder="1" applyAlignment="1">
      <alignment horizontal="justify" vertical="center" wrapText="1"/>
    </xf>
    <xf numFmtId="165" fontId="13" fillId="7" borderId="6" xfId="21" applyFont="1" applyFill="1" applyBorder="1" applyAlignment="1">
      <alignment horizontal="justify" vertical="center" wrapText="1"/>
    </xf>
    <xf numFmtId="165" fontId="13" fillId="0" borderId="3" xfId="21" applyFont="1" applyFill="1" applyBorder="1" applyAlignment="1">
      <alignment horizontal="justify" vertical="center" wrapText="1"/>
    </xf>
    <xf numFmtId="165" fontId="13" fillId="0" borderId="5" xfId="21" applyFont="1" applyFill="1" applyBorder="1" applyAlignment="1">
      <alignment horizontal="justify" vertical="center" wrapText="1"/>
    </xf>
    <xf numFmtId="9" fontId="13" fillId="7" borderId="13" xfId="3" applyFont="1" applyFill="1" applyBorder="1" applyAlignment="1">
      <alignment horizontal="center" vertical="center" wrapText="1"/>
    </xf>
    <xf numFmtId="9" fontId="13" fillId="7" borderId="15" xfId="3" applyFont="1" applyFill="1" applyBorder="1" applyAlignment="1">
      <alignment horizontal="center" vertical="center" wrapText="1"/>
    </xf>
    <xf numFmtId="9" fontId="13" fillId="7" borderId="16" xfId="3" applyFont="1" applyFill="1" applyBorder="1" applyAlignment="1">
      <alignment horizontal="center" vertical="center" wrapText="1"/>
    </xf>
    <xf numFmtId="3" fontId="14" fillId="0" borderId="1" xfId="0" applyNumberFormat="1" applyFont="1" applyBorder="1" applyAlignment="1">
      <alignment horizontal="justify" vertical="center"/>
    </xf>
    <xf numFmtId="3" fontId="13" fillId="0" borderId="13" xfId="0" applyNumberFormat="1" applyFont="1" applyBorder="1" applyAlignment="1">
      <alignment horizontal="justify" vertical="center"/>
    </xf>
    <xf numFmtId="3" fontId="13" fillId="0" borderId="15" xfId="0" applyNumberFormat="1" applyFont="1" applyBorder="1" applyAlignment="1">
      <alignment horizontal="justify" vertical="center"/>
    </xf>
    <xf numFmtId="3" fontId="13" fillId="0" borderId="1" xfId="0" applyNumberFormat="1" applyFont="1" applyBorder="1" applyAlignment="1">
      <alignment horizontal="justify" vertical="center"/>
    </xf>
    <xf numFmtId="3" fontId="13" fillId="0" borderId="16" xfId="0" applyNumberFormat="1" applyFont="1" applyBorder="1" applyAlignment="1">
      <alignment horizontal="justify" vertical="center"/>
    </xf>
    <xf numFmtId="3" fontId="14" fillId="7" borderId="13" xfId="0" applyNumberFormat="1" applyFont="1" applyFill="1" applyBorder="1" applyAlignment="1">
      <alignment horizontal="justify" vertical="center" wrapText="1"/>
    </xf>
    <xf numFmtId="3" fontId="14" fillId="7" borderId="15" xfId="0" applyNumberFormat="1" applyFont="1" applyFill="1" applyBorder="1" applyAlignment="1">
      <alignment horizontal="justify" vertical="center" wrapText="1"/>
    </xf>
    <xf numFmtId="3" fontId="14" fillId="7" borderId="16" xfId="0" applyNumberFormat="1" applyFont="1" applyFill="1" applyBorder="1" applyAlignment="1">
      <alignment horizontal="justify" vertical="center" wrapText="1"/>
    </xf>
    <xf numFmtId="3" fontId="14" fillId="7" borderId="13" xfId="0" applyNumberFormat="1" applyFont="1" applyFill="1" applyBorder="1" applyAlignment="1">
      <alignment horizontal="center" vertical="center" wrapText="1"/>
    </xf>
    <xf numFmtId="3" fontId="14" fillId="7" borderId="15" xfId="0" applyNumberFormat="1" applyFont="1" applyFill="1" applyBorder="1" applyAlignment="1">
      <alignment horizontal="center" vertical="center" wrapText="1"/>
    </xf>
    <xf numFmtId="3" fontId="14" fillId="7" borderId="16" xfId="0" applyNumberFormat="1" applyFont="1" applyFill="1" applyBorder="1" applyAlignment="1">
      <alignment horizontal="center" vertical="center" wrapText="1"/>
    </xf>
    <xf numFmtId="3" fontId="13" fillId="0" borderId="13" xfId="0" applyNumberFormat="1" applyFont="1" applyBorder="1" applyAlignment="1">
      <alignment horizontal="center" vertical="center"/>
    </xf>
    <xf numFmtId="3" fontId="13" fillId="0" borderId="15" xfId="0" applyNumberFormat="1" applyFont="1" applyBorder="1" applyAlignment="1">
      <alignment horizontal="center" vertical="center"/>
    </xf>
    <xf numFmtId="3" fontId="13" fillId="0" borderId="16" xfId="0" applyNumberFormat="1" applyFont="1" applyBorder="1" applyAlignment="1">
      <alignment horizontal="center" vertical="center"/>
    </xf>
    <xf numFmtId="43" fontId="13" fillId="0" borderId="13" xfId="1" applyFont="1" applyBorder="1" applyAlignment="1">
      <alignment horizontal="center" vertical="center"/>
    </xf>
    <xf numFmtId="3" fontId="13" fillId="7" borderId="15" xfId="21"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3" fillId="7" borderId="17" xfId="0" applyFont="1" applyFill="1" applyBorder="1" applyAlignment="1">
      <alignment horizontal="center" vertical="center" wrapText="1"/>
    </xf>
    <xf numFmtId="0" fontId="13" fillId="7" borderId="0" xfId="0" applyFont="1" applyFill="1" applyAlignment="1">
      <alignment horizontal="center" vertical="center" wrapText="1"/>
    </xf>
    <xf numFmtId="3" fontId="13" fillId="7" borderId="1" xfId="21" applyNumberFormat="1" applyFont="1" applyFill="1" applyBorder="1" applyAlignment="1">
      <alignment horizontal="center" vertical="center" wrapText="1"/>
    </xf>
    <xf numFmtId="165" fontId="13" fillId="0" borderId="1" xfId="21" applyFont="1" applyFill="1" applyBorder="1" applyAlignment="1">
      <alignment horizontal="justify" vertical="center" wrapText="1"/>
    </xf>
    <xf numFmtId="187" fontId="13" fillId="7" borderId="1" xfId="21" applyNumberFormat="1" applyFont="1" applyFill="1" applyBorder="1" applyAlignment="1">
      <alignment horizontal="center" vertical="center"/>
    </xf>
    <xf numFmtId="3" fontId="13" fillId="7" borderId="1" xfId="21" applyNumberFormat="1" applyFont="1" applyFill="1" applyBorder="1" applyAlignment="1">
      <alignment horizontal="center" vertical="center"/>
    </xf>
    <xf numFmtId="9" fontId="13" fillId="7" borderId="1" xfId="3" applyFont="1" applyFill="1" applyBorder="1" applyAlignment="1">
      <alignment horizontal="center" vertical="center" wrapText="1"/>
    </xf>
    <xf numFmtId="165" fontId="13" fillId="7" borderId="13" xfId="21" applyFont="1" applyFill="1" applyBorder="1" applyAlignment="1">
      <alignment horizontal="center" vertical="center" wrapText="1"/>
    </xf>
    <xf numFmtId="165" fontId="13" fillId="7" borderId="15" xfId="21" applyFont="1" applyFill="1" applyBorder="1" applyAlignment="1">
      <alignment horizontal="center" vertical="center" wrapText="1"/>
    </xf>
    <xf numFmtId="165" fontId="13" fillId="7" borderId="16" xfId="21" applyFont="1" applyFill="1" applyBorder="1" applyAlignment="1">
      <alignment horizontal="center" vertical="center" wrapText="1"/>
    </xf>
    <xf numFmtId="9" fontId="13" fillId="0" borderId="13" xfId="0" applyNumberFormat="1" applyFont="1" applyBorder="1" applyAlignment="1">
      <alignment horizontal="center" vertical="center"/>
    </xf>
    <xf numFmtId="9" fontId="13" fillId="0" borderId="15" xfId="0" applyNumberFormat="1" applyFont="1" applyBorder="1" applyAlignment="1">
      <alignment horizontal="center" vertical="center"/>
    </xf>
    <xf numFmtId="9" fontId="13" fillId="0" borderId="16" xfId="0" applyNumberFormat="1" applyFont="1" applyBorder="1" applyAlignment="1">
      <alignment horizontal="center" vertical="center"/>
    </xf>
    <xf numFmtId="14" fontId="13" fillId="0" borderId="15" xfId="0" applyNumberFormat="1" applyFont="1" applyBorder="1" applyAlignment="1">
      <alignment horizontal="center" vertical="center"/>
    </xf>
    <xf numFmtId="3" fontId="13" fillId="0" borderId="1" xfId="21" applyNumberFormat="1" applyFont="1" applyBorder="1" applyAlignment="1">
      <alignment horizontal="center" vertical="center"/>
    </xf>
    <xf numFmtId="3" fontId="13" fillId="7" borderId="13" xfId="21" applyNumberFormat="1" applyFont="1" applyFill="1" applyBorder="1" applyAlignment="1">
      <alignment horizontal="center" vertical="center"/>
    </xf>
    <xf numFmtId="3" fontId="13" fillId="7" borderId="15" xfId="21" applyNumberFormat="1" applyFont="1" applyFill="1" applyBorder="1" applyAlignment="1">
      <alignment horizontal="center" vertical="center"/>
    </xf>
    <xf numFmtId="3" fontId="13" fillId="7" borderId="16" xfId="21" applyNumberFormat="1" applyFont="1" applyFill="1" applyBorder="1" applyAlignment="1">
      <alignment horizontal="center" vertical="center"/>
    </xf>
    <xf numFmtId="10" fontId="13" fillId="7" borderId="1" xfId="3" applyNumberFormat="1" applyFont="1" applyFill="1" applyBorder="1" applyAlignment="1">
      <alignment horizontal="center" vertical="center" wrapText="1"/>
    </xf>
    <xf numFmtId="1" fontId="13" fillId="7" borderId="13" xfId="13" applyNumberFormat="1" applyFont="1" applyFill="1" applyBorder="1" applyAlignment="1">
      <alignment horizontal="center" vertical="center" wrapText="1"/>
    </xf>
    <xf numFmtId="1" fontId="13" fillId="7" borderId="15" xfId="13" applyNumberFormat="1" applyFont="1" applyFill="1" applyBorder="1" applyAlignment="1">
      <alignment horizontal="center" vertical="center" wrapText="1"/>
    </xf>
    <xf numFmtId="1" fontId="13" fillId="7" borderId="16" xfId="13" applyNumberFormat="1" applyFont="1" applyFill="1" applyBorder="1" applyAlignment="1">
      <alignment horizontal="center" vertical="center" wrapText="1"/>
    </xf>
    <xf numFmtId="165" fontId="13" fillId="7" borderId="15" xfId="21" applyFont="1" applyFill="1" applyBorder="1" applyAlignment="1">
      <alignment horizontal="left" vertical="center" wrapText="1"/>
    </xf>
    <xf numFmtId="1" fontId="13" fillId="7" borderId="15" xfId="21" applyNumberFormat="1" applyFont="1" applyFill="1" applyBorder="1" applyAlignment="1">
      <alignment horizontal="center" vertical="center"/>
    </xf>
    <xf numFmtId="1" fontId="13" fillId="7" borderId="16" xfId="21" applyNumberFormat="1" applyFont="1" applyFill="1" applyBorder="1" applyAlignment="1">
      <alignment horizontal="center" vertical="center"/>
    </xf>
    <xf numFmtId="1" fontId="13" fillId="7" borderId="1" xfId="21" applyNumberFormat="1" applyFont="1" applyFill="1" applyBorder="1" applyAlignment="1">
      <alignment horizontal="center" vertical="center"/>
    </xf>
    <xf numFmtId="49" fontId="13" fillId="0" borderId="9" xfId="21" applyNumberFormat="1" applyFont="1" applyFill="1" applyBorder="1" applyAlignment="1">
      <alignment horizontal="center" vertical="center" wrapText="1"/>
    </xf>
    <xf numFmtId="49" fontId="13" fillId="0" borderId="18" xfId="21" applyNumberFormat="1" applyFont="1" applyFill="1" applyBorder="1" applyAlignment="1">
      <alignment horizontal="center" vertical="center" wrapText="1"/>
    </xf>
    <xf numFmtId="10" fontId="13" fillId="7" borderId="15" xfId="3" applyNumberFormat="1" applyFont="1" applyFill="1" applyBorder="1" applyAlignment="1">
      <alignment horizontal="center" vertical="center" wrapText="1"/>
    </xf>
    <xf numFmtId="3" fontId="13" fillId="0" borderId="9" xfId="0" applyNumberFormat="1" applyFont="1" applyBorder="1" applyAlignment="1">
      <alignment horizontal="center" vertical="center"/>
    </xf>
    <xf numFmtId="3" fontId="14" fillId="0" borderId="18" xfId="0" applyNumberFormat="1" applyFont="1" applyBorder="1" applyAlignment="1">
      <alignment horizontal="center" vertical="center"/>
    </xf>
    <xf numFmtId="3" fontId="13" fillId="0" borderId="3" xfId="0" applyNumberFormat="1" applyFont="1" applyBorder="1" applyAlignment="1">
      <alignment horizontal="center" vertical="center" wrapText="1"/>
    </xf>
    <xf numFmtId="3" fontId="13" fillId="0" borderId="17" xfId="0" applyNumberFormat="1" applyFont="1" applyBorder="1" applyAlignment="1">
      <alignment horizontal="center" vertical="center" wrapText="1"/>
    </xf>
    <xf numFmtId="3" fontId="14" fillId="0" borderId="17" xfId="0" applyNumberFormat="1" applyFont="1" applyBorder="1" applyAlignment="1">
      <alignment horizontal="center" vertical="center" wrapText="1"/>
    </xf>
    <xf numFmtId="3" fontId="14" fillId="0" borderId="5" xfId="0" applyNumberFormat="1" applyFont="1" applyBorder="1" applyAlignment="1">
      <alignment horizontal="center" vertical="center" wrapText="1"/>
    </xf>
    <xf numFmtId="1" fontId="13" fillId="7" borderId="13" xfId="21" applyNumberFormat="1" applyFont="1" applyFill="1" applyBorder="1" applyAlignment="1">
      <alignment horizontal="center" vertical="center"/>
    </xf>
    <xf numFmtId="1" fontId="13" fillId="0" borderId="1" xfId="21" applyNumberFormat="1" applyFont="1" applyFill="1" applyBorder="1" applyAlignment="1">
      <alignment horizontal="center" vertical="center"/>
    </xf>
    <xf numFmtId="9" fontId="13" fillId="0" borderId="15" xfId="0" applyNumberFormat="1" applyFont="1" applyBorder="1" applyAlignment="1">
      <alignment horizontal="center" vertical="center" wrapText="1"/>
    </xf>
    <xf numFmtId="9" fontId="13" fillId="0" borderId="16" xfId="0" applyNumberFormat="1" applyFont="1" applyBorder="1" applyAlignment="1">
      <alignment horizontal="center" vertical="center" wrapText="1"/>
    </xf>
    <xf numFmtId="167" fontId="13" fillId="0" borderId="13" xfId="0" applyNumberFormat="1" applyFont="1" applyFill="1" applyBorder="1" applyAlignment="1">
      <alignment horizontal="center" vertical="center"/>
    </xf>
    <xf numFmtId="167" fontId="13" fillId="0" borderId="15" xfId="0" applyNumberFormat="1" applyFont="1" applyFill="1" applyBorder="1" applyAlignment="1">
      <alignment horizontal="center" vertical="center"/>
    </xf>
    <xf numFmtId="167" fontId="13" fillId="0" borderId="16" xfId="0" applyNumberFormat="1" applyFont="1" applyFill="1" applyBorder="1" applyAlignment="1">
      <alignment horizontal="center" vertical="center"/>
    </xf>
    <xf numFmtId="167" fontId="13" fillId="0" borderId="13" xfId="0" applyNumberFormat="1" applyFont="1" applyFill="1" applyBorder="1" applyAlignment="1">
      <alignment horizontal="center" vertical="center" wrapText="1"/>
    </xf>
    <xf numFmtId="167" fontId="13" fillId="0" borderId="15" xfId="0" applyNumberFormat="1" applyFont="1" applyFill="1" applyBorder="1" applyAlignment="1">
      <alignment horizontal="center" vertical="center" wrapText="1"/>
    </xf>
    <xf numFmtId="0" fontId="14" fillId="0" borderId="15" xfId="0" applyFont="1" applyBorder="1" applyAlignment="1">
      <alignment horizontal="center" vertical="center"/>
    </xf>
    <xf numFmtId="0" fontId="14" fillId="0" borderId="16" xfId="0" applyFont="1" applyBorder="1" applyAlignment="1">
      <alignment horizontal="center" vertical="center"/>
    </xf>
    <xf numFmtId="3" fontId="13" fillId="0" borderId="1" xfId="0" applyNumberFormat="1" applyFont="1" applyBorder="1" applyAlignment="1">
      <alignment horizontal="center" vertical="center"/>
    </xf>
    <xf numFmtId="3" fontId="14" fillId="0" borderId="1" xfId="0" applyNumberFormat="1" applyFont="1" applyBorder="1" applyAlignment="1">
      <alignment horizontal="center" vertical="center"/>
    </xf>
    <xf numFmtId="1" fontId="5" fillId="7" borderId="1" xfId="21" applyNumberFormat="1" applyFont="1" applyFill="1" applyBorder="1" applyAlignment="1">
      <alignment horizontal="center" vertical="center" wrapText="1"/>
    </xf>
    <xf numFmtId="1" fontId="13" fillId="7" borderId="1" xfId="13" applyNumberFormat="1" applyFont="1" applyFill="1" applyBorder="1" applyAlignment="1">
      <alignment horizontal="center" vertical="center" wrapText="1"/>
    </xf>
    <xf numFmtId="165" fontId="13" fillId="0" borderId="1" xfId="21" applyFont="1" applyBorder="1" applyAlignment="1">
      <alignment horizontal="justify" vertical="center" wrapText="1"/>
    </xf>
    <xf numFmtId="1" fontId="13" fillId="0" borderId="1" xfId="21" applyNumberFormat="1" applyFont="1" applyBorder="1" applyAlignment="1">
      <alignment horizontal="center" vertical="center"/>
    </xf>
    <xf numFmtId="9" fontId="13" fillId="7" borderId="1" xfId="3" applyNumberFormat="1" applyFont="1" applyFill="1" applyBorder="1" applyAlignment="1">
      <alignment horizontal="center" vertical="center" wrapText="1"/>
    </xf>
    <xf numFmtId="0" fontId="14" fillId="0" borderId="1" xfId="0" applyFont="1" applyBorder="1" applyAlignment="1">
      <alignment horizontal="justify" vertical="center" wrapText="1"/>
    </xf>
    <xf numFmtId="0" fontId="14" fillId="0" borderId="1" xfId="0" applyFont="1" applyBorder="1" applyAlignment="1">
      <alignment horizontal="center" vertical="center"/>
    </xf>
    <xf numFmtId="9" fontId="14" fillId="0" borderId="1" xfId="3" applyNumberFormat="1" applyFont="1" applyBorder="1" applyAlignment="1">
      <alignment horizontal="center" vertical="center" wrapText="1"/>
    </xf>
    <xf numFmtId="49" fontId="13" fillId="0" borderId="14" xfId="21" applyNumberFormat="1" applyFont="1" applyFill="1" applyBorder="1" applyAlignment="1">
      <alignment horizontal="center" vertical="center" wrapText="1"/>
    </xf>
    <xf numFmtId="165" fontId="13" fillId="7" borderId="5" xfId="21" applyFont="1" applyFill="1" applyBorder="1" applyAlignment="1">
      <alignment horizontal="justify" vertical="center" wrapText="1"/>
    </xf>
    <xf numFmtId="167" fontId="13" fillId="0" borderId="1" xfId="0" applyNumberFormat="1"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6" xfId="0" applyFont="1" applyFill="1" applyBorder="1" applyAlignment="1">
      <alignment horizontal="left" vertical="center" wrapText="1"/>
    </xf>
    <xf numFmtId="14" fontId="14" fillId="0" borderId="13" xfId="0" applyNumberFormat="1" applyFont="1" applyBorder="1" applyAlignment="1">
      <alignment horizontal="center" vertical="center"/>
    </xf>
    <xf numFmtId="14" fontId="14" fillId="0" borderId="15" xfId="0" applyNumberFormat="1" applyFont="1" applyBorder="1" applyAlignment="1">
      <alignment horizontal="center" vertical="center"/>
    </xf>
    <xf numFmtId="14" fontId="14" fillId="0" borderId="16" xfId="0" applyNumberFormat="1" applyFont="1" applyBorder="1" applyAlignment="1">
      <alignment horizontal="center" vertical="center"/>
    </xf>
    <xf numFmtId="3" fontId="13" fillId="0" borderId="3" xfId="0" applyNumberFormat="1" applyFont="1" applyBorder="1" applyAlignment="1">
      <alignment horizontal="center" vertical="center"/>
    </xf>
    <xf numFmtId="3" fontId="14" fillId="0" borderId="17" xfId="0" applyNumberFormat="1" applyFont="1" applyBorder="1" applyAlignment="1">
      <alignment horizontal="center" vertical="center"/>
    </xf>
    <xf numFmtId="3" fontId="14" fillId="0" borderId="5" xfId="0" applyNumberFormat="1" applyFont="1" applyBorder="1" applyAlignment="1">
      <alignment horizontal="center" vertical="center"/>
    </xf>
    <xf numFmtId="3" fontId="14" fillId="0" borderId="13" xfId="0" applyNumberFormat="1" applyFont="1" applyBorder="1" applyAlignment="1">
      <alignment horizontal="center" vertical="center" wrapText="1"/>
    </xf>
    <xf numFmtId="3" fontId="14" fillId="0" borderId="15" xfId="0" applyNumberFormat="1" applyFont="1" applyBorder="1" applyAlignment="1">
      <alignment horizontal="center" vertical="center" wrapText="1"/>
    </xf>
    <xf numFmtId="3" fontId="14" fillId="0" borderId="16" xfId="0" applyNumberFormat="1" applyFont="1" applyBorder="1" applyAlignment="1">
      <alignment horizontal="center" vertical="center" wrapText="1"/>
    </xf>
    <xf numFmtId="9" fontId="13" fillId="7" borderId="1" xfId="3" applyNumberFormat="1" applyFont="1" applyFill="1" applyBorder="1" applyAlignment="1">
      <alignment horizontal="center" vertical="center"/>
    </xf>
    <xf numFmtId="43" fontId="13" fillId="7" borderId="13" xfId="1" applyFont="1" applyFill="1" applyBorder="1" applyAlignment="1">
      <alignment horizontal="center" vertical="center"/>
    </xf>
    <xf numFmtId="43" fontId="13" fillId="7" borderId="15" xfId="1" applyFont="1" applyFill="1" applyBorder="1" applyAlignment="1">
      <alignment horizontal="center" vertical="center"/>
    </xf>
    <xf numFmtId="43" fontId="13" fillId="7" borderId="16" xfId="1" applyFont="1" applyFill="1" applyBorder="1" applyAlignment="1">
      <alignment horizontal="center" vertical="center"/>
    </xf>
    <xf numFmtId="3" fontId="13" fillId="7" borderId="9" xfId="0" applyNumberFormat="1" applyFont="1" applyFill="1" applyBorder="1" applyAlignment="1">
      <alignment horizontal="center" vertical="center"/>
    </xf>
    <xf numFmtId="3" fontId="14" fillId="7" borderId="18" xfId="0" applyNumberFormat="1" applyFont="1" applyFill="1" applyBorder="1" applyAlignment="1">
      <alignment horizontal="center" vertical="center"/>
    </xf>
    <xf numFmtId="3" fontId="14" fillId="7" borderId="14" xfId="0" applyNumberFormat="1" applyFont="1" applyFill="1" applyBorder="1" applyAlignment="1">
      <alignment horizontal="center" vertical="center"/>
    </xf>
    <xf numFmtId="49" fontId="13" fillId="0" borderId="13" xfId="21" applyNumberFormat="1" applyFont="1" applyFill="1" applyBorder="1" applyAlignment="1">
      <alignment horizontal="center" vertical="center" wrapText="1"/>
    </xf>
    <xf numFmtId="49" fontId="13" fillId="0" borderId="15" xfId="21" applyNumberFormat="1" applyFont="1" applyFill="1" applyBorder="1" applyAlignment="1">
      <alignment horizontal="center" vertical="center" wrapText="1"/>
    </xf>
    <xf numFmtId="3" fontId="14" fillId="0" borderId="14" xfId="0" applyNumberFormat="1" applyFont="1" applyBorder="1" applyAlignment="1">
      <alignment horizontal="center" vertical="center"/>
    </xf>
    <xf numFmtId="4" fontId="13" fillId="7" borderId="1" xfId="21" applyNumberFormat="1" applyFont="1" applyFill="1" applyBorder="1" applyAlignment="1">
      <alignment horizontal="center" vertical="center"/>
    </xf>
    <xf numFmtId="9" fontId="13" fillId="7" borderId="13" xfId="3" applyNumberFormat="1" applyFont="1" applyFill="1" applyBorder="1" applyAlignment="1">
      <alignment horizontal="center" vertical="center"/>
    </xf>
    <xf numFmtId="9" fontId="13" fillId="7" borderId="16" xfId="3" applyNumberFormat="1" applyFont="1" applyFill="1" applyBorder="1" applyAlignment="1">
      <alignment horizontal="center" vertical="center"/>
    </xf>
    <xf numFmtId="3" fontId="13" fillId="0" borderId="8" xfId="0" applyNumberFormat="1" applyFont="1" applyBorder="1" applyAlignment="1">
      <alignment horizontal="center" vertical="center"/>
    </xf>
    <xf numFmtId="3" fontId="14" fillId="0" borderId="8" xfId="0" applyNumberFormat="1" applyFont="1" applyBorder="1" applyAlignment="1">
      <alignment horizontal="center" vertical="center"/>
    </xf>
    <xf numFmtId="9" fontId="13" fillId="7" borderId="1" xfId="3" applyFont="1" applyFill="1" applyBorder="1" applyAlignment="1">
      <alignment horizontal="center" vertical="center"/>
    </xf>
    <xf numFmtId="3" fontId="13" fillId="0" borderId="13" xfId="21" applyNumberFormat="1" applyFont="1" applyFill="1" applyBorder="1" applyAlignment="1">
      <alignment horizontal="center" vertical="center"/>
    </xf>
    <xf numFmtId="3" fontId="13" fillId="0" borderId="16" xfId="21" applyNumberFormat="1" applyFont="1" applyFill="1" applyBorder="1" applyAlignment="1">
      <alignment horizontal="center" vertical="center"/>
    </xf>
    <xf numFmtId="43" fontId="13" fillId="0" borderId="13" xfId="1" applyFont="1" applyFill="1" applyBorder="1" applyAlignment="1">
      <alignment horizontal="center" vertical="center"/>
    </xf>
    <xf numFmtId="43" fontId="13" fillId="0" borderId="15" xfId="1" applyFont="1" applyFill="1" applyBorder="1" applyAlignment="1">
      <alignment horizontal="center" vertical="center"/>
    </xf>
    <xf numFmtId="43" fontId="13" fillId="0" borderId="16" xfId="1" applyFont="1" applyFill="1" applyBorder="1" applyAlignment="1">
      <alignment horizontal="center" vertical="center"/>
    </xf>
    <xf numFmtId="9" fontId="13" fillId="0" borderId="1" xfId="21" applyNumberFormat="1" applyFont="1" applyFill="1" applyBorder="1" applyAlignment="1">
      <alignment horizontal="justify" vertical="center" wrapText="1"/>
    </xf>
    <xf numFmtId="3" fontId="13" fillId="0" borderId="6" xfId="21" applyNumberFormat="1" applyFont="1" applyBorder="1" applyAlignment="1">
      <alignment horizontal="center" vertical="center"/>
    </xf>
    <xf numFmtId="2" fontId="13" fillId="7" borderId="1" xfId="0" applyNumberFormat="1" applyFont="1" applyFill="1" applyBorder="1" applyAlignment="1">
      <alignment horizontal="center" vertical="center"/>
    </xf>
    <xf numFmtId="165" fontId="13" fillId="0" borderId="13" xfId="21" applyFont="1" applyBorder="1" applyAlignment="1">
      <alignment horizontal="left" vertical="center" wrapText="1"/>
    </xf>
    <xf numFmtId="165" fontId="13" fillId="0" borderId="15" xfId="21" applyFont="1" applyBorder="1" applyAlignment="1">
      <alignment horizontal="left" vertical="center" wrapText="1"/>
    </xf>
    <xf numFmtId="165" fontId="13" fillId="0" borderId="16" xfId="21" applyFont="1" applyBorder="1" applyAlignment="1">
      <alignment horizontal="left" vertical="center" wrapText="1"/>
    </xf>
    <xf numFmtId="4" fontId="13" fillId="0" borderId="13" xfId="21" applyNumberFormat="1" applyFont="1" applyBorder="1" applyAlignment="1">
      <alignment horizontal="center" vertical="center"/>
    </xf>
    <xf numFmtId="4" fontId="13" fillId="0" borderId="15" xfId="21" applyNumberFormat="1" applyFont="1" applyBorder="1" applyAlignment="1">
      <alignment horizontal="center" vertical="center"/>
    </xf>
    <xf numFmtId="4" fontId="13" fillId="0" borderId="16" xfId="21" applyNumberFormat="1" applyFont="1" applyBorder="1" applyAlignment="1">
      <alignment horizontal="center" vertical="center"/>
    </xf>
    <xf numFmtId="9" fontId="13" fillId="0" borderId="1" xfId="3" applyFont="1" applyFill="1" applyBorder="1" applyAlignment="1">
      <alignment horizontal="center" vertical="center"/>
    </xf>
    <xf numFmtId="3" fontId="13" fillId="0" borderId="18" xfId="0" applyNumberFormat="1" applyFont="1" applyBorder="1" applyAlignment="1">
      <alignment horizontal="center" vertical="center"/>
    </xf>
    <xf numFmtId="3" fontId="13" fillId="0" borderId="14" xfId="0" applyNumberFormat="1" applyFont="1" applyBorder="1" applyAlignment="1">
      <alignment horizontal="center" vertical="center"/>
    </xf>
    <xf numFmtId="165" fontId="13" fillId="0" borderId="15" xfId="21" applyFont="1" applyFill="1" applyBorder="1" applyAlignment="1">
      <alignment horizontal="left" vertical="center" wrapText="1"/>
    </xf>
    <xf numFmtId="3" fontId="13" fillId="7" borderId="13" xfId="0" applyNumberFormat="1" applyFont="1" applyFill="1" applyBorder="1" applyAlignment="1">
      <alignment horizontal="center" vertical="center"/>
    </xf>
    <xf numFmtId="3" fontId="13" fillId="7" borderId="15" xfId="0" applyNumberFormat="1" applyFont="1" applyFill="1" applyBorder="1" applyAlignment="1">
      <alignment horizontal="center" vertical="center"/>
    </xf>
    <xf numFmtId="3" fontId="13" fillId="7" borderId="16" xfId="0" applyNumberFormat="1" applyFont="1" applyFill="1" applyBorder="1" applyAlignment="1">
      <alignment horizontal="center" vertical="center"/>
    </xf>
    <xf numFmtId="3" fontId="13" fillId="0" borderId="1" xfId="21" applyNumberFormat="1" applyFont="1" applyFill="1" applyBorder="1" applyAlignment="1">
      <alignment horizontal="center" vertical="center"/>
    </xf>
    <xf numFmtId="165" fontId="13" fillId="7" borderId="18" xfId="21" applyFont="1" applyFill="1" applyBorder="1" applyAlignment="1">
      <alignment horizontal="center" vertical="center"/>
    </xf>
    <xf numFmtId="165" fontId="13" fillId="7" borderId="13" xfId="21" applyFont="1" applyFill="1" applyBorder="1" applyAlignment="1">
      <alignment horizontal="justify" vertical="center" wrapText="1"/>
    </xf>
    <xf numFmtId="1" fontId="5" fillId="7" borderId="3" xfId="21" applyNumberFormat="1" applyFont="1" applyFill="1" applyBorder="1" applyAlignment="1">
      <alignment horizontal="center" vertical="center" wrapText="1"/>
    </xf>
    <xf numFmtId="1" fontId="5" fillId="7" borderId="4" xfId="21" applyNumberFormat="1" applyFont="1" applyFill="1" applyBorder="1" applyAlignment="1">
      <alignment horizontal="center" vertical="center" wrapText="1"/>
    </xf>
    <xf numFmtId="1" fontId="5" fillId="7" borderId="17" xfId="21" applyNumberFormat="1" applyFont="1" applyFill="1" applyBorder="1" applyAlignment="1">
      <alignment horizontal="center" vertical="center" wrapText="1"/>
    </xf>
    <xf numFmtId="1" fontId="5" fillId="7" borderId="0" xfId="21" applyNumberFormat="1" applyFont="1" applyFill="1" applyBorder="1" applyAlignment="1">
      <alignment horizontal="center" vertical="center" wrapText="1"/>
    </xf>
    <xf numFmtId="1" fontId="5" fillId="7" borderId="5" xfId="21" applyNumberFormat="1" applyFont="1" applyFill="1" applyBorder="1" applyAlignment="1">
      <alignment horizontal="center" vertical="center" wrapText="1"/>
    </xf>
    <xf numFmtId="1" fontId="5" fillId="7" borderId="2" xfId="21" applyNumberFormat="1" applyFont="1" applyFill="1" applyBorder="1" applyAlignment="1">
      <alignment horizontal="center" vertical="center" wrapText="1"/>
    </xf>
    <xf numFmtId="165" fontId="13" fillId="7" borderId="13" xfId="21" applyFont="1" applyFill="1" applyBorder="1" applyAlignment="1">
      <alignment horizontal="center" vertical="center" wrapText="1" shrinkToFit="1"/>
    </xf>
    <xf numFmtId="165" fontId="13" fillId="7" borderId="15" xfId="21" applyFont="1" applyFill="1" applyBorder="1" applyAlignment="1">
      <alignment horizontal="center" vertical="center" wrapText="1" shrinkToFit="1"/>
    </xf>
    <xf numFmtId="165" fontId="13" fillId="7" borderId="16" xfId="21" applyFont="1" applyFill="1" applyBorder="1" applyAlignment="1">
      <alignment horizontal="center" vertical="center" wrapText="1" shrinkToFit="1"/>
    </xf>
    <xf numFmtId="9" fontId="13" fillId="7" borderId="13" xfId="3" applyFont="1" applyFill="1" applyBorder="1" applyAlignment="1">
      <alignment horizontal="center" vertical="center"/>
    </xf>
    <xf numFmtId="9" fontId="13" fillId="7" borderId="15" xfId="3" applyFont="1" applyFill="1" applyBorder="1" applyAlignment="1">
      <alignment horizontal="center" vertical="center"/>
    </xf>
    <xf numFmtId="178" fontId="13" fillId="7" borderId="13" xfId="21" applyNumberFormat="1" applyFont="1" applyFill="1" applyBorder="1" applyAlignment="1">
      <alignment horizontal="center" vertical="center"/>
    </xf>
    <xf numFmtId="178" fontId="13" fillId="7" borderId="15" xfId="21" applyNumberFormat="1" applyFont="1" applyFill="1" applyBorder="1" applyAlignment="1">
      <alignment horizontal="center" vertical="center"/>
    </xf>
    <xf numFmtId="178" fontId="13" fillId="7" borderId="16" xfId="21" applyNumberFormat="1" applyFont="1" applyFill="1" applyBorder="1" applyAlignment="1">
      <alignment horizontal="center" vertical="center"/>
    </xf>
    <xf numFmtId="9" fontId="13" fillId="7" borderId="16" xfId="3" applyFont="1" applyFill="1" applyBorder="1" applyAlignment="1">
      <alignment horizontal="center" vertical="center"/>
    </xf>
    <xf numFmtId="165" fontId="13" fillId="7" borderId="18" xfId="21" applyFont="1" applyFill="1" applyBorder="1" applyAlignment="1">
      <alignment horizontal="center" vertical="center" wrapText="1"/>
    </xf>
    <xf numFmtId="3" fontId="13" fillId="0" borderId="1" xfId="0" applyNumberFormat="1" applyFont="1" applyBorder="1" applyAlignment="1">
      <alignment vertical="center"/>
    </xf>
    <xf numFmtId="3" fontId="14" fillId="0" borderId="1" xfId="0" applyNumberFormat="1" applyFont="1" applyBorder="1" applyAlignment="1">
      <alignment vertical="center"/>
    </xf>
    <xf numFmtId="3" fontId="14" fillId="0" borderId="13" xfId="0" applyNumberFormat="1" applyFont="1" applyBorder="1" applyAlignment="1">
      <alignment vertical="center"/>
    </xf>
    <xf numFmtId="3" fontId="13" fillId="0" borderId="8" xfId="0" applyNumberFormat="1" applyFont="1" applyBorder="1" applyAlignment="1">
      <alignment vertical="center"/>
    </xf>
    <xf numFmtId="3" fontId="14" fillId="0" borderId="8" xfId="0" applyNumberFormat="1" applyFont="1" applyBorder="1" applyAlignment="1">
      <alignment vertical="center"/>
    </xf>
    <xf numFmtId="3" fontId="14" fillId="0" borderId="9" xfId="0" applyNumberFormat="1" applyFont="1" applyBorder="1" applyAlignment="1">
      <alignment vertical="center"/>
    </xf>
    <xf numFmtId="0" fontId="14" fillId="0" borderId="13" xfId="0" applyFont="1" applyBorder="1" applyAlignment="1">
      <alignment horizontal="center" vertical="center" wrapText="1"/>
    </xf>
    <xf numFmtId="0" fontId="13" fillId="0" borderId="1" xfId="0" applyFont="1" applyBorder="1" applyAlignment="1">
      <alignment horizontal="center"/>
    </xf>
    <xf numFmtId="43" fontId="13" fillId="7" borderId="1" xfId="1" applyFont="1" applyFill="1" applyBorder="1" applyAlignment="1">
      <alignment horizontal="center" vertical="center"/>
    </xf>
    <xf numFmtId="165" fontId="13" fillId="7" borderId="15" xfId="21" applyFont="1" applyFill="1" applyBorder="1" applyAlignment="1">
      <alignment horizontal="justify" vertical="center" wrapText="1"/>
    </xf>
    <xf numFmtId="165" fontId="13" fillId="7" borderId="16" xfId="21" applyFont="1" applyFill="1" applyBorder="1" applyAlignment="1">
      <alignment horizontal="justify" vertical="center" wrapText="1"/>
    </xf>
    <xf numFmtId="165" fontId="13" fillId="7" borderId="15" xfId="21" applyFont="1" applyFill="1" applyBorder="1" applyAlignment="1">
      <alignment horizontal="center" vertical="center"/>
    </xf>
    <xf numFmtId="165" fontId="13" fillId="7" borderId="16" xfId="21" applyFont="1" applyFill="1" applyBorder="1" applyAlignment="1">
      <alignment horizontal="center" vertical="center"/>
    </xf>
    <xf numFmtId="49" fontId="13" fillId="0" borderId="16" xfId="21"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8" xfId="0" applyFont="1" applyFill="1" applyBorder="1" applyAlignment="1">
      <alignment horizontal="center" vertical="center"/>
    </xf>
    <xf numFmtId="0" fontId="14" fillId="0" borderId="8" xfId="0" applyFont="1" applyFill="1" applyBorder="1" applyAlignment="1">
      <alignment horizontal="center" vertical="center"/>
    </xf>
    <xf numFmtId="0" fontId="2" fillId="0" borderId="4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74" xfId="0" applyFont="1" applyBorder="1" applyAlignment="1">
      <alignment horizontal="center" vertical="center"/>
    </xf>
    <xf numFmtId="0" fontId="6" fillId="0" borderId="66" xfId="0" applyFont="1" applyBorder="1" applyAlignment="1">
      <alignment horizontal="center" vertical="center"/>
    </xf>
    <xf numFmtId="1" fontId="4" fillId="3" borderId="75" xfId="0" applyNumberFormat="1" applyFont="1" applyFill="1" applyBorder="1" applyAlignment="1">
      <alignment horizontal="center" vertical="center" wrapText="1"/>
    </xf>
    <xf numFmtId="1" fontId="4" fillId="3" borderId="76"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0" xfId="0" applyFont="1" applyFill="1" applyAlignment="1">
      <alignment horizontal="center" vertical="center" wrapText="1"/>
    </xf>
    <xf numFmtId="170" fontId="4" fillId="3" borderId="1"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41" fontId="4" fillId="3" borderId="4" xfId="11" applyFont="1" applyFill="1" applyBorder="1" applyAlignment="1">
      <alignment horizontal="center" vertical="center" wrapText="1"/>
    </xf>
    <xf numFmtId="41" fontId="4" fillId="3" borderId="9" xfId="11" applyFont="1" applyFill="1" applyBorder="1" applyAlignment="1">
      <alignment horizontal="center" vertical="center" wrapText="1"/>
    </xf>
    <xf numFmtId="41" fontId="4" fillId="3" borderId="2" xfId="11" applyFont="1" applyFill="1" applyBorder="1" applyAlignment="1">
      <alignment horizontal="center" vertical="center" wrapText="1"/>
    </xf>
    <xf numFmtId="41" fontId="4" fillId="3" borderId="14" xfId="1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3" fontId="4" fillId="4" borderId="6" xfId="0" applyNumberFormat="1" applyFont="1" applyFill="1" applyBorder="1" applyAlignment="1">
      <alignment horizontal="center" vertical="center" wrapText="1"/>
    </xf>
    <xf numFmtId="3" fontId="4" fillId="4" borderId="7" xfId="0" applyNumberFormat="1" applyFont="1" applyFill="1" applyBorder="1" applyAlignment="1">
      <alignment horizontal="center" vertical="center" wrapText="1"/>
    </xf>
    <xf numFmtId="3" fontId="4" fillId="4" borderId="8" xfId="0" applyNumberFormat="1"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5" borderId="6" xfId="0" applyFont="1" applyFill="1" applyBorder="1" applyAlignment="1">
      <alignment horizontal="center" vertical="center" textRotation="90"/>
    </xf>
    <xf numFmtId="0" fontId="4" fillId="5" borderId="7" xfId="0" applyFont="1" applyFill="1" applyBorder="1" applyAlignment="1">
      <alignment horizontal="center" vertical="center" textRotation="90"/>
    </xf>
    <xf numFmtId="0" fontId="4" fillId="5" borderId="1" xfId="0" applyFont="1" applyFill="1" applyBorder="1" applyAlignment="1">
      <alignment horizontal="center" vertical="center" textRotation="90"/>
    </xf>
    <xf numFmtId="0" fontId="4" fillId="4" borderId="3" xfId="0" applyFont="1" applyFill="1" applyBorder="1" applyAlignment="1">
      <alignment horizontal="center" vertical="center" textRotation="90" wrapText="1"/>
    </xf>
    <xf numFmtId="0" fontId="4" fillId="4" borderId="9" xfId="0" applyFont="1" applyFill="1" applyBorder="1" applyAlignment="1">
      <alignment horizontal="center" vertical="center" textRotation="90" wrapText="1"/>
    </xf>
    <xf numFmtId="0" fontId="4" fillId="4" borderId="5" xfId="0" applyFont="1" applyFill="1" applyBorder="1" applyAlignment="1">
      <alignment horizontal="center" vertical="center" textRotation="90" wrapText="1"/>
    </xf>
    <xf numFmtId="0" fontId="4" fillId="4" borderId="14" xfId="0" applyFont="1" applyFill="1" applyBorder="1" applyAlignment="1">
      <alignment horizontal="center" vertical="center" textRotation="90" wrapText="1"/>
    </xf>
    <xf numFmtId="0" fontId="4" fillId="3" borderId="10" xfId="23" applyFont="1" applyFill="1" applyBorder="1" applyAlignment="1">
      <alignment horizontal="center" vertical="center"/>
    </xf>
    <xf numFmtId="0" fontId="4" fillId="3" borderId="11" xfId="23" applyFont="1" applyFill="1" applyBorder="1" applyAlignment="1">
      <alignment horizontal="center" vertical="center"/>
    </xf>
    <xf numFmtId="0" fontId="4" fillId="3" borderId="12" xfId="23" applyFont="1" applyFill="1" applyBorder="1" applyAlignment="1">
      <alignment horizontal="center" vertical="center"/>
    </xf>
    <xf numFmtId="166" fontId="4" fillId="3" borderId="3" xfId="0" applyNumberFormat="1" applyFont="1" applyFill="1" applyBorder="1" applyAlignment="1">
      <alignment horizontal="center" vertical="center" wrapText="1"/>
    </xf>
    <xf numFmtId="166" fontId="4" fillId="3" borderId="9" xfId="0" applyNumberFormat="1" applyFont="1" applyFill="1" applyBorder="1" applyAlignment="1">
      <alignment horizontal="center" vertical="center" wrapText="1"/>
    </xf>
    <xf numFmtId="166" fontId="4" fillId="3" borderId="5" xfId="0" applyNumberFormat="1" applyFont="1" applyFill="1" applyBorder="1" applyAlignment="1">
      <alignment horizontal="center" vertical="center" wrapText="1"/>
    </xf>
    <xf numFmtId="166" fontId="4" fillId="3" borderId="14" xfId="0" applyNumberFormat="1" applyFont="1" applyFill="1" applyBorder="1" applyAlignment="1">
      <alignment horizontal="center" vertical="center" wrapText="1"/>
    </xf>
    <xf numFmtId="0" fontId="4" fillId="5" borderId="8" xfId="0" applyFont="1" applyFill="1" applyBorder="1" applyAlignment="1">
      <alignment horizontal="center" vertical="center" textRotation="90"/>
    </xf>
    <xf numFmtId="0" fontId="4" fillId="5" borderId="6" xfId="0" applyFont="1" applyFill="1" applyBorder="1" applyAlignment="1">
      <alignment horizontal="center" vertical="center" textRotation="90" wrapText="1"/>
    </xf>
    <xf numFmtId="0" fontId="4" fillId="5" borderId="8" xfId="0" applyFont="1" applyFill="1" applyBorder="1" applyAlignment="1">
      <alignment horizontal="center" vertical="center" textRotation="90" wrapText="1"/>
    </xf>
    <xf numFmtId="41" fontId="4" fillId="3" borderId="13" xfId="11" applyNumberFormat="1" applyFont="1" applyFill="1" applyBorder="1" applyAlignment="1">
      <alignment horizontal="center" vertical="center" wrapText="1"/>
    </xf>
    <xf numFmtId="41" fontId="4" fillId="3" borderId="15" xfId="11" applyNumberFormat="1" applyFont="1" applyFill="1" applyBorder="1" applyAlignment="1">
      <alignment horizontal="center" vertical="center" wrapText="1"/>
    </xf>
    <xf numFmtId="41" fontId="4" fillId="3" borderId="16" xfId="11" applyNumberFormat="1" applyFont="1" applyFill="1" applyBorder="1" applyAlignment="1">
      <alignment horizontal="center" vertical="center" wrapText="1"/>
    </xf>
    <xf numFmtId="179" fontId="4" fillId="3" borderId="13" xfId="11" applyNumberFormat="1" applyFont="1" applyFill="1" applyBorder="1" applyAlignment="1">
      <alignment horizontal="center" vertical="center" wrapText="1"/>
    </xf>
    <xf numFmtId="179" fontId="4" fillId="3" borderId="15" xfId="11" applyNumberFormat="1" applyFont="1" applyFill="1" applyBorder="1" applyAlignment="1">
      <alignment horizontal="center" vertical="center" wrapText="1"/>
    </xf>
    <xf numFmtId="179" fontId="4" fillId="3" borderId="16" xfId="11" applyNumberFormat="1" applyFont="1" applyFill="1" applyBorder="1" applyAlignment="1">
      <alignment horizontal="center" vertical="center" wrapText="1"/>
    </xf>
    <xf numFmtId="180" fontId="4" fillId="3" borderId="13" xfId="11" applyNumberFormat="1" applyFont="1" applyFill="1" applyBorder="1" applyAlignment="1">
      <alignment horizontal="center" vertical="center" wrapText="1"/>
    </xf>
    <xf numFmtId="180" fontId="4" fillId="3" borderId="15" xfId="11" applyNumberFormat="1" applyFont="1" applyFill="1" applyBorder="1" applyAlignment="1">
      <alignment horizontal="center" vertical="center" wrapText="1"/>
    </xf>
    <xf numFmtId="180" fontId="4" fillId="3" borderId="16" xfId="11" applyNumberFormat="1" applyFont="1" applyFill="1" applyBorder="1" applyAlignment="1">
      <alignment horizontal="center" vertical="center" wrapText="1"/>
    </xf>
    <xf numFmtId="3" fontId="4" fillId="5" borderId="1" xfId="0" applyNumberFormat="1" applyFont="1" applyFill="1" applyBorder="1" applyAlignment="1">
      <alignment horizontal="center" vertical="center" textRotation="90" wrapText="1"/>
    </xf>
    <xf numFmtId="3" fontId="4" fillId="5" borderId="7" xfId="0" applyNumberFormat="1" applyFont="1" applyFill="1" applyBorder="1" applyAlignment="1">
      <alignment horizontal="center" vertical="center" textRotation="90" wrapText="1"/>
    </xf>
    <xf numFmtId="3" fontId="4" fillId="5" borderId="8" xfId="0" applyNumberFormat="1" applyFont="1" applyFill="1" applyBorder="1" applyAlignment="1">
      <alignment horizontal="center" vertical="center" textRotation="90" wrapText="1"/>
    </xf>
    <xf numFmtId="0" fontId="6" fillId="6" borderId="7" xfId="0" applyFont="1" applyFill="1" applyBorder="1" applyAlignment="1">
      <alignment horizontal="center" vertical="center" wrapText="1"/>
    </xf>
    <xf numFmtId="0" fontId="6" fillId="6" borderId="66" xfId="0" applyFont="1" applyFill="1" applyBorder="1" applyAlignment="1">
      <alignment horizontal="center" vertical="center" wrapText="1"/>
    </xf>
    <xf numFmtId="0" fontId="4" fillId="5" borderId="15" xfId="0" applyFont="1" applyFill="1" applyBorder="1" applyAlignment="1">
      <alignment horizontal="center" vertical="center" wrapText="1"/>
    </xf>
    <xf numFmtId="1" fontId="4" fillId="5" borderId="13" xfId="0" applyNumberFormat="1" applyFont="1" applyFill="1" applyBorder="1" applyAlignment="1">
      <alignment horizontal="center" vertical="center" wrapText="1"/>
    </xf>
    <xf numFmtId="1" fontId="4" fillId="5" borderId="15" xfId="0" applyNumberFormat="1" applyFont="1" applyFill="1" applyBorder="1" applyAlignment="1">
      <alignment horizontal="center" vertical="center" wrapText="1"/>
    </xf>
    <xf numFmtId="179" fontId="4" fillId="5" borderId="13" xfId="0" applyNumberFormat="1" applyFont="1" applyFill="1" applyBorder="1" applyAlignment="1">
      <alignment horizontal="center" vertical="center" wrapText="1"/>
    </xf>
    <xf numFmtId="179" fontId="4" fillId="5" borderId="15" xfId="0" applyNumberFormat="1" applyFont="1" applyFill="1" applyBorder="1" applyAlignment="1">
      <alignment horizontal="center" vertical="center" wrapText="1"/>
    </xf>
    <xf numFmtId="179" fontId="4" fillId="5" borderId="16" xfId="0" applyNumberFormat="1" applyFont="1" applyFill="1" applyBorder="1" applyAlignment="1">
      <alignment horizontal="center" vertical="center" wrapText="1"/>
    </xf>
    <xf numFmtId="10" fontId="4" fillId="5" borderId="13" xfId="9" applyNumberFormat="1" applyFont="1" applyFill="1" applyBorder="1" applyAlignment="1">
      <alignment horizontal="center" vertical="center" wrapText="1"/>
    </xf>
    <xf numFmtId="10" fontId="4" fillId="5" borderId="15" xfId="9" applyNumberFormat="1" applyFont="1" applyFill="1" applyBorder="1" applyAlignment="1">
      <alignment horizontal="center" vertical="center" wrapText="1"/>
    </xf>
    <xf numFmtId="10" fontId="4" fillId="5" borderId="16" xfId="9" applyNumberFormat="1" applyFont="1" applyFill="1" applyBorder="1" applyAlignment="1">
      <alignment horizontal="center" vertical="center" wrapText="1"/>
    </xf>
    <xf numFmtId="3" fontId="4" fillId="3" borderId="39" xfId="0" applyNumberFormat="1"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6" fillId="23" borderId="6" xfId="0" applyFont="1" applyFill="1" applyBorder="1" applyAlignment="1">
      <alignment horizontal="left" vertical="center" wrapText="1"/>
    </xf>
    <xf numFmtId="0" fontId="6" fillId="23" borderId="7" xfId="0" applyFont="1" applyFill="1" applyBorder="1" applyAlignment="1">
      <alignment horizontal="left" vertical="center" wrapText="1"/>
    </xf>
    <xf numFmtId="0" fontId="6" fillId="23" borderId="7" xfId="0" applyFont="1" applyFill="1" applyBorder="1" applyAlignment="1">
      <alignment horizontal="center" vertical="center" wrapText="1"/>
    </xf>
    <xf numFmtId="0" fontId="6" fillId="23" borderId="66" xfId="0" applyFont="1" applyFill="1" applyBorder="1" applyAlignment="1">
      <alignment horizontal="center" vertical="center" wrapText="1"/>
    </xf>
    <xf numFmtId="0" fontId="6" fillId="9" borderId="6" xfId="0" applyFont="1" applyFill="1" applyBorder="1" applyAlignment="1">
      <alignment horizontal="left" vertical="center" wrapText="1"/>
    </xf>
    <xf numFmtId="0" fontId="6" fillId="9" borderId="7" xfId="0" applyFont="1" applyFill="1" applyBorder="1" applyAlignment="1">
      <alignment horizontal="left" vertical="center" wrapText="1"/>
    </xf>
    <xf numFmtId="0" fontId="3" fillId="9" borderId="7" xfId="0" applyFont="1" applyFill="1" applyBorder="1" applyAlignment="1">
      <alignment horizontal="center" vertical="center" wrapText="1"/>
    </xf>
    <xf numFmtId="0" fontId="3" fillId="9" borderId="66" xfId="0" applyFont="1" applyFill="1" applyBorder="1" applyAlignment="1">
      <alignment horizontal="center" vertical="center" wrapText="1"/>
    </xf>
    <xf numFmtId="0" fontId="18" fillId="7" borderId="13" xfId="0" applyFont="1" applyFill="1" applyBorder="1" applyAlignment="1">
      <alignment horizontal="center" vertical="center" wrapText="1"/>
    </xf>
    <xf numFmtId="0" fontId="18" fillId="7" borderId="15"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18" fillId="7" borderId="3" xfId="0" applyFont="1" applyFill="1" applyBorder="1" applyAlignment="1">
      <alignment horizontal="center" vertical="center" textRotation="90" wrapText="1"/>
    </xf>
    <xf numFmtId="0" fontId="18" fillId="7" borderId="9" xfId="0" applyFont="1" applyFill="1" applyBorder="1" applyAlignment="1">
      <alignment horizontal="center" vertical="center" textRotation="90" wrapText="1"/>
    </xf>
    <xf numFmtId="0" fontId="18" fillId="7" borderId="17" xfId="0" applyFont="1" applyFill="1" applyBorder="1" applyAlignment="1">
      <alignment horizontal="center" vertical="center" textRotation="90" wrapText="1"/>
    </xf>
    <xf numFmtId="0" fontId="18" fillId="7" borderId="18" xfId="0" applyFont="1" applyFill="1" applyBorder="1" applyAlignment="1">
      <alignment horizontal="center" vertical="center" textRotation="90" wrapText="1"/>
    </xf>
    <xf numFmtId="0" fontId="18" fillId="7" borderId="5" xfId="0" applyFont="1" applyFill="1" applyBorder="1" applyAlignment="1">
      <alignment horizontal="center" vertical="center" textRotation="90" wrapText="1"/>
    </xf>
    <xf numFmtId="0" fontId="18" fillId="7" borderId="14" xfId="0" applyFont="1" applyFill="1" applyBorder="1" applyAlignment="1">
      <alignment horizontal="center" vertical="center" textRotation="90" wrapText="1"/>
    </xf>
    <xf numFmtId="181" fontId="18" fillId="7" borderId="13" xfId="0" applyNumberFormat="1" applyFont="1" applyFill="1" applyBorder="1" applyAlignment="1">
      <alignment horizontal="center" vertical="center" wrapText="1"/>
    </xf>
    <xf numFmtId="181" fontId="18" fillId="7" borderId="15" xfId="0" applyNumberFormat="1" applyFont="1" applyFill="1" applyBorder="1" applyAlignment="1">
      <alignment horizontal="center" vertical="center" wrapText="1"/>
    </xf>
    <xf numFmtId="181" fontId="18" fillId="7" borderId="16" xfId="0" applyNumberFormat="1" applyFont="1" applyFill="1" applyBorder="1" applyAlignment="1">
      <alignment horizontal="center" vertical="center" wrapText="1"/>
    </xf>
    <xf numFmtId="0" fontId="18" fillId="7" borderId="13" xfId="0" applyFont="1" applyFill="1" applyBorder="1" applyAlignment="1">
      <alignment horizontal="justify" vertical="center" wrapText="1"/>
    </xf>
    <xf numFmtId="0" fontId="18" fillId="7" borderId="15" xfId="0" applyFont="1" applyFill="1" applyBorder="1" applyAlignment="1">
      <alignment horizontal="justify" vertical="center" wrapText="1"/>
    </xf>
    <xf numFmtId="0" fontId="18" fillId="7" borderId="16" xfId="0" applyFont="1" applyFill="1" applyBorder="1" applyAlignment="1">
      <alignment horizontal="justify" vertical="center" wrapText="1"/>
    </xf>
    <xf numFmtId="0" fontId="18" fillId="7" borderId="1" xfId="0" applyFont="1" applyFill="1" applyBorder="1" applyAlignment="1">
      <alignment horizontal="left" vertical="center" wrapText="1"/>
    </xf>
    <xf numFmtId="3" fontId="18" fillId="7" borderId="13" xfId="0" applyNumberFormat="1" applyFont="1" applyFill="1" applyBorder="1" applyAlignment="1">
      <alignment horizontal="center" vertical="center" wrapText="1"/>
    </xf>
    <xf numFmtId="3" fontId="18" fillId="7" borderId="15" xfId="0" applyNumberFormat="1" applyFont="1" applyFill="1" applyBorder="1" applyAlignment="1">
      <alignment horizontal="center" vertical="center" wrapText="1"/>
    </xf>
    <xf numFmtId="3" fontId="18" fillId="7" borderId="16" xfId="0" applyNumberFormat="1" applyFont="1" applyFill="1" applyBorder="1" applyAlignment="1">
      <alignment horizontal="center" vertical="center" wrapText="1"/>
    </xf>
    <xf numFmtId="0" fontId="18" fillId="7" borderId="13" xfId="0" applyFont="1" applyFill="1" applyBorder="1" applyAlignment="1">
      <alignment horizontal="left" vertical="center" wrapText="1"/>
    </xf>
    <xf numFmtId="0" fontId="18" fillId="7" borderId="15" xfId="0" applyFont="1" applyFill="1" applyBorder="1" applyAlignment="1">
      <alignment horizontal="left" vertical="center" wrapText="1"/>
    </xf>
    <xf numFmtId="0" fontId="18" fillId="7" borderId="16" xfId="0" applyFont="1" applyFill="1" applyBorder="1" applyAlignment="1">
      <alignment horizontal="left" vertical="center" wrapText="1"/>
    </xf>
    <xf numFmtId="9" fontId="18" fillId="7" borderId="13" xfId="0" applyNumberFormat="1" applyFont="1" applyFill="1" applyBorder="1" applyAlignment="1">
      <alignment horizontal="center" vertical="center" wrapText="1"/>
    </xf>
    <xf numFmtId="9" fontId="18" fillId="7" borderId="15" xfId="0" applyNumberFormat="1" applyFont="1" applyFill="1" applyBorder="1" applyAlignment="1">
      <alignment horizontal="center" vertical="center" wrapText="1"/>
    </xf>
    <xf numFmtId="9" fontId="18" fillId="7" borderId="16" xfId="0" applyNumberFormat="1" applyFont="1" applyFill="1" applyBorder="1" applyAlignment="1">
      <alignment horizontal="center" vertical="center" wrapText="1"/>
    </xf>
    <xf numFmtId="179" fontId="18" fillId="7" borderId="13" xfId="6" applyNumberFormat="1" applyFont="1" applyFill="1" applyBorder="1" applyAlignment="1">
      <alignment horizontal="right" vertical="center" wrapText="1"/>
    </xf>
    <xf numFmtId="179" fontId="18" fillId="7" borderId="15" xfId="6" applyNumberFormat="1" applyFont="1" applyFill="1" applyBorder="1" applyAlignment="1">
      <alignment horizontal="right" vertical="center" wrapText="1"/>
    </xf>
    <xf numFmtId="179" fontId="18" fillId="7" borderId="16" xfId="6" applyNumberFormat="1" applyFont="1" applyFill="1" applyBorder="1" applyAlignment="1">
      <alignment horizontal="right" vertical="center" wrapText="1"/>
    </xf>
    <xf numFmtId="14" fontId="18" fillId="7" borderId="13" xfId="0" applyNumberFormat="1" applyFont="1" applyFill="1" applyBorder="1" applyAlignment="1">
      <alignment horizontal="center" vertical="center"/>
    </xf>
    <xf numFmtId="14" fontId="18" fillId="7" borderId="15" xfId="0" applyNumberFormat="1" applyFont="1" applyFill="1" applyBorder="1" applyAlignment="1">
      <alignment horizontal="center" vertical="center"/>
    </xf>
    <xf numFmtId="14" fontId="18" fillId="7" borderId="16" xfId="0" applyNumberFormat="1" applyFont="1" applyFill="1" applyBorder="1" applyAlignment="1">
      <alignment horizontal="center" vertical="center"/>
    </xf>
    <xf numFmtId="0" fontId="18" fillId="7" borderId="13" xfId="0" applyFont="1" applyFill="1" applyBorder="1" applyAlignment="1">
      <alignment horizontal="center" vertical="center"/>
    </xf>
    <xf numFmtId="0" fontId="18" fillId="7" borderId="15" xfId="0" applyFont="1" applyFill="1" applyBorder="1" applyAlignment="1">
      <alignment horizontal="center" vertical="center"/>
    </xf>
    <xf numFmtId="0" fontId="18" fillId="7" borderId="16" xfId="0" applyFont="1" applyFill="1" applyBorder="1" applyAlignment="1">
      <alignment horizontal="center" vertical="center"/>
    </xf>
    <xf numFmtId="0" fontId="18" fillId="7" borderId="41" xfId="0" applyFont="1" applyFill="1" applyBorder="1" applyAlignment="1">
      <alignment horizontal="center" vertical="center" wrapText="1"/>
    </xf>
    <xf numFmtId="0" fontId="18" fillId="7" borderId="64" xfId="0" applyFont="1" applyFill="1" applyBorder="1" applyAlignment="1">
      <alignment horizontal="center" vertical="center" wrapText="1"/>
    </xf>
    <xf numFmtId="0" fontId="18" fillId="7" borderId="67" xfId="0" applyFont="1" applyFill="1" applyBorder="1" applyAlignment="1">
      <alignment horizontal="center" vertical="center"/>
    </xf>
    <xf numFmtId="43" fontId="18" fillId="7" borderId="13" xfId="6" applyFont="1" applyFill="1" applyBorder="1" applyAlignment="1">
      <alignment horizontal="center" vertical="center" wrapText="1"/>
    </xf>
    <xf numFmtId="43" fontId="18" fillId="7" borderId="15" xfId="6" applyFont="1" applyFill="1" applyBorder="1" applyAlignment="1">
      <alignment horizontal="center" vertical="center" wrapText="1"/>
    </xf>
    <xf numFmtId="43" fontId="18" fillId="7" borderId="16" xfId="6" applyFont="1" applyFill="1" applyBorder="1" applyAlignment="1">
      <alignment horizontal="center" vertical="center" wrapText="1"/>
    </xf>
    <xf numFmtId="10" fontId="18" fillId="7" borderId="13" xfId="0" applyNumberFormat="1" applyFont="1" applyFill="1" applyBorder="1" applyAlignment="1">
      <alignment horizontal="center"/>
    </xf>
    <xf numFmtId="10" fontId="18" fillId="7" borderId="15" xfId="0" applyNumberFormat="1" applyFont="1" applyFill="1" applyBorder="1" applyAlignment="1">
      <alignment horizontal="center"/>
    </xf>
    <xf numFmtId="10" fontId="18" fillId="7" borderId="16" xfId="0" applyNumberFormat="1" applyFont="1" applyFill="1" applyBorder="1" applyAlignment="1">
      <alignment horizontal="center"/>
    </xf>
    <xf numFmtId="1" fontId="18" fillId="7" borderId="13" xfId="0" applyNumberFormat="1" applyFont="1" applyFill="1" applyBorder="1" applyAlignment="1">
      <alignment horizontal="center" vertical="center" wrapText="1"/>
    </xf>
    <xf numFmtId="1" fontId="18" fillId="7" borderId="15" xfId="0" applyNumberFormat="1" applyFont="1" applyFill="1" applyBorder="1" applyAlignment="1">
      <alignment horizontal="center" vertical="center" wrapText="1"/>
    </xf>
    <xf numFmtId="1" fontId="18" fillId="7" borderId="16" xfId="0" applyNumberFormat="1" applyFont="1" applyFill="1" applyBorder="1" applyAlignment="1">
      <alignment horizontal="center" vertical="center" wrapText="1"/>
    </xf>
    <xf numFmtId="9" fontId="18" fillId="7" borderId="13" xfId="7" applyFont="1" applyFill="1" applyBorder="1" applyAlignment="1">
      <alignment horizontal="center" vertical="center" wrapText="1"/>
    </xf>
    <xf numFmtId="9" fontId="18" fillId="7" borderId="15" xfId="7" applyFont="1" applyFill="1" applyBorder="1" applyAlignment="1">
      <alignment horizontal="center" vertical="center" wrapText="1"/>
    </xf>
    <xf numFmtId="9" fontId="18" fillId="7" borderId="16" xfId="7" applyFont="1" applyFill="1" applyBorder="1" applyAlignment="1">
      <alignment horizontal="center" vertical="center" wrapText="1"/>
    </xf>
    <xf numFmtId="43" fontId="18" fillId="7" borderId="13" xfId="6" applyNumberFormat="1" applyFont="1" applyFill="1" applyBorder="1" applyAlignment="1">
      <alignment horizontal="right" vertical="center" wrapText="1"/>
    </xf>
    <xf numFmtId="43" fontId="18" fillId="7" borderId="15" xfId="6" applyNumberFormat="1" applyFont="1" applyFill="1" applyBorder="1" applyAlignment="1">
      <alignment horizontal="right" vertical="center" wrapText="1"/>
    </xf>
    <xf numFmtId="43" fontId="18" fillId="7" borderId="16" xfId="6" applyNumberFormat="1" applyFont="1" applyFill="1" applyBorder="1" applyAlignment="1">
      <alignment horizontal="right" vertical="center" wrapText="1"/>
    </xf>
    <xf numFmtId="0" fontId="18" fillId="0" borderId="13" xfId="0" applyFont="1" applyBorder="1" applyAlignment="1">
      <alignment horizontal="justify" vertical="center" wrapText="1"/>
    </xf>
    <xf numFmtId="0" fontId="18" fillId="0" borderId="15" xfId="0" applyFont="1" applyBorder="1" applyAlignment="1">
      <alignment horizontal="justify" vertical="center" wrapText="1"/>
    </xf>
    <xf numFmtId="0" fontId="18" fillId="0" borderId="16" xfId="0" applyFont="1" applyBorder="1" applyAlignment="1">
      <alignment horizontal="justify" vertical="center" wrapText="1"/>
    </xf>
    <xf numFmtId="0" fontId="18" fillId="0" borderId="13"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7" borderId="67" xfId="0" applyFont="1" applyFill="1" applyBorder="1" applyAlignment="1">
      <alignment horizontal="center" vertical="center" wrapText="1"/>
    </xf>
    <xf numFmtId="9" fontId="18" fillId="7" borderId="13" xfId="0" applyNumberFormat="1" applyFont="1" applyFill="1" applyBorder="1" applyAlignment="1">
      <alignment horizontal="center" vertical="center"/>
    </xf>
    <xf numFmtId="9" fontId="18" fillId="7" borderId="15" xfId="0" applyNumberFormat="1" applyFont="1" applyFill="1" applyBorder="1" applyAlignment="1">
      <alignment horizontal="center" vertical="center"/>
    </xf>
    <xf numFmtId="9" fontId="18" fillId="7" borderId="16" xfId="0" applyNumberFormat="1" applyFont="1" applyFill="1" applyBorder="1" applyAlignment="1">
      <alignment horizontal="center" vertical="center"/>
    </xf>
    <xf numFmtId="3" fontId="18" fillId="0" borderId="13" xfId="0" applyNumberFormat="1" applyFont="1" applyBorder="1" applyAlignment="1">
      <alignment horizontal="center" vertical="center" wrapText="1"/>
    </xf>
    <xf numFmtId="3" fontId="18" fillId="0" borderId="15" xfId="0" applyNumberFormat="1" applyFont="1" applyBorder="1" applyAlignment="1">
      <alignment horizontal="center" vertical="center" wrapText="1"/>
    </xf>
    <xf numFmtId="3" fontId="18" fillId="0" borderId="16" xfId="0" applyNumberFormat="1" applyFont="1" applyBorder="1" applyAlignment="1">
      <alignment horizontal="center" vertical="center" wrapText="1"/>
    </xf>
    <xf numFmtId="0" fontId="18" fillId="7" borderId="1" xfId="0" applyFont="1" applyFill="1" applyBorder="1" applyAlignment="1">
      <alignment horizontal="justify" vertical="center" wrapText="1"/>
    </xf>
    <xf numFmtId="0" fontId="22" fillId="9" borderId="6" xfId="0" applyFont="1" applyFill="1" applyBorder="1" applyAlignment="1">
      <alignment horizontal="left" vertical="center" wrapText="1"/>
    </xf>
    <xf numFmtId="0" fontId="22" fillId="9" borderId="7" xfId="0" applyFont="1" applyFill="1" applyBorder="1" applyAlignment="1">
      <alignment horizontal="left" vertical="center" wrapText="1"/>
    </xf>
    <xf numFmtId="0" fontId="22" fillId="23" borderId="6" xfId="0" applyFont="1" applyFill="1" applyBorder="1" applyAlignment="1">
      <alignment horizontal="left" vertical="center" wrapText="1"/>
    </xf>
    <xf numFmtId="0" fontId="22" fillId="23" borderId="7" xfId="0" applyFont="1" applyFill="1" applyBorder="1" applyAlignment="1">
      <alignment horizontal="left" vertical="center" wrapText="1"/>
    </xf>
    <xf numFmtId="43" fontId="18" fillId="7" borderId="13" xfId="6" applyFont="1" applyFill="1" applyBorder="1" applyAlignment="1">
      <alignment horizontal="right" vertical="center" wrapText="1"/>
    </xf>
    <xf numFmtId="43" fontId="18" fillId="7" borderId="15" xfId="6" applyFont="1" applyFill="1" applyBorder="1" applyAlignment="1">
      <alignment horizontal="right" vertical="center" wrapText="1"/>
    </xf>
    <xf numFmtId="43" fontId="18" fillId="7" borderId="16" xfId="6" applyFont="1" applyFill="1" applyBorder="1" applyAlignment="1">
      <alignment horizontal="right" vertical="center" wrapText="1"/>
    </xf>
    <xf numFmtId="0" fontId="18" fillId="0" borderId="1" xfId="0" applyFont="1" applyBorder="1" applyAlignment="1">
      <alignment horizontal="justify" vertical="center" wrapText="1"/>
    </xf>
    <xf numFmtId="0" fontId="6" fillId="7" borderId="0" xfId="0" applyFont="1" applyFill="1" applyAlignment="1">
      <alignment horizontal="center"/>
    </xf>
    <xf numFmtId="0" fontId="3" fillId="7" borderId="0" xfId="0" applyFont="1" applyFill="1" applyAlignment="1">
      <alignment horizontal="center"/>
    </xf>
    <xf numFmtId="181" fontId="18" fillId="7" borderId="29"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1" fontId="6" fillId="3" borderId="75" xfId="0" applyNumberFormat="1" applyFont="1" applyFill="1" applyBorder="1" applyAlignment="1">
      <alignment horizontal="center" vertical="center" wrapText="1"/>
    </xf>
    <xf numFmtId="3" fontId="6" fillId="3" borderId="41" xfId="0" applyNumberFormat="1" applyFont="1" applyFill="1" applyBorder="1" applyAlignment="1">
      <alignment horizontal="center" vertical="center" wrapText="1"/>
    </xf>
    <xf numFmtId="3" fontId="6" fillId="3" borderId="64" xfId="0" applyNumberFormat="1" applyFont="1" applyFill="1" applyBorder="1" applyAlignment="1">
      <alignment horizontal="center" vertical="center" wrapText="1"/>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3" xfId="0" applyFont="1" applyFill="1" applyBorder="1" applyAlignment="1">
      <alignment horizontal="center" vertical="center" textRotation="90" wrapText="1"/>
    </xf>
    <xf numFmtId="0" fontId="6" fillId="4" borderId="9" xfId="0" applyFont="1" applyFill="1" applyBorder="1" applyAlignment="1">
      <alignment horizontal="center" vertical="center" textRotation="90" wrapText="1"/>
    </xf>
    <xf numFmtId="167" fontId="6" fillId="3" borderId="3" xfId="0" applyNumberFormat="1" applyFont="1" applyFill="1" applyBorder="1" applyAlignment="1">
      <alignment horizontal="center" vertical="center" wrapText="1"/>
    </xf>
    <xf numFmtId="167" fontId="6" fillId="3" borderId="9" xfId="0" applyNumberFormat="1"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1" fontId="6" fillId="7" borderId="61" xfId="0" applyNumberFormat="1" applyFont="1" applyFill="1" applyBorder="1" applyAlignment="1">
      <alignment horizontal="center" vertical="center" wrapText="1"/>
    </xf>
    <xf numFmtId="1" fontId="6" fillId="7" borderId="4" xfId="0" applyNumberFormat="1" applyFont="1" applyFill="1" applyBorder="1" applyAlignment="1">
      <alignment horizontal="center" vertical="center" wrapText="1"/>
    </xf>
    <xf numFmtId="1" fontId="6" fillId="7" borderId="59" xfId="0" applyNumberFormat="1" applyFont="1" applyFill="1" applyBorder="1" applyAlignment="1">
      <alignment horizontal="center" vertical="center" wrapText="1"/>
    </xf>
    <xf numFmtId="1" fontId="6" fillId="7" borderId="0" xfId="0" applyNumberFormat="1"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3" borderId="1" xfId="0" applyFont="1" applyFill="1" applyBorder="1" applyAlignment="1">
      <alignment horizontal="center" vertical="center" textRotation="90" wrapText="1"/>
    </xf>
    <xf numFmtId="169" fontId="6" fillId="3" borderId="4" xfId="0" applyNumberFormat="1" applyFont="1" applyFill="1" applyBorder="1" applyAlignment="1">
      <alignment horizontal="center" vertical="center" wrapText="1"/>
    </xf>
    <xf numFmtId="169" fontId="6" fillId="3" borderId="9" xfId="0" applyNumberFormat="1" applyFont="1" applyFill="1" applyBorder="1" applyAlignment="1">
      <alignment horizontal="center" vertical="center" wrapText="1"/>
    </xf>
    <xf numFmtId="169" fontId="6" fillId="3" borderId="17" xfId="0" applyNumberFormat="1" applyFont="1" applyFill="1" applyBorder="1" applyAlignment="1">
      <alignment horizontal="center" vertical="center" wrapText="1"/>
    </xf>
    <xf numFmtId="169" fontId="6" fillId="3" borderId="0" xfId="0" applyNumberFormat="1" applyFont="1" applyFill="1" applyBorder="1" applyAlignment="1">
      <alignment horizontal="center" vertical="center" wrapText="1"/>
    </xf>
    <xf numFmtId="169" fontId="6" fillId="3" borderId="18" xfId="0" applyNumberFormat="1" applyFont="1" applyFill="1" applyBorder="1" applyAlignment="1">
      <alignment horizontal="center" vertical="center" wrapText="1"/>
    </xf>
    <xf numFmtId="1" fontId="6" fillId="3" borderId="15" xfId="0" applyNumberFormat="1" applyFont="1" applyFill="1" applyBorder="1" applyAlignment="1">
      <alignment horizontal="center" vertical="center" wrapText="1"/>
    </xf>
    <xf numFmtId="0" fontId="6" fillId="3" borderId="13" xfId="0" applyFont="1" applyFill="1" applyBorder="1" applyAlignment="1">
      <alignment horizontal="justify" vertical="center" wrapText="1"/>
    </xf>
    <xf numFmtId="0" fontId="6" fillId="3" borderId="15" xfId="0" applyFont="1" applyFill="1" applyBorder="1" applyAlignment="1">
      <alignment horizontal="justify" vertical="center" wrapText="1"/>
    </xf>
    <xf numFmtId="170" fontId="6" fillId="3" borderId="3" xfId="0" applyNumberFormat="1" applyFont="1" applyFill="1" applyBorder="1" applyAlignment="1">
      <alignment horizontal="center" vertical="center" wrapText="1"/>
    </xf>
    <xf numFmtId="43" fontId="6" fillId="3" borderId="3" xfId="1" applyFont="1" applyFill="1" applyBorder="1" applyAlignment="1">
      <alignment horizontal="center" vertical="center" wrapText="1"/>
    </xf>
    <xf numFmtId="43" fontId="6" fillId="3" borderId="17" xfId="1" applyFont="1" applyFill="1" applyBorder="1" applyAlignment="1">
      <alignment horizontal="center" vertical="center" wrapText="1"/>
    </xf>
    <xf numFmtId="169" fontId="3" fillId="0" borderId="1" xfId="1" applyNumberFormat="1" applyFont="1" applyBorder="1" applyAlignment="1">
      <alignment horizontal="center" vertical="center"/>
    </xf>
    <xf numFmtId="169" fontId="3" fillId="0" borderId="1" xfId="0" applyNumberFormat="1" applyFont="1" applyBorder="1" applyAlignment="1">
      <alignment horizontal="center" vertical="center" wrapText="1"/>
    </xf>
    <xf numFmtId="1" fontId="3" fillId="7" borderId="1" xfId="0" applyNumberFormat="1"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9" fontId="3" fillId="7" borderId="1" xfId="0" applyNumberFormat="1" applyFont="1" applyFill="1" applyBorder="1" applyAlignment="1">
      <alignment horizontal="center" vertical="center" wrapText="1"/>
    </xf>
    <xf numFmtId="169" fontId="3" fillId="0" borderId="1" xfId="1" applyNumberFormat="1" applyFont="1" applyBorder="1" applyAlignment="1">
      <alignment horizontal="center" vertical="center" wrapText="1"/>
    </xf>
    <xf numFmtId="14" fontId="3" fillId="7" borderId="13" xfId="0" applyNumberFormat="1" applyFont="1" applyFill="1" applyBorder="1" applyAlignment="1">
      <alignment horizontal="center" vertical="center" wrapText="1"/>
    </xf>
    <xf numFmtId="14" fontId="3" fillId="7" borderId="15" xfId="0" applyNumberFormat="1" applyFont="1" applyFill="1" applyBorder="1" applyAlignment="1">
      <alignment horizontal="center" vertical="center" wrapText="1"/>
    </xf>
    <xf numFmtId="14" fontId="3" fillId="7" borderId="16" xfId="0" applyNumberFormat="1" applyFont="1" applyFill="1" applyBorder="1" applyAlignment="1">
      <alignment horizontal="center" vertical="center" wrapText="1"/>
    </xf>
    <xf numFmtId="3" fontId="3" fillId="7" borderId="39" xfId="0" applyNumberFormat="1" applyFont="1" applyFill="1" applyBorder="1" applyAlignment="1">
      <alignment horizontal="center" vertical="center" wrapText="1"/>
    </xf>
    <xf numFmtId="169" fontId="3" fillId="0" borderId="13" xfId="0" applyNumberFormat="1" applyFont="1" applyBorder="1" applyAlignment="1">
      <alignment horizontal="center" vertical="center" wrapText="1"/>
    </xf>
    <xf numFmtId="169" fontId="3" fillId="0" borderId="15" xfId="0" applyNumberFormat="1" applyFont="1" applyBorder="1" applyAlignment="1">
      <alignment horizontal="center" vertical="center" wrapText="1"/>
    </xf>
    <xf numFmtId="169" fontId="3" fillId="0" borderId="16" xfId="0" applyNumberFormat="1" applyFont="1" applyBorder="1" applyAlignment="1">
      <alignment horizontal="center" vertical="center" wrapText="1"/>
    </xf>
    <xf numFmtId="9" fontId="3" fillId="0" borderId="13" xfId="0" applyNumberFormat="1" applyFont="1" applyBorder="1" applyAlignment="1">
      <alignment horizontal="center" vertical="center" wrapText="1"/>
    </xf>
    <xf numFmtId="9" fontId="3" fillId="0" borderId="15" xfId="0" applyNumberFormat="1" applyFont="1" applyBorder="1" applyAlignment="1">
      <alignment horizontal="center" vertical="center" wrapText="1"/>
    </xf>
    <xf numFmtId="9" fontId="3" fillId="0" borderId="16" xfId="0" applyNumberFormat="1" applyFont="1" applyBorder="1" applyAlignment="1">
      <alignment horizontal="center" vertical="center" wrapText="1"/>
    </xf>
    <xf numFmtId="14" fontId="3" fillId="0" borderId="13" xfId="0" applyNumberFormat="1" applyFont="1" applyBorder="1" applyAlignment="1">
      <alignment horizontal="center" vertical="center" wrapText="1"/>
    </xf>
    <xf numFmtId="14" fontId="3" fillId="0" borderId="15" xfId="0" applyNumberFormat="1" applyFont="1" applyBorder="1" applyAlignment="1">
      <alignment horizontal="center" vertical="center" wrapText="1"/>
    </xf>
    <xf numFmtId="14" fontId="3" fillId="0" borderId="16" xfId="0" applyNumberFormat="1" applyFont="1" applyBorder="1" applyAlignment="1">
      <alignment horizontal="center" vertical="center" wrapText="1"/>
    </xf>
    <xf numFmtId="3" fontId="3" fillId="7" borderId="1" xfId="0" applyNumberFormat="1" applyFont="1" applyFill="1" applyBorder="1" applyAlignment="1">
      <alignment horizontal="justify" vertical="center" wrapText="1"/>
    </xf>
    <xf numFmtId="4" fontId="3" fillId="7" borderId="1" xfId="0" applyNumberFormat="1" applyFont="1" applyFill="1" applyBorder="1" applyAlignment="1">
      <alignment horizontal="center" vertical="center"/>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169" fontId="3" fillId="0" borderId="13" xfId="0" applyNumberFormat="1" applyFont="1" applyBorder="1" applyAlignment="1">
      <alignment horizontal="center" vertical="center"/>
    </xf>
    <xf numFmtId="169" fontId="3" fillId="0" borderId="15" xfId="0" applyNumberFormat="1" applyFont="1" applyBorder="1" applyAlignment="1">
      <alignment horizontal="center" vertical="center"/>
    </xf>
    <xf numFmtId="9" fontId="3" fillId="0" borderId="13" xfId="0" applyNumberFormat="1" applyFont="1" applyBorder="1" applyAlignment="1">
      <alignment horizontal="center" vertical="center"/>
    </xf>
    <xf numFmtId="9" fontId="3" fillId="0" borderId="15" xfId="0" applyNumberFormat="1" applyFont="1" applyBorder="1" applyAlignment="1">
      <alignment horizontal="center" vertical="center"/>
    </xf>
    <xf numFmtId="9" fontId="3" fillId="0" borderId="16" xfId="0" applyNumberFormat="1" applyFont="1" applyBorder="1" applyAlignment="1">
      <alignment horizontal="center" vertical="center"/>
    </xf>
    <xf numFmtId="0" fontId="6" fillId="7" borderId="2" xfId="0" applyFont="1" applyFill="1" applyBorder="1" applyAlignment="1">
      <alignment horizontal="center" vertical="center" wrapText="1"/>
    </xf>
    <xf numFmtId="9" fontId="3" fillId="7" borderId="1" xfId="3" applyNumberFormat="1" applyFont="1" applyFill="1" applyBorder="1" applyAlignment="1">
      <alignment horizontal="center" vertical="center" wrapText="1"/>
    </xf>
    <xf numFmtId="9" fontId="3" fillId="7" borderId="13" xfId="3" applyNumberFormat="1" applyFont="1" applyFill="1" applyBorder="1" applyAlignment="1">
      <alignment horizontal="center" vertical="center" wrapText="1"/>
    </xf>
    <xf numFmtId="9" fontId="3" fillId="7" borderId="15" xfId="3" applyNumberFormat="1" applyFont="1" applyFill="1" applyBorder="1" applyAlignment="1">
      <alignment horizontal="center" vertical="center" wrapText="1"/>
    </xf>
    <xf numFmtId="9" fontId="3" fillId="7" borderId="16" xfId="3" applyNumberFormat="1" applyFont="1" applyFill="1" applyBorder="1" applyAlignment="1">
      <alignment horizontal="center" vertical="center" wrapText="1"/>
    </xf>
    <xf numFmtId="169" fontId="3" fillId="0" borderId="13" xfId="1" applyNumberFormat="1" applyFont="1" applyBorder="1" applyAlignment="1">
      <alignment horizontal="center" vertical="center" wrapText="1"/>
    </xf>
    <xf numFmtId="169" fontId="3" fillId="0" borderId="15" xfId="1" applyNumberFormat="1" applyFont="1" applyBorder="1" applyAlignment="1">
      <alignment horizontal="center" vertical="center" wrapText="1"/>
    </xf>
    <xf numFmtId="169" fontId="3" fillId="0" borderId="16" xfId="1" applyNumberFormat="1" applyFont="1" applyBorder="1" applyAlignment="1">
      <alignment horizontal="center" vertical="center" wrapText="1"/>
    </xf>
    <xf numFmtId="0" fontId="3" fillId="7" borderId="3" xfId="0" applyFont="1" applyFill="1" applyBorder="1" applyAlignment="1">
      <alignment horizontal="center"/>
    </xf>
    <xf numFmtId="0" fontId="3" fillId="7" borderId="4" xfId="0" applyFont="1" applyFill="1" applyBorder="1" applyAlignment="1">
      <alignment horizontal="center"/>
    </xf>
    <xf numFmtId="0" fontId="3" fillId="7" borderId="9" xfId="0" applyFont="1" applyFill="1" applyBorder="1" applyAlignment="1">
      <alignment horizontal="center"/>
    </xf>
    <xf numFmtId="0" fontId="3" fillId="7" borderId="17" xfId="0" applyFont="1" applyFill="1" applyBorder="1" applyAlignment="1">
      <alignment horizontal="center"/>
    </xf>
    <xf numFmtId="0" fontId="3" fillId="7" borderId="0" xfId="0" applyFont="1" applyFill="1" applyBorder="1" applyAlignment="1">
      <alignment horizontal="center"/>
    </xf>
    <xf numFmtId="0" fontId="3" fillId="7" borderId="18" xfId="0" applyFont="1" applyFill="1" applyBorder="1" applyAlignment="1">
      <alignment horizontal="center"/>
    </xf>
    <xf numFmtId="170" fontId="3" fillId="7" borderId="13" xfId="0" applyNumberFormat="1" applyFont="1" applyFill="1" applyBorder="1" applyAlignment="1">
      <alignment horizontal="center" vertical="center" wrapText="1"/>
    </xf>
    <xf numFmtId="170" fontId="3" fillId="7" borderId="15" xfId="0" applyNumberFormat="1" applyFont="1" applyFill="1" applyBorder="1" applyAlignment="1">
      <alignment horizontal="center" vertical="center" wrapText="1"/>
    </xf>
    <xf numFmtId="9" fontId="3" fillId="7" borderId="13" xfId="0" applyNumberFormat="1" applyFont="1" applyFill="1" applyBorder="1" applyAlignment="1">
      <alignment horizontal="center" vertical="center" wrapText="1"/>
    </xf>
    <xf numFmtId="9" fontId="3" fillId="7" borderId="15" xfId="0" applyNumberFormat="1" applyFont="1" applyFill="1" applyBorder="1" applyAlignment="1">
      <alignment horizontal="center"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9"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7" borderId="1" xfId="0" applyFont="1" applyFill="1" applyBorder="1" applyAlignment="1">
      <alignment horizontal="center"/>
    </xf>
    <xf numFmtId="3" fontId="3" fillId="7" borderId="13" xfId="0" applyNumberFormat="1" applyFont="1" applyFill="1" applyBorder="1" applyAlignment="1">
      <alignment horizontal="justify" vertical="center" wrapText="1"/>
    </xf>
    <xf numFmtId="3" fontId="3" fillId="7" borderId="15" xfId="0" applyNumberFormat="1" applyFont="1" applyFill="1" applyBorder="1" applyAlignment="1">
      <alignment horizontal="justify" vertical="center" wrapText="1"/>
    </xf>
    <xf numFmtId="0" fontId="3" fillId="7" borderId="3" xfId="0" applyFont="1" applyFill="1" applyBorder="1" applyAlignment="1">
      <alignment horizontal="justify" vertical="center" wrapText="1"/>
    </xf>
    <xf numFmtId="0" fontId="3" fillId="7" borderId="17" xfId="0" applyFont="1" applyFill="1" applyBorder="1" applyAlignment="1">
      <alignment horizontal="justify" vertical="center" wrapText="1"/>
    </xf>
    <xf numFmtId="43" fontId="3" fillId="7" borderId="1" xfId="1" applyFont="1" applyFill="1" applyBorder="1" applyAlignment="1">
      <alignment horizontal="center" vertical="center" wrapText="1"/>
    </xf>
    <xf numFmtId="43" fontId="3" fillId="7" borderId="9" xfId="1" applyFont="1" applyFill="1" applyBorder="1" applyAlignment="1">
      <alignment horizontal="center" vertical="center" wrapText="1"/>
    </xf>
    <xf numFmtId="43" fontId="3" fillId="7" borderId="18" xfId="1" applyFont="1" applyFill="1" applyBorder="1" applyAlignment="1">
      <alignment horizontal="center" vertical="center" wrapText="1"/>
    </xf>
    <xf numFmtId="43" fontId="3" fillId="7" borderId="14" xfId="1" applyFont="1" applyFill="1" applyBorder="1" applyAlignment="1">
      <alignment horizontal="center" vertical="center" wrapText="1"/>
    </xf>
    <xf numFmtId="0" fontId="3" fillId="7" borderId="5" xfId="0" applyFont="1" applyFill="1" applyBorder="1" applyAlignment="1">
      <alignment horizontal="justify" vertical="center" wrapText="1"/>
    </xf>
    <xf numFmtId="168" fontId="3" fillId="7" borderId="13" xfId="1" applyNumberFormat="1" applyFont="1" applyFill="1" applyBorder="1" applyAlignment="1">
      <alignment horizontal="center" vertical="center" wrapText="1"/>
    </xf>
    <xf numFmtId="168" fontId="3" fillId="7" borderId="15" xfId="1" applyNumberFormat="1" applyFont="1" applyFill="1" applyBorder="1" applyAlignment="1">
      <alignment horizontal="center" vertical="center" wrapText="1"/>
    </xf>
    <xf numFmtId="168" fontId="3" fillId="7" borderId="16" xfId="1" applyNumberFormat="1" applyFont="1" applyFill="1" applyBorder="1" applyAlignment="1">
      <alignment horizontal="center" vertical="center" wrapText="1"/>
    </xf>
    <xf numFmtId="1" fontId="3" fillId="7" borderId="13" xfId="1" applyNumberFormat="1" applyFont="1" applyFill="1" applyBorder="1" applyAlignment="1">
      <alignment horizontal="center" vertical="center" wrapText="1"/>
    </xf>
    <xf numFmtId="1" fontId="3" fillId="7" borderId="15" xfId="1" applyNumberFormat="1" applyFont="1" applyFill="1" applyBorder="1" applyAlignment="1">
      <alignment horizontal="center" vertical="center" wrapText="1"/>
    </xf>
    <xf numFmtId="1" fontId="3" fillId="7" borderId="16" xfId="1" applyNumberFormat="1" applyFont="1" applyFill="1" applyBorder="1" applyAlignment="1">
      <alignment horizontal="center" vertical="center" wrapText="1"/>
    </xf>
    <xf numFmtId="1" fontId="6" fillId="7" borderId="15" xfId="0" applyNumberFormat="1" applyFont="1" applyFill="1" applyBorder="1" applyAlignment="1">
      <alignment horizontal="center" vertical="center" wrapText="1"/>
    </xf>
    <xf numFmtId="3" fontId="3" fillId="7" borderId="41" xfId="0" applyNumberFormat="1" applyFont="1" applyFill="1" applyBorder="1" applyAlignment="1">
      <alignment horizontal="justify" vertical="center" wrapText="1"/>
    </xf>
    <xf numFmtId="3" fontId="3" fillId="7" borderId="64" xfId="0" applyNumberFormat="1" applyFont="1" applyFill="1" applyBorder="1" applyAlignment="1">
      <alignment horizontal="justify" vertical="center" wrapText="1"/>
    </xf>
    <xf numFmtId="3" fontId="3" fillId="7" borderId="67" xfId="0" applyNumberFormat="1" applyFont="1" applyFill="1" applyBorder="1" applyAlignment="1">
      <alignment horizontal="justify" vertical="center" wrapText="1"/>
    </xf>
    <xf numFmtId="167" fontId="3" fillId="7" borderId="13" xfId="0" applyNumberFormat="1" applyFont="1" applyFill="1" applyBorder="1" applyAlignment="1">
      <alignment horizontal="center" vertical="center" wrapText="1"/>
    </xf>
    <xf numFmtId="167" fontId="3" fillId="7" borderId="15" xfId="0" applyNumberFormat="1" applyFont="1" applyFill="1" applyBorder="1" applyAlignment="1">
      <alignment horizontal="center" vertical="center" wrapText="1"/>
    </xf>
    <xf numFmtId="167" fontId="3" fillId="7" borderId="16" xfId="0" applyNumberFormat="1" applyFont="1" applyFill="1" applyBorder="1" applyAlignment="1">
      <alignment horizontal="center" vertical="center" wrapText="1"/>
    </xf>
    <xf numFmtId="43" fontId="3" fillId="0" borderId="1" xfId="1" applyFont="1" applyBorder="1" applyAlignment="1">
      <alignment horizontal="center" vertical="center" wrapText="1"/>
    </xf>
    <xf numFmtId="0" fontId="3" fillId="0" borderId="1" xfId="0" applyFont="1" applyBorder="1" applyAlignment="1">
      <alignment horizontal="center"/>
    </xf>
    <xf numFmtId="0" fontId="3" fillId="7" borderId="40" xfId="0" applyFont="1" applyFill="1" applyBorder="1" applyAlignment="1">
      <alignment horizontal="justify" vertical="center" wrapText="1"/>
    </xf>
    <xf numFmtId="0" fontId="3" fillId="7" borderId="1" xfId="1" applyNumberFormat="1" applyFont="1" applyFill="1" applyBorder="1" applyAlignment="1">
      <alignment horizontal="center" vertical="center" wrapText="1"/>
    </xf>
    <xf numFmtId="0" fontId="3" fillId="7" borderId="13" xfId="1" applyNumberFormat="1" applyFont="1" applyFill="1" applyBorder="1" applyAlignment="1">
      <alignment horizontal="center" vertical="center" wrapText="1"/>
    </xf>
    <xf numFmtId="0" fontId="3" fillId="7" borderId="15" xfId="1" applyNumberFormat="1" applyFont="1" applyFill="1" applyBorder="1" applyAlignment="1">
      <alignment horizontal="center" vertical="center" wrapText="1"/>
    </xf>
    <xf numFmtId="0" fontId="3" fillId="7" borderId="16" xfId="1" applyNumberFormat="1" applyFont="1" applyFill="1" applyBorder="1" applyAlignment="1">
      <alignment horizontal="center" vertical="center" wrapText="1"/>
    </xf>
    <xf numFmtId="3" fontId="3" fillId="7" borderId="16" xfId="0" applyNumberFormat="1" applyFont="1" applyFill="1" applyBorder="1" applyAlignment="1">
      <alignment horizontal="justify" vertical="center" wrapText="1"/>
    </xf>
    <xf numFmtId="168" fontId="3" fillId="7" borderId="1" xfId="1" applyNumberFormat="1" applyFont="1" applyFill="1" applyBorder="1" applyAlignment="1">
      <alignment horizontal="center" vertical="center" wrapText="1"/>
    </xf>
    <xf numFmtId="169" fontId="3" fillId="7" borderId="13" xfId="1" applyNumberFormat="1" applyFont="1" applyFill="1" applyBorder="1" applyAlignment="1">
      <alignment horizontal="center" vertical="center" wrapText="1"/>
    </xf>
    <xf numFmtId="169" fontId="3" fillId="7" borderId="15" xfId="1" applyNumberFormat="1" applyFont="1" applyFill="1" applyBorder="1" applyAlignment="1">
      <alignment horizontal="center" vertical="center" wrapText="1"/>
    </xf>
    <xf numFmtId="3" fontId="3" fillId="7" borderId="1" xfId="0" applyNumberFormat="1" applyFont="1" applyFill="1" applyBorder="1" applyAlignment="1">
      <alignment horizontal="center" vertical="center" wrapText="1"/>
    </xf>
    <xf numFmtId="14" fontId="3" fillId="7" borderId="1" xfId="0" applyNumberFormat="1" applyFont="1" applyFill="1" applyBorder="1" applyAlignment="1">
      <alignment horizontal="center" vertical="center" wrapText="1"/>
    </xf>
    <xf numFmtId="167" fontId="3" fillId="7" borderId="1" xfId="0" applyNumberFormat="1" applyFont="1" applyFill="1" applyBorder="1" applyAlignment="1">
      <alignment horizontal="center" vertical="center" wrapText="1"/>
    </xf>
    <xf numFmtId="43" fontId="3" fillId="7" borderId="5" xfId="1" applyFont="1" applyFill="1" applyBorder="1" applyAlignment="1">
      <alignment horizontal="center" vertical="center" wrapText="1"/>
    </xf>
    <xf numFmtId="43" fontId="3" fillId="7" borderId="3" xfId="1" applyFont="1" applyFill="1" applyBorder="1" applyAlignment="1">
      <alignment horizontal="center" vertical="center" wrapText="1"/>
    </xf>
    <xf numFmtId="1" fontId="3" fillId="7" borderId="49" xfId="0" applyNumberFormat="1" applyFont="1" applyFill="1" applyBorder="1" applyAlignment="1">
      <alignment horizontal="center" vertical="center" wrapText="1"/>
    </xf>
    <xf numFmtId="1" fontId="3" fillId="7" borderId="24" xfId="0" applyNumberFormat="1" applyFont="1" applyFill="1" applyBorder="1" applyAlignment="1">
      <alignment horizontal="center" vertical="center" wrapText="1"/>
    </xf>
    <xf numFmtId="0" fontId="3" fillId="7" borderId="48" xfId="0" applyFont="1" applyFill="1" applyBorder="1" applyAlignment="1">
      <alignment horizontal="center" vertical="center" wrapText="1"/>
    </xf>
    <xf numFmtId="0" fontId="3" fillId="7" borderId="22" xfId="0" applyFont="1" applyFill="1" applyBorder="1" applyAlignment="1">
      <alignment horizontal="center" vertical="center" wrapText="1"/>
    </xf>
    <xf numFmtId="9" fontId="3" fillId="7" borderId="1" xfId="3" applyFont="1" applyFill="1" applyBorder="1" applyAlignment="1">
      <alignment horizontal="center" vertical="center" wrapText="1"/>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1" fontId="5" fillId="3" borderId="9" xfId="0" applyNumberFormat="1" applyFont="1" applyFill="1" applyBorder="1" applyAlignment="1">
      <alignment horizontal="center" vertical="center" wrapText="1"/>
    </xf>
    <xf numFmtId="1" fontId="5" fillId="3" borderId="18" xfId="0" applyNumberFormat="1" applyFont="1" applyFill="1" applyBorder="1" applyAlignment="1">
      <alignment horizontal="center" vertical="center" wrapText="1"/>
    </xf>
    <xf numFmtId="167" fontId="5" fillId="3" borderId="3" xfId="0" applyNumberFormat="1" applyFont="1" applyFill="1" applyBorder="1" applyAlignment="1">
      <alignment horizontal="center" vertical="center" wrapText="1"/>
    </xf>
    <xf numFmtId="167" fontId="5" fillId="3" borderId="9" xfId="0" applyNumberFormat="1" applyFont="1" applyFill="1" applyBorder="1" applyAlignment="1">
      <alignment horizontal="center" vertical="center" wrapText="1"/>
    </xf>
    <xf numFmtId="3" fontId="5" fillId="3" borderId="13" xfId="0" applyNumberFormat="1" applyFont="1" applyFill="1" applyBorder="1" applyAlignment="1">
      <alignment horizontal="center" vertical="center" wrapText="1"/>
    </xf>
    <xf numFmtId="0" fontId="13" fillId="3" borderId="6" xfId="0" applyFont="1" applyFill="1" applyBorder="1" applyAlignment="1">
      <alignment horizontal="center" vertical="center" textRotation="90" wrapText="1"/>
    </xf>
    <xf numFmtId="0" fontId="13" fillId="3" borderId="8" xfId="0" applyFont="1" applyFill="1" applyBorder="1" applyAlignment="1">
      <alignment horizontal="center" vertical="center" textRotation="90" wrapText="1"/>
    </xf>
    <xf numFmtId="169" fontId="5" fillId="3" borderId="3" xfId="0" applyNumberFormat="1" applyFont="1" applyFill="1" applyBorder="1" applyAlignment="1">
      <alignment horizontal="center" vertical="center" wrapText="1"/>
    </xf>
    <xf numFmtId="169" fontId="5" fillId="3" borderId="4" xfId="0" applyNumberFormat="1" applyFont="1" applyFill="1" applyBorder="1" applyAlignment="1">
      <alignment horizontal="center" vertical="center" wrapText="1"/>
    </xf>
    <xf numFmtId="169" fontId="5" fillId="3" borderId="9" xfId="0" applyNumberFormat="1" applyFont="1" applyFill="1" applyBorder="1" applyAlignment="1">
      <alignment horizontal="center" vertical="center" wrapText="1"/>
    </xf>
    <xf numFmtId="3" fontId="7"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4" fontId="4" fillId="5" borderId="1" xfId="0" applyNumberFormat="1" applyFont="1" applyFill="1" applyBorder="1" applyAlignment="1">
      <alignment horizontal="center" vertical="center" wrapText="1"/>
    </xf>
    <xf numFmtId="1" fontId="5" fillId="6" borderId="7" xfId="0" applyNumberFormat="1" applyFont="1" applyFill="1" applyBorder="1" applyAlignment="1">
      <alignment horizontal="left" vertical="center" wrapText="1"/>
    </xf>
    <xf numFmtId="1" fontId="5" fillId="6" borderId="4" xfId="0" applyNumberFormat="1" applyFont="1" applyFill="1" applyBorder="1" applyAlignment="1">
      <alignment horizontal="left" vertical="center" wrapText="1"/>
    </xf>
    <xf numFmtId="1" fontId="5" fillId="7" borderId="4" xfId="0" applyNumberFormat="1" applyFont="1" applyFill="1" applyBorder="1" applyAlignment="1">
      <alignment horizontal="center" vertical="center" wrapText="1"/>
    </xf>
    <xf numFmtId="1" fontId="5" fillId="7" borderId="0" xfId="0" applyNumberFormat="1" applyFont="1" applyFill="1" applyAlignment="1">
      <alignment horizontal="center" vertical="center" wrapText="1"/>
    </xf>
    <xf numFmtId="0" fontId="5" fillId="7" borderId="4"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0" xfId="0" applyFont="1" applyFill="1" applyAlignment="1">
      <alignment horizontal="center" vertical="center" wrapText="1"/>
    </xf>
    <xf numFmtId="0" fontId="5" fillId="7" borderId="18"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18"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3" fillId="7" borderId="13" xfId="0" applyFont="1" applyFill="1" applyBorder="1" applyAlignment="1">
      <alignment horizontal="justify" vertical="center" wrapText="1"/>
    </xf>
    <xf numFmtId="0" fontId="13" fillId="7" borderId="16" xfId="0" applyFont="1" applyFill="1" applyBorder="1" applyAlignment="1">
      <alignment horizontal="justify" vertical="center" wrapText="1"/>
    </xf>
    <xf numFmtId="0" fontId="5" fillId="9" borderId="6" xfId="0" applyFont="1" applyFill="1" applyBorder="1" applyAlignment="1">
      <alignment horizontal="left" vertical="center" wrapText="1"/>
    </xf>
    <xf numFmtId="0" fontId="5" fillId="9" borderId="7" xfId="0" applyFont="1" applyFill="1" applyBorder="1" applyAlignment="1">
      <alignment horizontal="left" vertical="center" wrapText="1"/>
    </xf>
    <xf numFmtId="0" fontId="5" fillId="9" borderId="8" xfId="0" applyFont="1" applyFill="1" applyBorder="1" applyAlignment="1">
      <alignment horizontal="left" vertical="center" wrapText="1"/>
    </xf>
    <xf numFmtId="10" fontId="5" fillId="3" borderId="3" xfId="0" applyNumberFormat="1" applyFont="1" applyFill="1" applyBorder="1" applyAlignment="1">
      <alignment horizontal="center" vertical="center" wrapText="1"/>
    </xf>
    <xf numFmtId="10" fontId="5" fillId="3" borderId="17" xfId="0" applyNumberFormat="1" applyFont="1" applyFill="1" applyBorder="1" applyAlignment="1">
      <alignment horizontal="center" vertical="center" wrapText="1"/>
    </xf>
    <xf numFmtId="169" fontId="5" fillId="3" borderId="17" xfId="0" applyNumberFormat="1" applyFont="1" applyFill="1" applyBorder="1" applyAlignment="1">
      <alignment horizontal="center" vertical="center" wrapText="1"/>
    </xf>
    <xf numFmtId="0" fontId="5" fillId="3" borderId="3" xfId="0" applyFont="1" applyFill="1" applyBorder="1" applyAlignment="1">
      <alignment horizontal="justify" vertical="center" wrapText="1"/>
    </xf>
    <xf numFmtId="0" fontId="5" fillId="3" borderId="17" xfId="0" applyFont="1" applyFill="1" applyBorder="1" applyAlignment="1">
      <alignment horizontal="justify" vertical="center" wrapText="1"/>
    </xf>
    <xf numFmtId="10" fontId="13" fillId="7" borderId="13" xfId="0" applyNumberFormat="1" applyFont="1" applyFill="1" applyBorder="1" applyAlignment="1">
      <alignment horizontal="center" vertical="center" wrapText="1"/>
    </xf>
    <xf numFmtId="10" fontId="13" fillId="7" borderId="16" xfId="0" applyNumberFormat="1" applyFont="1" applyFill="1" applyBorder="1" applyAlignment="1">
      <alignment horizontal="center" vertical="center" wrapText="1"/>
    </xf>
    <xf numFmtId="43" fontId="13" fillId="7" borderId="1" xfId="1" applyFont="1" applyFill="1" applyBorder="1" applyAlignment="1">
      <alignment horizontal="center" vertical="center" wrapText="1"/>
    </xf>
    <xf numFmtId="0" fontId="13" fillId="7" borderId="15" xfId="0" applyFont="1" applyFill="1" applyBorder="1" applyAlignment="1">
      <alignment horizontal="justify" vertical="center" wrapText="1"/>
    </xf>
    <xf numFmtId="1" fontId="13" fillId="7" borderId="1" xfId="0" applyNumberFormat="1" applyFont="1" applyFill="1" applyBorder="1" applyAlignment="1">
      <alignment horizontal="center" vertical="center" wrapText="1" readingOrder="2"/>
    </xf>
    <xf numFmtId="1" fontId="13" fillId="7" borderId="13" xfId="0" applyNumberFormat="1" applyFont="1" applyFill="1" applyBorder="1" applyAlignment="1">
      <alignment horizontal="center" vertical="center" wrapText="1" readingOrder="2"/>
    </xf>
    <xf numFmtId="4" fontId="13" fillId="0" borderId="13" xfId="1" applyNumberFormat="1" applyFont="1" applyFill="1" applyBorder="1" applyAlignment="1" applyProtection="1">
      <alignment horizontal="center" vertical="center" wrapText="1"/>
      <protection locked="0"/>
    </xf>
    <xf numFmtId="4" fontId="13" fillId="0" borderId="16" xfId="1" applyNumberFormat="1" applyFont="1" applyFill="1" applyBorder="1" applyAlignment="1" applyProtection="1">
      <alignment horizontal="center" vertical="center" wrapText="1"/>
      <protection locked="0"/>
    </xf>
    <xf numFmtId="1" fontId="13" fillId="7" borderId="1" xfId="0" applyNumberFormat="1" applyFont="1" applyFill="1" applyBorder="1" applyAlignment="1">
      <alignment horizontal="center" vertical="center" wrapText="1"/>
    </xf>
    <xf numFmtId="1" fontId="13" fillId="7" borderId="13" xfId="0" applyNumberFormat="1" applyFont="1" applyFill="1" applyBorder="1" applyAlignment="1">
      <alignment horizontal="center" vertical="center" wrapText="1"/>
    </xf>
    <xf numFmtId="167" fontId="13" fillId="7" borderId="16" xfId="0" applyNumberFormat="1" applyFont="1" applyFill="1" applyBorder="1" applyAlignment="1">
      <alignment horizontal="center" vertical="center" wrapText="1"/>
    </xf>
    <xf numFmtId="167" fontId="13" fillId="7" borderId="1" xfId="0" applyNumberFormat="1" applyFont="1" applyFill="1" applyBorder="1" applyAlignment="1">
      <alignment horizontal="center" vertical="center" wrapText="1"/>
    </xf>
    <xf numFmtId="167" fontId="13" fillId="7" borderId="13" xfId="0" applyNumberFormat="1" applyFont="1" applyFill="1" applyBorder="1" applyAlignment="1">
      <alignment horizontal="center" vertical="center" wrapText="1"/>
    </xf>
    <xf numFmtId="3" fontId="13" fillId="7" borderId="16" xfId="0" applyNumberFormat="1" applyFont="1" applyFill="1" applyBorder="1" applyAlignment="1">
      <alignment horizontal="center" vertical="center" wrapText="1"/>
    </xf>
    <xf numFmtId="3" fontId="13" fillId="7" borderId="1" xfId="0" applyNumberFormat="1" applyFont="1" applyFill="1" applyBorder="1" applyAlignment="1">
      <alignment horizontal="center" vertical="center" wrapText="1"/>
    </xf>
    <xf numFmtId="3" fontId="13" fillId="7" borderId="13" xfId="0" applyNumberFormat="1" applyFont="1" applyFill="1" applyBorder="1" applyAlignment="1">
      <alignment horizontal="center" vertical="center" wrapText="1"/>
    </xf>
    <xf numFmtId="0" fontId="13" fillId="7" borderId="1" xfId="0" applyFont="1" applyFill="1" applyBorder="1" applyAlignment="1">
      <alignment horizontal="justify" vertical="center" wrapText="1"/>
    </xf>
    <xf numFmtId="1" fontId="13" fillId="7" borderId="15" xfId="0" applyNumberFormat="1" applyFont="1" applyFill="1" applyBorder="1" applyAlignment="1">
      <alignment horizontal="center" vertical="center" wrapText="1"/>
    </xf>
    <xf numFmtId="10" fontId="13" fillId="7" borderId="15" xfId="0" applyNumberFormat="1" applyFont="1" applyFill="1" applyBorder="1" applyAlignment="1">
      <alignment horizontal="center" vertical="center" wrapText="1" readingOrder="2"/>
    </xf>
    <xf numFmtId="14" fontId="13" fillId="7" borderId="13" xfId="0" applyNumberFormat="1" applyFont="1" applyFill="1" applyBorder="1" applyAlignment="1">
      <alignment horizontal="center" vertical="center"/>
    </xf>
    <xf numFmtId="0" fontId="13" fillId="7" borderId="15" xfId="0" applyFont="1" applyFill="1" applyBorder="1" applyAlignment="1">
      <alignment horizontal="center" vertical="center"/>
    </xf>
    <xf numFmtId="0" fontId="13" fillId="7" borderId="16" xfId="0" applyFont="1" applyFill="1" applyBorder="1" applyAlignment="1">
      <alignment horizontal="center" vertical="center"/>
    </xf>
    <xf numFmtId="1" fontId="13" fillId="7" borderId="16" xfId="0" applyNumberFormat="1" applyFont="1" applyFill="1" applyBorder="1" applyAlignment="1">
      <alignment horizontal="center" vertical="center" wrapText="1" readingOrder="2"/>
    </xf>
    <xf numFmtId="1" fontId="13" fillId="7" borderId="16" xfId="0" applyNumberFormat="1" applyFont="1" applyFill="1" applyBorder="1" applyAlignment="1">
      <alignment horizontal="center" vertical="center" wrapText="1"/>
    </xf>
    <xf numFmtId="10" fontId="13" fillId="7" borderId="15" xfId="0" applyNumberFormat="1" applyFont="1" applyFill="1" applyBorder="1" applyAlignment="1">
      <alignment horizontal="center" vertical="center" wrapText="1"/>
    </xf>
    <xf numFmtId="10" fontId="13" fillId="0" borderId="1" xfId="0" applyNumberFormat="1"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4" fontId="13" fillId="0" borderId="13" xfId="0" applyNumberFormat="1" applyFont="1" applyBorder="1" applyAlignment="1">
      <alignment horizontal="center" vertical="center" wrapText="1"/>
    </xf>
    <xf numFmtId="4" fontId="13" fillId="0" borderId="16" xfId="0" applyNumberFormat="1" applyFont="1" applyBorder="1" applyAlignment="1">
      <alignment horizontal="center" vertical="center" wrapText="1"/>
    </xf>
    <xf numFmtId="167" fontId="13" fillId="0" borderId="13" xfId="0" applyNumberFormat="1" applyFont="1" applyBorder="1" applyAlignment="1">
      <alignment horizontal="center" vertical="center"/>
    </xf>
    <xf numFmtId="167" fontId="13" fillId="0" borderId="16" xfId="0" applyNumberFormat="1" applyFont="1" applyBorder="1" applyAlignment="1">
      <alignment horizontal="center" vertical="center"/>
    </xf>
    <xf numFmtId="167" fontId="13" fillId="7" borderId="15" xfId="0" applyNumberFormat="1" applyFont="1" applyFill="1" applyBorder="1" applyAlignment="1">
      <alignment horizontal="center" vertical="center" wrapText="1"/>
    </xf>
    <xf numFmtId="3" fontId="13" fillId="7" borderId="15" xfId="0" applyNumberFormat="1" applyFont="1" applyFill="1" applyBorder="1" applyAlignment="1">
      <alignment horizontal="center" vertical="center" wrapText="1"/>
    </xf>
    <xf numFmtId="10" fontId="13" fillId="0" borderId="13" xfId="0" applyNumberFormat="1" applyFont="1" applyBorder="1" applyAlignment="1">
      <alignment horizontal="center" vertical="center"/>
    </xf>
    <xf numFmtId="10" fontId="13" fillId="0" borderId="15" xfId="0" applyNumberFormat="1" applyFont="1" applyBorder="1" applyAlignment="1">
      <alignment horizontal="center" vertical="center"/>
    </xf>
    <xf numFmtId="10" fontId="13" fillId="0" borderId="16" xfId="0" applyNumberFormat="1" applyFont="1" applyBorder="1" applyAlignment="1">
      <alignment horizontal="center" vertical="center"/>
    </xf>
    <xf numFmtId="0" fontId="13" fillId="7" borderId="13" xfId="0" applyFont="1" applyFill="1" applyBorder="1" applyAlignment="1">
      <alignment horizontal="left" vertical="center" wrapText="1"/>
    </xf>
    <xf numFmtId="0" fontId="13" fillId="7" borderId="15" xfId="0" applyFont="1" applyFill="1" applyBorder="1" applyAlignment="1">
      <alignment horizontal="left" vertical="center" wrapText="1"/>
    </xf>
    <xf numFmtId="0" fontId="13" fillId="7" borderId="16" xfId="0" applyFont="1" applyFill="1" applyBorder="1" applyAlignment="1">
      <alignment horizontal="left" vertical="center" wrapText="1"/>
    </xf>
    <xf numFmtId="1" fontId="13" fillId="0" borderId="4" xfId="0" applyNumberFormat="1" applyFont="1" applyBorder="1" applyAlignment="1">
      <alignment horizontal="center" vertical="center"/>
    </xf>
    <xf numFmtId="1" fontId="13" fillId="0" borderId="9" xfId="0" applyNumberFormat="1" applyFont="1" applyBorder="1" applyAlignment="1">
      <alignment horizontal="center" vertical="center"/>
    </xf>
    <xf numFmtId="1" fontId="13" fillId="0" borderId="0" xfId="0" applyNumberFormat="1" applyFont="1" applyAlignment="1">
      <alignment horizontal="center" vertical="center"/>
    </xf>
    <xf numFmtId="1" fontId="13" fillId="0" borderId="18" xfId="0" applyNumberFormat="1" applyFont="1" applyBorder="1" applyAlignment="1">
      <alignment horizontal="center" vertical="center"/>
    </xf>
    <xf numFmtId="1" fontId="13" fillId="0" borderId="2" xfId="0" applyNumberFormat="1" applyFont="1" applyBorder="1" applyAlignment="1">
      <alignment horizontal="center" vertical="center"/>
    </xf>
    <xf numFmtId="1" fontId="13" fillId="0" borderId="14" xfId="0" applyNumberFormat="1" applyFont="1" applyBorder="1" applyAlignment="1">
      <alignment horizontal="center" vertical="center"/>
    </xf>
    <xf numFmtId="1" fontId="13" fillId="0" borderId="1" xfId="0" applyNumberFormat="1" applyFont="1" applyBorder="1" applyAlignment="1">
      <alignment horizontal="center" vertical="center"/>
    </xf>
    <xf numFmtId="0" fontId="13" fillId="0" borderId="13"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43" fontId="13" fillId="0" borderId="1" xfId="1" applyFont="1" applyBorder="1" applyAlignment="1">
      <alignment horizontal="center" vertical="center"/>
    </xf>
    <xf numFmtId="10" fontId="13" fillId="7" borderId="1" xfId="0" applyNumberFormat="1" applyFont="1" applyFill="1" applyBorder="1" applyAlignment="1">
      <alignment horizontal="center" vertical="center"/>
    </xf>
    <xf numFmtId="167" fontId="13" fillId="0" borderId="15" xfId="0" applyNumberFormat="1" applyFont="1" applyBorder="1" applyAlignment="1">
      <alignment horizontal="center" vertical="center"/>
    </xf>
    <xf numFmtId="178" fontId="13" fillId="0" borderId="13" xfId="0" applyNumberFormat="1" applyFont="1" applyBorder="1" applyAlignment="1">
      <alignment horizontal="center" vertical="center" wrapText="1"/>
    </xf>
    <xf numFmtId="178" fontId="13" fillId="0" borderId="15" xfId="0" applyNumberFormat="1" applyFont="1" applyBorder="1" applyAlignment="1">
      <alignment horizontal="center" vertical="center" wrapText="1"/>
    </xf>
    <xf numFmtId="178" fontId="13" fillId="0" borderId="16" xfId="0" applyNumberFormat="1" applyFont="1" applyBorder="1" applyAlignment="1">
      <alignment horizontal="center" vertical="center" wrapText="1"/>
    </xf>
    <xf numFmtId="0" fontId="13" fillId="7" borderId="13" xfId="0" applyFont="1" applyFill="1" applyBorder="1" applyAlignment="1">
      <alignment horizontal="center" vertical="center"/>
    </xf>
    <xf numFmtId="4" fontId="3" fillId="7" borderId="13" xfId="1" applyNumberFormat="1" applyFont="1" applyFill="1" applyBorder="1" applyAlignment="1" applyProtection="1">
      <alignment horizontal="center" vertical="center" wrapText="1"/>
      <protection locked="0"/>
    </xf>
    <xf numFmtId="4" fontId="3" fillId="7" borderId="15" xfId="1" applyNumberFormat="1" applyFont="1" applyFill="1" applyBorder="1" applyAlignment="1" applyProtection="1">
      <alignment horizontal="center" vertical="center" wrapText="1"/>
      <protection locked="0"/>
    </xf>
    <xf numFmtId="4" fontId="3" fillId="7" borderId="16" xfId="1" applyNumberFormat="1" applyFont="1" applyFill="1" applyBorder="1" applyAlignment="1" applyProtection="1">
      <alignment horizontal="center" vertical="center" wrapText="1"/>
      <protection locked="0"/>
    </xf>
    <xf numFmtId="10" fontId="13" fillId="7" borderId="13" xfId="0" applyNumberFormat="1" applyFont="1" applyFill="1" applyBorder="1" applyAlignment="1">
      <alignment horizontal="center" vertical="center"/>
    </xf>
    <xf numFmtId="10" fontId="13" fillId="7" borderId="15" xfId="0" applyNumberFormat="1" applyFont="1" applyFill="1" applyBorder="1" applyAlignment="1">
      <alignment horizontal="center" vertical="center"/>
    </xf>
    <xf numFmtId="10" fontId="13" fillId="7" borderId="16" xfId="0" applyNumberFormat="1" applyFont="1" applyFill="1" applyBorder="1" applyAlignment="1">
      <alignment horizontal="center" vertical="center"/>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43" fontId="13" fillId="7" borderId="13" xfId="1" applyFont="1" applyFill="1" applyBorder="1" applyAlignment="1">
      <alignment horizontal="right" vertical="center"/>
    </xf>
    <xf numFmtId="43" fontId="13" fillId="7" borderId="15" xfId="1" applyFont="1" applyFill="1" applyBorder="1" applyAlignment="1">
      <alignment horizontal="right" vertical="center"/>
    </xf>
    <xf numFmtId="1" fontId="13" fillId="7" borderId="13" xfId="0" applyNumberFormat="1" applyFont="1" applyFill="1" applyBorder="1" applyAlignment="1">
      <alignment horizontal="center" vertical="center"/>
    </xf>
    <xf numFmtId="1" fontId="13" fillId="7" borderId="15" xfId="0" applyNumberFormat="1" applyFont="1" applyFill="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5" xfId="0" applyFont="1" applyBorder="1" applyAlignment="1">
      <alignment horizontal="center" vertical="center"/>
    </xf>
    <xf numFmtId="0" fontId="13" fillId="0" borderId="14" xfId="0" applyFont="1" applyBorder="1" applyAlignment="1">
      <alignment horizontal="center" vertical="center"/>
    </xf>
    <xf numFmtId="1" fontId="13" fillId="0" borderId="13" xfId="0" applyNumberFormat="1" applyFont="1" applyFill="1" applyBorder="1" applyAlignment="1">
      <alignment horizontal="center" vertical="center" wrapText="1"/>
    </xf>
    <xf numFmtId="1" fontId="13" fillId="0" borderId="15" xfId="0" applyNumberFormat="1" applyFont="1" applyFill="1" applyBorder="1" applyAlignment="1">
      <alignment horizontal="center" vertical="center" wrapText="1"/>
    </xf>
    <xf numFmtId="1" fontId="13" fillId="0" borderId="16" xfId="0" applyNumberFormat="1" applyFont="1" applyFill="1" applyBorder="1" applyAlignment="1">
      <alignment horizontal="center" vertical="center" wrapText="1"/>
    </xf>
    <xf numFmtId="0" fontId="5" fillId="7" borderId="0" xfId="0" applyFont="1" applyFill="1" applyAlignment="1">
      <alignment horizontal="center" vertical="center"/>
    </xf>
    <xf numFmtId="3" fontId="6" fillId="3" borderId="13" xfId="0" applyNumberFormat="1" applyFont="1" applyFill="1" applyBorder="1" applyAlignment="1">
      <alignment horizontal="center" vertical="center" wrapText="1"/>
    </xf>
    <xf numFmtId="3" fontId="6" fillId="3" borderId="15" xfId="0" applyNumberFormat="1" applyFont="1" applyFill="1" applyBorder="1" applyAlignment="1">
      <alignment horizontal="center" vertical="center" wrapText="1"/>
    </xf>
    <xf numFmtId="166" fontId="6" fillId="3" borderId="3" xfId="0" applyNumberFormat="1" applyFont="1" applyFill="1" applyBorder="1" applyAlignment="1">
      <alignment horizontal="center" vertical="center" wrapText="1"/>
    </xf>
    <xf numFmtId="166" fontId="6" fillId="3" borderId="9" xfId="0" applyNumberFormat="1" applyFont="1" applyFill="1" applyBorder="1" applyAlignment="1">
      <alignment horizontal="center" vertical="center" wrapText="1"/>
    </xf>
    <xf numFmtId="166" fontId="6" fillId="3" borderId="5" xfId="0" applyNumberFormat="1" applyFont="1" applyFill="1" applyBorder="1" applyAlignment="1">
      <alignment horizontal="center" vertical="center" wrapText="1"/>
    </xf>
    <xf numFmtId="166" fontId="6" fillId="3" borderId="14" xfId="0" applyNumberFormat="1"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8" xfId="0" applyFont="1" applyFill="1" applyBorder="1" applyAlignment="1">
      <alignment horizontal="center" vertical="center" wrapText="1"/>
    </xf>
    <xf numFmtId="3" fontId="6" fillId="4" borderId="7" xfId="0" applyNumberFormat="1" applyFont="1" applyFill="1" applyBorder="1" applyAlignment="1">
      <alignment horizontal="center" vertical="center" wrapText="1"/>
    </xf>
    <xf numFmtId="0" fontId="6" fillId="4"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26" xfId="0" applyFont="1" applyFill="1" applyBorder="1" applyAlignment="1">
      <alignment horizontal="center" vertical="center" wrapText="1"/>
    </xf>
    <xf numFmtId="0" fontId="3" fillId="7" borderId="27" xfId="0" applyFont="1" applyFill="1" applyBorder="1" applyAlignment="1">
      <alignment horizontal="center" vertical="center" wrapText="1"/>
    </xf>
    <xf numFmtId="1" fontId="6" fillId="7" borderId="3" xfId="0" applyNumberFormat="1" applyFont="1" applyFill="1" applyBorder="1" applyAlignment="1">
      <alignment horizontal="center" vertical="top"/>
    </xf>
    <xf numFmtId="1" fontId="6" fillId="7" borderId="17" xfId="0" applyNumberFormat="1" applyFont="1" applyFill="1" applyBorder="1" applyAlignment="1">
      <alignment horizontal="center" vertical="top"/>
    </xf>
    <xf numFmtId="1" fontId="6" fillId="7" borderId="5" xfId="0" applyNumberFormat="1" applyFont="1" applyFill="1" applyBorder="1" applyAlignment="1">
      <alignment horizontal="center" vertical="top"/>
    </xf>
    <xf numFmtId="1" fontId="6" fillId="7" borderId="6" xfId="0" applyNumberFormat="1" applyFont="1" applyFill="1" applyBorder="1" applyAlignment="1">
      <alignment horizontal="center" vertical="center" wrapText="1"/>
    </xf>
    <xf numFmtId="1" fontId="6" fillId="7" borderId="8" xfId="0" applyNumberFormat="1" applyFont="1" applyFill="1" applyBorder="1" applyAlignment="1">
      <alignment horizontal="center" vertical="center"/>
    </xf>
    <xf numFmtId="9" fontId="3" fillId="7" borderId="1" xfId="5" applyFont="1" applyFill="1" applyBorder="1" applyAlignment="1">
      <alignment horizontal="center" vertical="center" wrapText="1"/>
    </xf>
    <xf numFmtId="168" fontId="3" fillId="0" borderId="13" xfId="0" applyNumberFormat="1" applyFont="1" applyBorder="1" applyAlignment="1">
      <alignment horizontal="center" vertical="center"/>
    </xf>
    <xf numFmtId="168" fontId="3" fillId="0" borderId="15" xfId="0" applyNumberFormat="1" applyFont="1" applyBorder="1" applyAlignment="1">
      <alignment horizontal="center" vertical="center"/>
    </xf>
    <xf numFmtId="168" fontId="3" fillId="0" borderId="16" xfId="0" applyNumberFormat="1" applyFont="1" applyBorder="1" applyAlignment="1">
      <alignment horizontal="center" vertical="center"/>
    </xf>
    <xf numFmtId="168" fontId="3" fillId="0" borderId="8" xfId="0" applyNumberFormat="1" applyFont="1" applyBorder="1" applyAlignment="1">
      <alignment horizontal="center" vertical="center"/>
    </xf>
    <xf numFmtId="168" fontId="3" fillId="0" borderId="1" xfId="0" applyNumberFormat="1" applyFont="1" applyBorder="1" applyAlignment="1">
      <alignment horizontal="center" vertical="center"/>
    </xf>
    <xf numFmtId="1" fontId="6" fillId="9" borderId="9" xfId="0" applyNumberFormat="1" applyFont="1" applyFill="1" applyBorder="1" applyAlignment="1">
      <alignment horizontal="left" vertical="center" wrapText="1"/>
    </xf>
    <xf numFmtId="1" fontId="6" fillId="9" borderId="1" xfId="0" applyNumberFormat="1" applyFont="1" applyFill="1" applyBorder="1" applyAlignment="1">
      <alignment horizontal="left" vertical="center" wrapText="1"/>
    </xf>
    <xf numFmtId="3" fontId="3" fillId="0" borderId="15" xfId="0" applyNumberFormat="1" applyFont="1" applyBorder="1" applyAlignment="1">
      <alignment horizontal="justify" vertical="center"/>
    </xf>
    <xf numFmtId="3" fontId="3" fillId="0" borderId="16" xfId="0" applyNumberFormat="1" applyFont="1" applyBorder="1" applyAlignment="1">
      <alignment horizontal="justify" vertical="center"/>
    </xf>
    <xf numFmtId="0" fontId="3" fillId="7" borderId="29" xfId="0" applyFont="1" applyFill="1" applyBorder="1" applyAlignment="1">
      <alignment horizontal="center" vertical="center" wrapText="1"/>
    </xf>
    <xf numFmtId="9" fontId="3" fillId="7" borderId="13" xfId="5" applyFont="1" applyFill="1" applyBorder="1" applyAlignment="1">
      <alignment horizontal="center" vertical="center" wrapText="1"/>
    </xf>
    <xf numFmtId="9" fontId="3" fillId="7" borderId="15" xfId="5" applyFont="1" applyFill="1" applyBorder="1" applyAlignment="1">
      <alignment horizontal="center" vertical="center" wrapText="1"/>
    </xf>
    <xf numFmtId="1" fontId="6" fillId="7" borderId="3" xfId="0" applyNumberFormat="1" applyFont="1" applyFill="1" applyBorder="1" applyAlignment="1">
      <alignment horizontal="center" vertical="center"/>
    </xf>
    <xf numFmtId="1" fontId="6" fillId="7" borderId="17" xfId="0" applyNumberFormat="1" applyFont="1" applyFill="1" applyBorder="1" applyAlignment="1">
      <alignment horizontal="center" vertical="center"/>
    </xf>
    <xf numFmtId="1" fontId="6" fillId="7" borderId="25" xfId="0" applyNumberFormat="1" applyFont="1" applyFill="1" applyBorder="1" applyAlignment="1">
      <alignment horizontal="center" vertical="center"/>
    </xf>
    <xf numFmtId="1" fontId="6" fillId="7" borderId="9" xfId="0" applyNumberFormat="1" applyFont="1" applyFill="1" applyBorder="1" applyAlignment="1">
      <alignment horizontal="center" vertical="center"/>
    </xf>
    <xf numFmtId="1" fontId="6" fillId="7" borderId="18" xfId="0" applyNumberFormat="1" applyFont="1" applyFill="1" applyBorder="1" applyAlignment="1">
      <alignment horizontal="center" vertical="center"/>
    </xf>
    <xf numFmtId="1" fontId="6" fillId="7" borderId="28" xfId="0" applyNumberFormat="1" applyFont="1" applyFill="1" applyBorder="1" applyAlignment="1">
      <alignment horizontal="center" vertical="center"/>
    </xf>
    <xf numFmtId="1" fontId="6" fillId="9" borderId="7" xfId="0" applyNumberFormat="1" applyFont="1" applyFill="1" applyBorder="1" applyAlignment="1">
      <alignment horizontal="left" vertical="center" wrapText="1"/>
    </xf>
    <xf numFmtId="1" fontId="6" fillId="9" borderId="6" xfId="0" applyNumberFormat="1" applyFont="1" applyFill="1" applyBorder="1" applyAlignment="1">
      <alignment horizontal="left" vertical="center" wrapText="1"/>
    </xf>
    <xf numFmtId="0" fontId="6" fillId="7" borderId="1" xfId="0" applyFont="1" applyFill="1" applyBorder="1" applyAlignment="1">
      <alignment horizontal="center" vertical="center"/>
    </xf>
    <xf numFmtId="168" fontId="3" fillId="7" borderId="13" xfId="0" applyNumberFormat="1" applyFont="1" applyFill="1" applyBorder="1" applyAlignment="1">
      <alignment horizontal="center" vertical="center"/>
    </xf>
    <xf numFmtId="168" fontId="3" fillId="7" borderId="15" xfId="0" applyNumberFormat="1" applyFont="1" applyFill="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14" fontId="3" fillId="7" borderId="13" xfId="0" applyNumberFormat="1" applyFont="1" applyFill="1" applyBorder="1" applyAlignment="1">
      <alignment horizontal="center" vertical="center"/>
    </xf>
    <xf numFmtId="14" fontId="3" fillId="7" borderId="15" xfId="0" applyNumberFormat="1" applyFont="1" applyFill="1" applyBorder="1" applyAlignment="1">
      <alignment horizontal="center" vertical="center"/>
    </xf>
    <xf numFmtId="0" fontId="3" fillId="10" borderId="1" xfId="0" applyFont="1" applyFill="1" applyBorder="1" applyAlignment="1">
      <alignment horizontal="justify" vertical="center" wrapText="1"/>
    </xf>
    <xf numFmtId="0" fontId="3" fillId="10" borderId="3" xfId="0" applyFont="1" applyFill="1" applyBorder="1" applyAlignment="1">
      <alignment horizontal="left" vertical="center" wrapText="1"/>
    </xf>
    <xf numFmtId="0" fontId="3" fillId="10" borderId="5" xfId="0" applyFont="1" applyFill="1" applyBorder="1" applyAlignment="1">
      <alignment horizontal="left" vertical="center" wrapText="1"/>
    </xf>
    <xf numFmtId="168" fontId="3" fillId="7" borderId="9" xfId="0" applyNumberFormat="1" applyFont="1" applyFill="1" applyBorder="1" applyAlignment="1">
      <alignment horizontal="center" vertical="center"/>
    </xf>
    <xf numFmtId="168" fontId="3" fillId="7" borderId="18" xfId="0" applyNumberFormat="1" applyFont="1" applyFill="1" applyBorder="1" applyAlignment="1">
      <alignment horizontal="center" vertical="center"/>
    </xf>
    <xf numFmtId="0" fontId="3" fillId="10" borderId="13" xfId="0" applyFont="1" applyFill="1" applyBorder="1" applyAlignment="1">
      <alignment horizontal="left" vertical="center" wrapText="1"/>
    </xf>
    <xf numFmtId="0" fontId="3" fillId="10" borderId="29" xfId="0" applyFont="1" applyFill="1" applyBorder="1" applyAlignment="1">
      <alignment horizontal="left" vertical="center" wrapText="1"/>
    </xf>
    <xf numFmtId="0" fontId="3" fillId="0" borderId="17" xfId="0" applyFont="1" applyBorder="1" applyAlignment="1">
      <alignment horizontal="left" vertical="center" wrapText="1"/>
    </xf>
    <xf numFmtId="9" fontId="3" fillId="7" borderId="13" xfId="3" applyFont="1" applyFill="1" applyBorder="1" applyAlignment="1">
      <alignment horizontal="center" vertical="center"/>
    </xf>
    <xf numFmtId="9" fontId="3" fillId="7" borderId="15" xfId="3" applyFont="1" applyFill="1" applyBorder="1" applyAlignment="1">
      <alignment horizontal="center" vertical="center"/>
    </xf>
    <xf numFmtId="168" fontId="3" fillId="7" borderId="13" xfId="0" applyNumberFormat="1" applyFont="1" applyFill="1" applyBorder="1" applyAlignment="1">
      <alignment horizontal="center" vertical="center" wrapText="1"/>
    </xf>
    <xf numFmtId="168" fontId="3" fillId="7" borderId="15" xfId="0" applyNumberFormat="1" applyFont="1" applyFill="1" applyBorder="1" applyAlignment="1">
      <alignment horizontal="center" vertical="center" wrapText="1"/>
    </xf>
    <xf numFmtId="168" fontId="3" fillId="7" borderId="13" xfId="0" applyNumberFormat="1" applyFont="1" applyFill="1" applyBorder="1" applyAlignment="1">
      <alignment horizontal="justify" vertical="center" wrapText="1"/>
    </xf>
    <xf numFmtId="168" fontId="3" fillId="7" borderId="15" xfId="0" applyNumberFormat="1" applyFont="1" applyFill="1" applyBorder="1" applyAlignment="1">
      <alignment horizontal="justify" vertical="center" wrapText="1"/>
    </xf>
    <xf numFmtId="0" fontId="6" fillId="3" borderId="1"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1" xfId="0" applyFont="1" applyBorder="1" applyAlignment="1" applyProtection="1">
      <alignment horizontal="center" vertical="center"/>
    </xf>
    <xf numFmtId="1" fontId="6" fillId="3" borderId="1" xfId="0" applyNumberFormat="1" applyFont="1" applyFill="1" applyBorder="1" applyAlignment="1" applyProtection="1">
      <alignment horizontal="center" vertical="center" wrapText="1"/>
    </xf>
    <xf numFmtId="166" fontId="8" fillId="3" borderId="3" xfId="0" applyNumberFormat="1" applyFont="1" applyFill="1" applyBorder="1" applyAlignment="1" applyProtection="1">
      <alignment horizontal="center" vertical="center" wrapText="1"/>
    </xf>
    <xf numFmtId="166" fontId="8" fillId="3" borderId="9" xfId="0" applyNumberFormat="1" applyFont="1" applyFill="1" applyBorder="1" applyAlignment="1" applyProtection="1">
      <alignment horizontal="center" vertical="center" wrapText="1"/>
    </xf>
    <xf numFmtId="166" fontId="8" fillId="3" borderId="5" xfId="0" applyNumberFormat="1" applyFont="1" applyFill="1" applyBorder="1" applyAlignment="1" applyProtection="1">
      <alignment horizontal="center" vertical="center" wrapText="1"/>
    </xf>
    <xf numFmtId="166" fontId="8" fillId="3" borderId="14" xfId="0" applyNumberFormat="1" applyFont="1" applyFill="1" applyBorder="1" applyAlignment="1" applyProtection="1">
      <alignment horizontal="center" vertical="center" wrapText="1"/>
    </xf>
    <xf numFmtId="3" fontId="6" fillId="3" borderId="13" xfId="0" applyNumberFormat="1" applyFont="1" applyFill="1" applyBorder="1" applyAlignment="1" applyProtection="1">
      <alignment horizontal="center" vertical="center" wrapText="1"/>
    </xf>
    <xf numFmtId="3" fontId="6" fillId="3" borderId="16" xfId="0" applyNumberFormat="1" applyFont="1" applyFill="1" applyBorder="1" applyAlignment="1" applyProtection="1">
      <alignment horizontal="center" vertical="center" wrapText="1"/>
    </xf>
    <xf numFmtId="170" fontId="6" fillId="3" borderId="1" xfId="0" applyNumberFormat="1" applyFont="1" applyFill="1" applyBorder="1" applyAlignment="1" applyProtection="1">
      <alignment horizontal="center" vertical="center" wrapText="1"/>
    </xf>
    <xf numFmtId="170" fontId="6" fillId="11" borderId="1" xfId="0" applyNumberFormat="1" applyFont="1" applyFill="1" applyBorder="1" applyAlignment="1" applyProtection="1">
      <alignment horizontal="center" vertical="center" wrapText="1"/>
    </xf>
    <xf numFmtId="0" fontId="6" fillId="3" borderId="6" xfId="0" applyFont="1" applyFill="1" applyBorder="1" applyAlignment="1" applyProtection="1">
      <alignment horizontal="center" vertical="center" textRotation="90" wrapText="1"/>
    </xf>
    <xf numFmtId="0" fontId="6" fillId="3" borderId="8" xfId="0" applyFont="1" applyFill="1" applyBorder="1" applyAlignment="1" applyProtection="1">
      <alignment horizontal="center" vertical="center" textRotation="90" wrapText="1"/>
    </xf>
    <xf numFmtId="0" fontId="6" fillId="3" borderId="6" xfId="0" applyNumberFormat="1" applyFont="1" applyFill="1" applyBorder="1" applyAlignment="1" applyProtection="1">
      <alignment horizontal="center" vertical="center" textRotation="90" wrapText="1"/>
    </xf>
    <xf numFmtId="0" fontId="6" fillId="3" borderId="8" xfId="0" applyNumberFormat="1" applyFont="1" applyFill="1" applyBorder="1" applyAlignment="1" applyProtection="1">
      <alignment horizontal="center" vertical="center" textRotation="90" wrapText="1"/>
    </xf>
    <xf numFmtId="3" fontId="8" fillId="4" borderId="7" xfId="0" applyNumberFormat="1"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1" xfId="0" applyFont="1" applyFill="1" applyBorder="1" applyAlignment="1" applyProtection="1">
      <alignment horizontal="center" vertical="center" wrapText="1"/>
    </xf>
    <xf numFmtId="169" fontId="6" fillId="3" borderId="6" xfId="0" applyNumberFormat="1" applyFont="1" applyFill="1" applyBorder="1" applyAlignment="1" applyProtection="1">
      <alignment horizontal="center" vertical="center" wrapText="1"/>
    </xf>
    <xf numFmtId="169" fontId="6" fillId="3" borderId="7" xfId="0" applyNumberFormat="1" applyFont="1" applyFill="1" applyBorder="1" applyAlignment="1" applyProtection="1">
      <alignment horizontal="center" vertical="center" wrapText="1"/>
    </xf>
    <xf numFmtId="169" fontId="6" fillId="3" borderId="8" xfId="0" applyNumberFormat="1" applyFont="1" applyFill="1" applyBorder="1" applyAlignment="1" applyProtection="1">
      <alignment horizontal="center" vertical="center" wrapText="1"/>
    </xf>
    <xf numFmtId="0" fontId="8" fillId="5" borderId="1" xfId="0"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7" borderId="15" xfId="0" applyFont="1" applyFill="1" applyBorder="1" applyAlignment="1" applyProtection="1">
      <alignment horizontal="justify" vertical="center" wrapText="1"/>
    </xf>
    <xf numFmtId="0" fontId="3" fillId="7" borderId="16" xfId="0" applyFont="1" applyFill="1" applyBorder="1" applyAlignment="1" applyProtection="1">
      <alignment horizontal="justify" vertical="center" wrapText="1"/>
    </xf>
    <xf numFmtId="0" fontId="3" fillId="7" borderId="15" xfId="0" applyFont="1" applyFill="1" applyBorder="1" applyAlignment="1" applyProtection="1">
      <alignment horizontal="center" vertical="center" wrapText="1"/>
    </xf>
    <xf numFmtId="0" fontId="3" fillId="7" borderId="16" xfId="0" applyFont="1" applyFill="1" applyBorder="1" applyAlignment="1" applyProtection="1">
      <alignment horizontal="center" vertical="center" wrapText="1"/>
    </xf>
    <xf numFmtId="0" fontId="3" fillId="7" borderId="13" xfId="0" applyFont="1" applyFill="1" applyBorder="1" applyAlignment="1" applyProtection="1">
      <alignment horizontal="center" vertical="center" wrapText="1"/>
    </xf>
    <xf numFmtId="0" fontId="3" fillId="7" borderId="18"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14"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43" fontId="3" fillId="7" borderId="15" xfId="6" applyFont="1" applyFill="1" applyBorder="1" applyAlignment="1" applyProtection="1">
      <alignment horizontal="center" vertical="center" wrapText="1"/>
    </xf>
    <xf numFmtId="0" fontId="3" fillId="7" borderId="17" xfId="0" applyFont="1" applyFill="1" applyBorder="1" applyAlignment="1" applyProtection="1">
      <alignment horizontal="justify" vertical="center" wrapText="1"/>
    </xf>
    <xf numFmtId="0" fontId="3" fillId="0" borderId="19" xfId="0" applyFont="1" applyBorder="1" applyAlignment="1" applyProtection="1">
      <alignment horizontal="justify" vertical="center"/>
    </xf>
    <xf numFmtId="0" fontId="3" fillId="0" borderId="19" xfId="0" applyFont="1" applyBorder="1" applyAlignment="1" applyProtection="1">
      <alignment horizontal="justify" vertical="center" wrapText="1"/>
    </xf>
    <xf numFmtId="0" fontId="3" fillId="0" borderId="19" xfId="0" applyFont="1" applyBorder="1" applyAlignment="1" applyProtection="1">
      <alignment horizontal="left" vertical="center" wrapText="1"/>
    </xf>
    <xf numFmtId="0" fontId="3" fillId="0" borderId="13" xfId="0" applyFont="1" applyBorder="1" applyAlignment="1" applyProtection="1">
      <alignment horizontal="center" vertical="center" wrapText="1"/>
    </xf>
    <xf numFmtId="0" fontId="3" fillId="0" borderId="15"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6" xfId="0" applyFont="1" applyBorder="1" applyAlignment="1" applyProtection="1">
      <alignment horizontal="center" vertical="center"/>
    </xf>
    <xf numFmtId="4" fontId="3" fillId="0" borderId="19" xfId="6" applyNumberFormat="1" applyFont="1" applyFill="1" applyBorder="1" applyAlignment="1" applyProtection="1">
      <alignment horizontal="right" vertical="center"/>
    </xf>
    <xf numFmtId="4" fontId="3" fillId="0" borderId="21" xfId="6" applyNumberFormat="1" applyFont="1" applyFill="1" applyBorder="1" applyAlignment="1" applyProtection="1">
      <alignment vertical="center"/>
    </xf>
    <xf numFmtId="4" fontId="3" fillId="0" borderId="34" xfId="6" applyNumberFormat="1" applyFont="1" applyFill="1" applyBorder="1" applyAlignment="1" applyProtection="1">
      <alignment vertical="center"/>
    </xf>
    <xf numFmtId="1" fontId="3" fillId="0" borderId="21" xfId="0" applyNumberFormat="1" applyFont="1" applyBorder="1" applyAlignment="1" applyProtection="1">
      <alignment horizontal="center" vertical="center" wrapText="1"/>
    </xf>
    <xf numFmtId="1" fontId="3" fillId="0" borderId="34" xfId="0" applyNumberFormat="1" applyFont="1" applyBorder="1" applyAlignment="1" applyProtection="1">
      <alignment horizontal="center" vertical="center" wrapText="1"/>
    </xf>
    <xf numFmtId="41" fontId="3" fillId="0" borderId="19" xfId="0" applyNumberFormat="1" applyFont="1" applyBorder="1" applyAlignment="1" applyProtection="1">
      <alignment horizontal="left" vertical="center"/>
    </xf>
    <xf numFmtId="0" fontId="3" fillId="0" borderId="18" xfId="0" applyFont="1" applyBorder="1" applyAlignment="1" applyProtection="1">
      <alignment horizontal="center" vertical="center" wrapText="1"/>
    </xf>
    <xf numFmtId="0" fontId="3" fillId="0" borderId="13" xfId="0" applyFont="1" applyBorder="1" applyAlignment="1" applyProtection="1">
      <alignment horizontal="left" vertical="center" wrapText="1"/>
    </xf>
    <xf numFmtId="0" fontId="3" fillId="0" borderId="15" xfId="0" applyFont="1" applyBorder="1" applyAlignment="1" applyProtection="1">
      <alignment horizontal="left" vertical="center"/>
    </xf>
    <xf numFmtId="0" fontId="3" fillId="0" borderId="16" xfId="0" applyFont="1" applyBorder="1" applyAlignment="1" applyProtection="1">
      <alignment horizontal="left" vertical="center"/>
    </xf>
    <xf numFmtId="14" fontId="3" fillId="0" borderId="13" xfId="0" applyNumberFormat="1" applyFont="1" applyFill="1" applyBorder="1" applyAlignment="1" applyProtection="1">
      <alignment horizontal="center" vertical="center"/>
    </xf>
    <xf numFmtId="14" fontId="3" fillId="0" borderId="15" xfId="0" applyNumberFormat="1" applyFont="1" applyFill="1" applyBorder="1" applyAlignment="1" applyProtection="1">
      <alignment horizontal="center" vertical="center"/>
    </xf>
    <xf numFmtId="14" fontId="3" fillId="0" borderId="16" xfId="0" applyNumberFormat="1" applyFont="1" applyFill="1" applyBorder="1" applyAlignment="1" applyProtection="1">
      <alignment horizontal="center" vertical="center"/>
    </xf>
    <xf numFmtId="0" fontId="3" fillId="0" borderId="15" xfId="0" applyFont="1" applyFill="1" applyBorder="1" applyAlignment="1" applyProtection="1">
      <alignment horizontal="center" vertical="center" wrapText="1"/>
    </xf>
    <xf numFmtId="4" fontId="3" fillId="0" borderId="13" xfId="0" applyNumberFormat="1" applyFont="1" applyBorder="1" applyAlignment="1" applyProtection="1">
      <alignment horizontal="center" vertical="center"/>
    </xf>
    <xf numFmtId="10" fontId="3" fillId="0" borderId="13" xfId="0" applyNumberFormat="1" applyFont="1" applyBorder="1" applyAlignment="1" applyProtection="1">
      <alignment horizontal="center" vertical="center"/>
    </xf>
    <xf numFmtId="10" fontId="3" fillId="0" borderId="15" xfId="0" applyNumberFormat="1" applyFont="1" applyBorder="1" applyAlignment="1" applyProtection="1">
      <alignment horizontal="center" vertical="center"/>
    </xf>
    <xf numFmtId="10" fontId="3" fillId="0" borderId="16" xfId="0" applyNumberFormat="1" applyFont="1" applyBorder="1" applyAlignment="1" applyProtection="1">
      <alignment horizontal="center" vertical="center"/>
    </xf>
    <xf numFmtId="0" fontId="3" fillId="7" borderId="13" xfId="0" applyFont="1" applyFill="1" applyBorder="1" applyAlignment="1" applyProtection="1">
      <alignment horizontal="justify" vertical="center" wrapText="1"/>
    </xf>
    <xf numFmtId="171" fontId="3" fillId="7" borderId="13" xfId="0" applyNumberFormat="1" applyFont="1" applyFill="1" applyBorder="1" applyAlignment="1" applyProtection="1">
      <alignment horizontal="center" vertical="center" wrapText="1"/>
    </xf>
    <xf numFmtId="171" fontId="3" fillId="7" borderId="15" xfId="0" applyNumberFormat="1" applyFont="1" applyFill="1" applyBorder="1" applyAlignment="1" applyProtection="1">
      <alignment horizontal="center" vertical="center" wrapText="1"/>
    </xf>
    <xf numFmtId="171" fontId="3" fillId="7" borderId="16" xfId="0" applyNumberFormat="1"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171" fontId="3" fillId="7" borderId="13" xfId="0" applyNumberFormat="1" applyFont="1" applyFill="1" applyBorder="1" applyAlignment="1" applyProtection="1">
      <alignment horizontal="center" vertical="center"/>
    </xf>
    <xf numFmtId="171" fontId="3" fillId="7" borderId="15" xfId="0" applyNumberFormat="1" applyFont="1" applyFill="1" applyBorder="1" applyAlignment="1" applyProtection="1">
      <alignment horizontal="center" vertical="center"/>
    </xf>
    <xf numFmtId="171" fontId="3" fillId="7" borderId="16" xfId="0" applyNumberFormat="1" applyFont="1" applyFill="1" applyBorder="1" applyAlignment="1" applyProtection="1">
      <alignment horizontal="center" vertical="center"/>
    </xf>
    <xf numFmtId="0" fontId="3" fillId="7" borderId="13" xfId="0" applyFont="1" applyFill="1" applyBorder="1" applyAlignment="1" applyProtection="1">
      <alignment horizontal="left" vertical="center" wrapText="1"/>
    </xf>
    <xf numFmtId="0" fontId="3" fillId="7" borderId="15" xfId="0" applyFont="1" applyFill="1" applyBorder="1" applyAlignment="1" applyProtection="1">
      <alignment horizontal="left" vertical="center" wrapText="1"/>
    </xf>
    <xf numFmtId="0" fontId="3" fillId="7" borderId="16" xfId="0" applyFont="1" applyFill="1" applyBorder="1" applyAlignment="1" applyProtection="1">
      <alignment horizontal="left" vertical="center" wrapText="1"/>
    </xf>
    <xf numFmtId="0" fontId="3" fillId="7" borderId="13" xfId="0" applyFont="1" applyFill="1" applyBorder="1" applyAlignment="1" applyProtection="1">
      <alignment vertical="center" wrapText="1"/>
    </xf>
    <xf numFmtId="0" fontId="3" fillId="7" borderId="16" xfId="0" applyFont="1" applyFill="1" applyBorder="1" applyAlignment="1" applyProtection="1">
      <alignment vertical="center" wrapText="1"/>
    </xf>
    <xf numFmtId="3" fontId="3" fillId="0" borderId="13" xfId="0" applyNumberFormat="1" applyFont="1" applyBorder="1" applyAlignment="1" applyProtection="1">
      <alignment horizontal="center" vertical="center"/>
    </xf>
    <xf numFmtId="3" fontId="3" fillId="0" borderId="16" xfId="0" applyNumberFormat="1" applyFont="1" applyBorder="1" applyAlignment="1" applyProtection="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1" fontId="3" fillId="7" borderId="13" xfId="0" applyNumberFormat="1" applyFont="1" applyFill="1" applyBorder="1" applyAlignment="1" applyProtection="1">
      <alignment horizontal="center" vertical="center"/>
    </xf>
    <xf numFmtId="1" fontId="3" fillId="7" borderId="16" xfId="0" applyNumberFormat="1" applyFont="1" applyFill="1" applyBorder="1" applyAlignment="1" applyProtection="1">
      <alignment horizontal="center" vertical="center"/>
    </xf>
    <xf numFmtId="0" fontId="3" fillId="0" borderId="17"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18" xfId="0" applyFont="1" applyBorder="1" applyAlignment="1" applyProtection="1">
      <alignment horizontal="center" vertical="center"/>
    </xf>
    <xf numFmtId="1" fontId="3" fillId="7" borderId="3" xfId="0" applyNumberFormat="1" applyFont="1" applyFill="1" applyBorder="1" applyAlignment="1" applyProtection="1">
      <alignment horizontal="center" vertical="center" wrapText="1"/>
    </xf>
    <xf numFmtId="1" fontId="3" fillId="7" borderId="4" xfId="0" applyNumberFormat="1" applyFont="1" applyFill="1" applyBorder="1" applyAlignment="1" applyProtection="1">
      <alignment horizontal="center" vertical="center" wrapText="1"/>
    </xf>
    <xf numFmtId="1" fontId="3" fillId="7" borderId="9" xfId="0" applyNumberFormat="1" applyFont="1" applyFill="1" applyBorder="1" applyAlignment="1" applyProtection="1">
      <alignment horizontal="center" vertical="center" wrapText="1"/>
    </xf>
    <xf numFmtId="1" fontId="3" fillId="7" borderId="17" xfId="0" applyNumberFormat="1" applyFont="1" applyFill="1" applyBorder="1" applyAlignment="1" applyProtection="1">
      <alignment horizontal="center" vertical="center" wrapText="1"/>
    </xf>
    <xf numFmtId="1" fontId="3" fillId="7" borderId="0" xfId="0" applyNumberFormat="1" applyFont="1" applyFill="1" applyBorder="1" applyAlignment="1" applyProtection="1">
      <alignment horizontal="center" vertical="center" wrapText="1"/>
    </xf>
    <xf numFmtId="1" fontId="3" fillId="7" borderId="18" xfId="0" applyNumberFormat="1" applyFont="1" applyFill="1" applyBorder="1" applyAlignment="1" applyProtection="1">
      <alignment horizontal="center" vertical="center" wrapText="1"/>
    </xf>
    <xf numFmtId="1" fontId="3" fillId="7" borderId="5" xfId="0" applyNumberFormat="1" applyFont="1" applyFill="1" applyBorder="1" applyAlignment="1" applyProtection="1">
      <alignment horizontal="center" vertical="center" wrapText="1"/>
    </xf>
    <xf numFmtId="1" fontId="3" fillId="7" borderId="2" xfId="0" applyNumberFormat="1" applyFont="1" applyFill="1" applyBorder="1" applyAlignment="1" applyProtection="1">
      <alignment horizontal="center" vertical="center" wrapText="1"/>
    </xf>
    <xf numFmtId="1" fontId="3" fillId="7" borderId="14" xfId="0" applyNumberFormat="1" applyFont="1" applyFill="1" applyBorder="1" applyAlignment="1" applyProtection="1">
      <alignment horizontal="center" vertical="center" wrapText="1"/>
    </xf>
    <xf numFmtId="0" fontId="3" fillId="7" borderId="3" xfId="0" applyFont="1" applyFill="1" applyBorder="1" applyAlignment="1" applyProtection="1">
      <alignment horizontal="center" vertical="center" wrapText="1"/>
    </xf>
    <xf numFmtId="0" fontId="3" fillId="7" borderId="4" xfId="0" applyFont="1" applyFill="1" applyBorder="1" applyAlignment="1" applyProtection="1">
      <alignment horizontal="center" vertical="center" wrapText="1"/>
    </xf>
    <xf numFmtId="0" fontId="3" fillId="7" borderId="9" xfId="0" applyFont="1" applyFill="1" applyBorder="1" applyAlignment="1" applyProtection="1">
      <alignment horizontal="center" vertical="center" wrapText="1"/>
    </xf>
    <xf numFmtId="0" fontId="3" fillId="7" borderId="17" xfId="0" applyFont="1" applyFill="1" applyBorder="1" applyAlignment="1" applyProtection="1">
      <alignment horizontal="center" vertical="center" wrapText="1"/>
    </xf>
    <xf numFmtId="0" fontId="3" fillId="7" borderId="0"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3" fillId="7" borderId="2" xfId="0" applyFont="1" applyFill="1" applyBorder="1" applyAlignment="1" applyProtection="1">
      <alignment horizontal="center" vertical="center" wrapText="1"/>
    </xf>
    <xf numFmtId="0" fontId="3" fillId="7" borderId="14" xfId="0" applyFont="1" applyFill="1" applyBorder="1" applyAlignment="1" applyProtection="1">
      <alignment horizontal="center" vertical="center" wrapText="1"/>
    </xf>
    <xf numFmtId="0" fontId="3" fillId="0" borderId="9" xfId="0" applyFont="1" applyBorder="1" applyAlignment="1" applyProtection="1">
      <alignment horizontal="center" vertical="center"/>
    </xf>
    <xf numFmtId="0" fontId="3" fillId="7" borderId="1" xfId="0" applyFont="1" applyFill="1" applyBorder="1" applyAlignment="1" applyProtection="1">
      <alignment horizontal="justify" vertical="center" wrapText="1"/>
    </xf>
    <xf numFmtId="0" fontId="3" fillId="7" borderId="13" xfId="0" applyFont="1" applyFill="1" applyBorder="1" applyAlignment="1" applyProtection="1">
      <alignment horizontal="center" vertical="center"/>
    </xf>
    <xf numFmtId="0" fontId="3" fillId="7" borderId="15" xfId="0" applyFont="1" applyFill="1" applyBorder="1" applyAlignment="1" applyProtection="1">
      <alignment horizontal="center" vertical="center"/>
    </xf>
    <xf numFmtId="0" fontId="3" fillId="7" borderId="1" xfId="0" applyNumberFormat="1" applyFont="1" applyFill="1" applyBorder="1" applyAlignment="1" applyProtection="1">
      <alignment horizontal="center" vertical="center"/>
    </xf>
    <xf numFmtId="10" fontId="3" fillId="0" borderId="13" xfId="0" applyNumberFormat="1" applyFont="1" applyBorder="1" applyAlignment="1" applyProtection="1">
      <alignment horizontal="center" vertical="center" wrapText="1"/>
    </xf>
    <xf numFmtId="10" fontId="3" fillId="0" borderId="15" xfId="0" applyNumberFormat="1" applyFont="1" applyBorder="1" applyAlignment="1" applyProtection="1">
      <alignment horizontal="center" vertical="center" wrapText="1"/>
    </xf>
    <xf numFmtId="10" fontId="3" fillId="0" borderId="16" xfId="0" applyNumberFormat="1" applyFont="1" applyBorder="1" applyAlignment="1" applyProtection="1">
      <alignment horizontal="center" vertical="center" wrapText="1"/>
    </xf>
    <xf numFmtId="43" fontId="3" fillId="0" borderId="13" xfId="1" applyFont="1" applyBorder="1" applyAlignment="1" applyProtection="1">
      <alignment horizontal="center" vertical="center" wrapText="1"/>
    </xf>
    <xf numFmtId="43" fontId="3" fillId="0" borderId="15" xfId="1" applyFont="1" applyBorder="1" applyAlignment="1" applyProtection="1">
      <alignment horizontal="center" vertical="center" wrapText="1"/>
    </xf>
    <xf numFmtId="43" fontId="3" fillId="0" borderId="16" xfId="1"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7" borderId="1" xfId="0" applyFont="1" applyFill="1" applyBorder="1" applyAlignment="1" applyProtection="1">
      <alignment horizontal="left" vertical="center" wrapText="1"/>
    </xf>
    <xf numFmtId="1" fontId="3" fillId="7" borderId="1" xfId="0" applyNumberFormat="1" applyFont="1" applyFill="1" applyBorder="1" applyAlignment="1" applyProtection="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 fillId="7" borderId="1" xfId="0" applyFont="1" applyFill="1" applyBorder="1" applyAlignment="1" applyProtection="1">
      <alignment horizontal="center" vertical="center"/>
    </xf>
    <xf numFmtId="14" fontId="3" fillId="0" borderId="13" xfId="0" applyNumberFormat="1" applyFont="1" applyFill="1" applyBorder="1" applyAlignment="1" applyProtection="1">
      <alignment horizontal="center" vertical="center" wrapText="1"/>
    </xf>
    <xf numFmtId="14" fontId="3" fillId="0" borderId="15" xfId="0" applyNumberFormat="1" applyFont="1" applyFill="1" applyBorder="1" applyAlignment="1" applyProtection="1">
      <alignment horizontal="center" vertical="center" wrapText="1"/>
    </xf>
    <xf numFmtId="9" fontId="3" fillId="7" borderId="1" xfId="7" applyFont="1" applyFill="1" applyBorder="1" applyAlignment="1" applyProtection="1">
      <alignment horizontal="center" vertical="center"/>
    </xf>
    <xf numFmtId="43" fontId="3" fillId="7" borderId="1" xfId="6"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10" fillId="0" borderId="13" xfId="0" applyFont="1" applyFill="1" applyBorder="1" applyAlignment="1">
      <alignment horizontal="center" vertical="center" wrapText="1"/>
    </xf>
    <xf numFmtId="10" fontId="3" fillId="7" borderId="1" xfId="3" applyNumberFormat="1" applyFont="1" applyFill="1" applyBorder="1" applyAlignment="1" applyProtection="1">
      <alignment horizontal="center" vertical="center"/>
    </xf>
    <xf numFmtId="0" fontId="3" fillId="7" borderId="16" xfId="0" applyFont="1" applyFill="1" applyBorder="1" applyAlignment="1" applyProtection="1">
      <alignment horizontal="center" vertical="center"/>
    </xf>
    <xf numFmtId="10" fontId="3" fillId="7" borderId="13" xfId="3" applyNumberFormat="1" applyFont="1" applyFill="1" applyBorder="1" applyAlignment="1" applyProtection="1">
      <alignment horizontal="center" vertical="center"/>
    </xf>
    <xf numFmtId="10" fontId="3" fillId="7" borderId="16" xfId="3" applyNumberFormat="1" applyFont="1" applyFill="1" applyBorder="1" applyAlignment="1" applyProtection="1">
      <alignment horizontal="center" vertical="center"/>
    </xf>
    <xf numFmtId="43" fontId="3" fillId="7" borderId="13" xfId="6" applyFont="1" applyFill="1" applyBorder="1" applyAlignment="1" applyProtection="1">
      <alignment horizontal="center" vertical="center"/>
    </xf>
    <xf numFmtId="43" fontId="3" fillId="7" borderId="15" xfId="6" applyFont="1" applyFill="1" applyBorder="1" applyAlignment="1" applyProtection="1">
      <alignment horizontal="center" vertical="center"/>
    </xf>
    <xf numFmtId="43" fontId="3" fillId="7" borderId="16" xfId="6" applyFont="1" applyFill="1" applyBorder="1" applyAlignment="1" applyProtection="1">
      <alignment horizontal="center" vertical="center"/>
    </xf>
    <xf numFmtId="0" fontId="3" fillId="7" borderId="36" xfId="0" applyFont="1" applyFill="1" applyBorder="1" applyAlignment="1" applyProtection="1">
      <alignment horizontal="left" vertical="center" wrapText="1"/>
    </xf>
    <xf numFmtId="10" fontId="3" fillId="7" borderId="15" xfId="3" applyNumberFormat="1" applyFont="1" applyFill="1" applyBorder="1" applyAlignment="1" applyProtection="1">
      <alignment horizontal="center" vertical="center"/>
    </xf>
    <xf numFmtId="1" fontId="3" fillId="7" borderId="15" xfId="0" applyNumberFormat="1" applyFont="1" applyFill="1" applyBorder="1" applyAlignment="1" applyProtection="1">
      <alignment horizontal="center" vertical="center"/>
    </xf>
    <xf numFmtId="1" fontId="9" fillId="0" borderId="13" xfId="0" applyNumberFormat="1" applyFont="1" applyBorder="1" applyAlignment="1" applyProtection="1">
      <alignment horizontal="center" vertical="center"/>
    </xf>
    <xf numFmtId="1" fontId="9" fillId="0" borderId="15" xfId="0" applyNumberFormat="1" applyFont="1" applyBorder="1" applyAlignment="1" applyProtection="1">
      <alignment horizontal="center" vertical="center"/>
    </xf>
    <xf numFmtId="1" fontId="9" fillId="0" borderId="16" xfId="0" applyNumberFormat="1" applyFont="1" applyBorder="1" applyAlignment="1" applyProtection="1">
      <alignment horizontal="center" vertical="center"/>
    </xf>
    <xf numFmtId="1" fontId="3" fillId="7" borderId="9" xfId="0" applyNumberFormat="1" applyFont="1" applyFill="1" applyBorder="1" applyAlignment="1" applyProtection="1">
      <alignment horizontal="center" vertical="center"/>
    </xf>
    <xf numFmtId="1" fontId="3" fillId="7" borderId="18" xfId="0" applyNumberFormat="1" applyFont="1" applyFill="1" applyBorder="1" applyAlignment="1" applyProtection="1">
      <alignment horizontal="center" vertical="center"/>
    </xf>
    <xf numFmtId="1" fontId="3" fillId="7" borderId="14" xfId="0" applyNumberFormat="1" applyFont="1" applyFill="1" applyBorder="1" applyAlignment="1" applyProtection="1">
      <alignment horizontal="center" vertical="center"/>
    </xf>
    <xf numFmtId="14" fontId="9" fillId="0" borderId="13" xfId="0" applyNumberFormat="1" applyFont="1" applyFill="1" applyBorder="1" applyAlignment="1" applyProtection="1">
      <alignment horizontal="center" vertical="center" wrapText="1"/>
    </xf>
    <xf numFmtId="14" fontId="9" fillId="0" borderId="15" xfId="0" applyNumberFormat="1" applyFont="1" applyFill="1" applyBorder="1" applyAlignment="1" applyProtection="1">
      <alignment horizontal="center" vertical="center" wrapText="1"/>
    </xf>
    <xf numFmtId="14" fontId="9" fillId="0" borderId="16" xfId="0" applyNumberFormat="1"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43" fontId="3" fillId="7" borderId="18" xfId="6" applyFont="1" applyFill="1" applyBorder="1" applyAlignment="1" applyProtection="1">
      <alignment horizontal="center" vertical="center"/>
    </xf>
    <xf numFmtId="0" fontId="3" fillId="7" borderId="18" xfId="0" applyFont="1" applyFill="1" applyBorder="1" applyAlignment="1" applyProtection="1">
      <alignment horizontal="center" vertical="center"/>
    </xf>
    <xf numFmtId="43" fontId="9" fillId="0" borderId="13" xfId="0" applyNumberFormat="1"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6" xfId="0" applyFont="1" applyBorder="1" applyAlignment="1" applyProtection="1">
      <alignment horizontal="center" vertical="center"/>
    </xf>
    <xf numFmtId="10" fontId="9" fillId="0" borderId="13" xfId="0" applyNumberFormat="1" applyFont="1" applyBorder="1" applyAlignment="1" applyProtection="1">
      <alignment horizontal="center" vertical="center"/>
    </xf>
    <xf numFmtId="10" fontId="9" fillId="0" borderId="15" xfId="0" applyNumberFormat="1" applyFont="1" applyBorder="1" applyAlignment="1" applyProtection="1">
      <alignment horizontal="center" vertical="center"/>
    </xf>
    <xf numFmtId="10" fontId="9" fillId="0" borderId="16" xfId="0" applyNumberFormat="1"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13" xfId="0" applyFont="1" applyBorder="1" applyAlignment="1" applyProtection="1">
      <alignment horizontal="center" vertical="center" wrapText="1"/>
    </xf>
    <xf numFmtId="14" fontId="3" fillId="0" borderId="16" xfId="0" applyNumberFormat="1" applyFont="1" applyFill="1" applyBorder="1" applyAlignment="1" applyProtection="1">
      <alignment horizontal="center" vertical="center" wrapText="1"/>
    </xf>
    <xf numFmtId="0" fontId="3" fillId="7" borderId="13" xfId="0" applyFont="1" applyFill="1" applyBorder="1" applyAlignment="1" applyProtection="1">
      <alignment horizontal="left" vertical="center"/>
    </xf>
    <xf numFmtId="0" fontId="3" fillId="7" borderId="16" xfId="0" applyFont="1" applyFill="1" applyBorder="1" applyAlignment="1" applyProtection="1">
      <alignment horizontal="left" vertical="center"/>
    </xf>
    <xf numFmtId="9" fontId="3" fillId="7" borderId="19" xfId="7" applyFont="1" applyFill="1" applyBorder="1" applyAlignment="1" applyProtection="1">
      <alignment horizontal="center" vertical="center"/>
    </xf>
    <xf numFmtId="43" fontId="3" fillId="7" borderId="13" xfId="1" applyFont="1" applyFill="1" applyBorder="1" applyAlignment="1" applyProtection="1">
      <alignment horizontal="center" vertical="center"/>
    </xf>
    <xf numFmtId="43" fontId="3" fillId="7" borderId="15" xfId="1" applyFont="1" applyFill="1" applyBorder="1" applyAlignment="1" applyProtection="1">
      <alignment horizontal="center" vertical="center"/>
    </xf>
    <xf numFmtId="43" fontId="3" fillId="7" borderId="16" xfId="1" applyFont="1" applyFill="1" applyBorder="1" applyAlignment="1" applyProtection="1">
      <alignment horizontal="center" vertical="center"/>
    </xf>
    <xf numFmtId="10" fontId="3" fillId="7" borderId="13" xfId="0" applyNumberFormat="1" applyFont="1" applyFill="1" applyBorder="1" applyAlignment="1" applyProtection="1">
      <alignment horizontal="center" vertical="center"/>
    </xf>
    <xf numFmtId="10" fontId="3" fillId="7" borderId="15" xfId="0" applyNumberFormat="1" applyFont="1" applyFill="1" applyBorder="1" applyAlignment="1" applyProtection="1">
      <alignment horizontal="center" vertical="center"/>
    </xf>
    <xf numFmtId="10" fontId="3" fillId="7" borderId="16" xfId="0" applyNumberFormat="1" applyFont="1" applyFill="1" applyBorder="1" applyAlignment="1" applyProtection="1">
      <alignment horizontal="center" vertical="center"/>
    </xf>
    <xf numFmtId="0" fontId="3" fillId="0" borderId="16" xfId="0" applyFont="1" applyBorder="1" applyAlignment="1" applyProtection="1">
      <alignment horizontal="left" vertical="center" wrapText="1"/>
    </xf>
    <xf numFmtId="0" fontId="3" fillId="0" borderId="13" xfId="0" applyFont="1" applyBorder="1" applyAlignment="1" applyProtection="1">
      <alignment horizontal="justify" vertical="center" wrapText="1"/>
    </xf>
    <xf numFmtId="0" fontId="3" fillId="0" borderId="16" xfId="0" applyFont="1" applyBorder="1" applyAlignment="1" applyProtection="1">
      <alignment horizontal="justify" vertical="center" wrapText="1"/>
    </xf>
    <xf numFmtId="0" fontId="3" fillId="0" borderId="15" xfId="0" applyFont="1" applyBorder="1" applyAlignment="1" applyProtection="1">
      <alignment horizontal="justify" vertical="center" wrapText="1"/>
    </xf>
    <xf numFmtId="0" fontId="3" fillId="7" borderId="3" xfId="0" applyFont="1" applyFill="1" applyBorder="1" applyAlignment="1" applyProtection="1">
      <alignment horizontal="left" vertical="center" wrapText="1"/>
    </xf>
    <xf numFmtId="0" fontId="3" fillId="7" borderId="5" xfId="0" applyFont="1" applyFill="1" applyBorder="1" applyAlignment="1" applyProtection="1">
      <alignment horizontal="left" vertical="center" wrapText="1"/>
    </xf>
    <xf numFmtId="0" fontId="3" fillId="0" borderId="0" xfId="0" applyFont="1" applyAlignment="1" applyProtection="1">
      <alignment horizontal="center"/>
    </xf>
    <xf numFmtId="0" fontId="3" fillId="0" borderId="18" xfId="0" applyFont="1" applyBorder="1" applyAlignment="1" applyProtection="1">
      <alignment horizontal="center"/>
    </xf>
    <xf numFmtId="0" fontId="3" fillId="0" borderId="13" xfId="0" applyFont="1" applyBorder="1" applyAlignment="1" applyProtection="1">
      <alignment horizontal="left" vertical="center"/>
    </xf>
    <xf numFmtId="0" fontId="3" fillId="0" borderId="13" xfId="0" applyFont="1" applyBorder="1" applyAlignment="1" applyProtection="1">
      <alignment vertical="center" wrapText="1"/>
    </xf>
    <xf numFmtId="0" fontId="3" fillId="0" borderId="16" xfId="0" applyFont="1" applyBorder="1" applyAlignment="1" applyProtection="1">
      <alignment vertical="center" wrapText="1"/>
    </xf>
    <xf numFmtId="10" fontId="3" fillId="0" borderId="13" xfId="7" applyNumberFormat="1" applyFont="1" applyBorder="1" applyAlignment="1" applyProtection="1">
      <alignment horizontal="center" vertical="center"/>
    </xf>
    <xf numFmtId="10" fontId="3" fillId="0" borderId="16" xfId="7" applyNumberFormat="1" applyFont="1" applyBorder="1" applyAlignment="1" applyProtection="1">
      <alignment horizontal="center" vertical="center"/>
    </xf>
    <xf numFmtId="1" fontId="3" fillId="0" borderId="13" xfId="0" applyNumberFormat="1" applyFont="1" applyBorder="1" applyAlignment="1" applyProtection="1">
      <alignment horizontal="center" vertical="center"/>
    </xf>
    <xf numFmtId="1" fontId="3" fillId="0" borderId="15" xfId="0" applyNumberFormat="1" applyFont="1" applyBorder="1" applyAlignment="1" applyProtection="1">
      <alignment horizontal="center" vertical="center"/>
    </xf>
    <xf numFmtId="1" fontId="3" fillId="0" borderId="16" xfId="0" applyNumberFormat="1" applyFont="1" applyBorder="1" applyAlignment="1" applyProtection="1">
      <alignment horizontal="center" vertical="center"/>
    </xf>
    <xf numFmtId="1" fontId="3" fillId="0" borderId="13" xfId="0" applyNumberFormat="1" applyFont="1" applyBorder="1" applyAlignment="1" applyProtection="1">
      <alignment horizontal="center" vertical="center" wrapText="1"/>
    </xf>
    <xf numFmtId="1" fontId="3" fillId="0" borderId="15" xfId="0" applyNumberFormat="1" applyFont="1" applyBorder="1" applyAlignment="1" applyProtection="1">
      <alignment horizontal="center" vertical="center" wrapText="1"/>
    </xf>
    <xf numFmtId="1" fontId="3" fillId="0" borderId="16" xfId="0" applyNumberFormat="1" applyFont="1" applyBorder="1" applyAlignment="1" applyProtection="1">
      <alignment horizontal="center" vertical="center" wrapText="1"/>
    </xf>
    <xf numFmtId="14" fontId="9" fillId="0" borderId="13" xfId="0" applyNumberFormat="1" applyFont="1" applyFill="1" applyBorder="1" applyAlignment="1" applyProtection="1">
      <alignment horizontal="center" vertical="center"/>
    </xf>
    <xf numFmtId="14" fontId="9" fillId="0" borderId="15" xfId="0" applyNumberFormat="1" applyFont="1" applyFill="1" applyBorder="1" applyAlignment="1" applyProtection="1">
      <alignment horizontal="center" vertical="center"/>
    </xf>
    <xf numFmtId="14" fontId="9" fillId="0" borderId="16" xfId="0" applyNumberFormat="1" applyFont="1" applyFill="1" applyBorder="1" applyAlignment="1" applyProtection="1">
      <alignment horizontal="center" vertical="center"/>
    </xf>
    <xf numFmtId="43" fontId="3" fillId="0" borderId="13" xfId="1" applyFont="1" applyBorder="1" applyAlignment="1" applyProtection="1">
      <alignment horizontal="center" vertical="center"/>
    </xf>
    <xf numFmtId="43" fontId="3" fillId="0" borderId="15" xfId="1" applyFont="1" applyBorder="1" applyAlignment="1" applyProtection="1">
      <alignment horizontal="center" vertical="center"/>
    </xf>
    <xf numFmtId="43" fontId="3" fillId="0" borderId="16" xfId="1" applyFont="1" applyBorder="1" applyAlignment="1" applyProtection="1">
      <alignment horizontal="center" vertical="center"/>
    </xf>
    <xf numFmtId="0" fontId="3" fillId="0" borderId="15" xfId="0" applyFont="1" applyBorder="1" applyAlignment="1" applyProtection="1">
      <alignment horizontal="left" vertical="center" wrapText="1"/>
    </xf>
    <xf numFmtId="10" fontId="3" fillId="0" borderId="13" xfId="7" applyNumberFormat="1" applyFont="1" applyBorder="1" applyAlignment="1" applyProtection="1">
      <alignment horizontal="center" vertical="center" wrapText="1"/>
    </xf>
    <xf numFmtId="10" fontId="3" fillId="0" borderId="15" xfId="7" applyNumberFormat="1" applyFont="1" applyBorder="1" applyAlignment="1" applyProtection="1">
      <alignment horizontal="center" vertical="center" wrapText="1"/>
    </xf>
    <xf numFmtId="10" fontId="3" fillId="0" borderId="16" xfId="7" applyNumberFormat="1" applyFont="1" applyBorder="1" applyAlignment="1" applyProtection="1">
      <alignment horizontal="center" vertical="center" wrapText="1"/>
    </xf>
    <xf numFmtId="3" fontId="3" fillId="0" borderId="15" xfId="0" applyNumberFormat="1" applyFont="1" applyBorder="1" applyAlignment="1" applyProtection="1">
      <alignment horizontal="center" vertical="center"/>
    </xf>
    <xf numFmtId="10" fontId="3" fillId="0" borderId="15" xfId="7" applyNumberFormat="1" applyFont="1" applyBorder="1" applyAlignment="1" applyProtection="1">
      <alignment horizontal="center" vertical="center"/>
    </xf>
    <xf numFmtId="43" fontId="3" fillId="0" borderId="15" xfId="6" applyFont="1" applyBorder="1" applyAlignment="1" applyProtection="1">
      <alignment horizontal="center" vertical="center"/>
    </xf>
    <xf numFmtId="3" fontId="3" fillId="0" borderId="1" xfId="0" applyNumberFormat="1" applyFont="1" applyBorder="1" applyAlignment="1" applyProtection="1">
      <alignment horizontal="center" vertical="center"/>
    </xf>
    <xf numFmtId="0" fontId="3" fillId="7" borderId="3" xfId="0" applyFont="1" applyFill="1" applyBorder="1" applyAlignment="1" applyProtection="1">
      <alignment horizontal="justify" vertical="center" wrapText="1"/>
    </xf>
    <xf numFmtId="0" fontId="3" fillId="7" borderId="19" xfId="0" applyFont="1" applyFill="1" applyBorder="1" applyAlignment="1" applyProtection="1">
      <alignment horizontal="left" vertical="center" wrapText="1"/>
    </xf>
    <xf numFmtId="9" fontId="3" fillId="7" borderId="36" xfId="7" applyFont="1" applyFill="1" applyBorder="1" applyAlignment="1" applyProtection="1">
      <alignment horizontal="center" vertical="center"/>
    </xf>
    <xf numFmtId="9" fontId="3" fillId="7" borderId="16" xfId="7" applyFont="1" applyFill="1" applyBorder="1" applyAlignment="1" applyProtection="1">
      <alignment horizontal="center" vertical="center"/>
    </xf>
    <xf numFmtId="43" fontId="9" fillId="0" borderId="13" xfId="1" applyFont="1" applyBorder="1" applyAlignment="1" applyProtection="1">
      <alignment horizontal="center" vertical="center"/>
    </xf>
    <xf numFmtId="43" fontId="9" fillId="0" borderId="15" xfId="1" applyFont="1" applyBorder="1" applyAlignment="1" applyProtection="1">
      <alignment horizontal="center" vertical="center"/>
    </xf>
    <xf numFmtId="43" fontId="9" fillId="0" borderId="16" xfId="1" applyFont="1" applyBorder="1" applyAlignment="1" applyProtection="1">
      <alignment horizontal="center" vertical="center"/>
    </xf>
    <xf numFmtId="0" fontId="3" fillId="0" borderId="0" xfId="0" applyFont="1" applyAlignment="1" applyProtection="1">
      <alignment horizontal="center" vertical="center" wrapText="1"/>
    </xf>
    <xf numFmtId="9" fontId="3" fillId="7" borderId="15" xfId="7" applyFont="1" applyFill="1" applyBorder="1" applyAlignment="1" applyProtection="1">
      <alignment horizontal="center" vertical="center"/>
    </xf>
    <xf numFmtId="43" fontId="3" fillId="0" borderId="13" xfId="6" applyFont="1" applyFill="1" applyBorder="1" applyAlignment="1" applyProtection="1">
      <alignment horizontal="center" vertical="center" wrapText="1"/>
    </xf>
    <xf numFmtId="43" fontId="3" fillId="0" borderId="16" xfId="6" applyFont="1" applyFill="1" applyBorder="1" applyAlignment="1" applyProtection="1">
      <alignment horizontal="center" vertical="center" wrapText="1"/>
    </xf>
    <xf numFmtId="0" fontId="3" fillId="0" borderId="17" xfId="0" applyFont="1" applyBorder="1" applyAlignment="1" applyProtection="1">
      <alignment horizontal="justify" vertical="center" wrapText="1"/>
    </xf>
    <xf numFmtId="0" fontId="9" fillId="0" borderId="15" xfId="0" applyFont="1" applyFill="1" applyBorder="1" applyAlignment="1" applyProtection="1">
      <alignment horizontal="center" vertical="center"/>
    </xf>
    <xf numFmtId="43" fontId="3" fillId="0" borderId="19" xfId="6" applyFont="1" applyFill="1" applyBorder="1" applyAlignment="1" applyProtection="1">
      <alignment horizontal="center" vertical="center" wrapText="1"/>
    </xf>
    <xf numFmtId="43" fontId="3" fillId="0" borderId="21" xfId="6" applyFont="1" applyFill="1" applyBorder="1" applyAlignment="1" applyProtection="1">
      <alignment horizontal="center" vertical="center" wrapText="1"/>
    </xf>
    <xf numFmtId="43" fontId="3" fillId="0" borderId="37" xfId="6" applyFont="1" applyFill="1" applyBorder="1" applyAlignment="1" applyProtection="1">
      <alignment horizontal="center" vertical="center" wrapText="1"/>
    </xf>
    <xf numFmtId="43" fontId="3" fillId="0" borderId="34" xfId="6" applyFont="1" applyFill="1" applyBorder="1" applyAlignment="1" applyProtection="1">
      <alignment horizontal="center" vertical="center" wrapText="1"/>
    </xf>
    <xf numFmtId="0" fontId="3" fillId="7" borderId="19" xfId="0" applyFont="1" applyFill="1" applyBorder="1" applyAlignment="1" applyProtection="1">
      <alignment horizontal="center" vertical="center"/>
    </xf>
    <xf numFmtId="0" fontId="3" fillId="7" borderId="19" xfId="0" applyFont="1" applyFill="1" applyBorder="1" applyAlignment="1" applyProtection="1">
      <alignment horizontal="left" vertical="center"/>
    </xf>
    <xf numFmtId="43" fontId="3" fillId="7" borderId="13" xfId="0" applyNumberFormat="1" applyFont="1" applyFill="1" applyBorder="1" applyAlignment="1" applyProtection="1">
      <alignment horizontal="center" vertical="center"/>
    </xf>
    <xf numFmtId="0" fontId="3" fillId="7" borderId="9" xfId="0" applyFont="1" applyFill="1" applyBorder="1" applyAlignment="1" applyProtection="1">
      <alignment horizontal="left" vertical="center"/>
    </xf>
    <xf numFmtId="0" fontId="3" fillId="7" borderId="18" xfId="0" applyFont="1" applyFill="1" applyBorder="1" applyAlignment="1" applyProtection="1">
      <alignment horizontal="left" vertical="center"/>
    </xf>
    <xf numFmtId="0" fontId="3" fillId="7" borderId="14" xfId="0" applyFont="1" applyFill="1" applyBorder="1" applyAlignment="1" applyProtection="1">
      <alignment horizontal="left" vertical="center"/>
    </xf>
    <xf numFmtId="1" fontId="9" fillId="0" borderId="1" xfId="0" applyNumberFormat="1" applyFont="1" applyBorder="1" applyAlignment="1" applyProtection="1">
      <alignment horizontal="center" vertical="center"/>
    </xf>
    <xf numFmtId="0" fontId="9" fillId="0" borderId="1" xfId="0" applyFont="1" applyFill="1" applyBorder="1" applyAlignment="1" applyProtection="1">
      <alignment horizontal="center" vertical="center" wrapText="1"/>
    </xf>
    <xf numFmtId="1" fontId="6" fillId="7" borderId="1" xfId="0" applyNumberFormat="1" applyFont="1" applyFill="1" applyBorder="1" applyAlignment="1" applyProtection="1">
      <alignment horizontal="center" vertical="center" wrapText="1"/>
    </xf>
    <xf numFmtId="0" fontId="6" fillId="7" borderId="15" xfId="0" applyFont="1" applyFill="1" applyBorder="1" applyAlignment="1" applyProtection="1">
      <alignment horizontal="center" vertical="center"/>
    </xf>
    <xf numFmtId="0" fontId="6" fillId="7" borderId="16" xfId="0" applyFont="1" applyFill="1" applyBorder="1" applyAlignment="1" applyProtection="1">
      <alignment horizontal="center" vertical="center"/>
    </xf>
    <xf numFmtId="43" fontId="3" fillId="7" borderId="13" xfId="6" applyFont="1" applyFill="1" applyBorder="1" applyAlignment="1" applyProtection="1">
      <alignment horizontal="center" vertical="center" wrapText="1"/>
    </xf>
    <xf numFmtId="43" fontId="3" fillId="7" borderId="16" xfId="6" applyFont="1" applyFill="1" applyBorder="1" applyAlignment="1" applyProtection="1">
      <alignment horizontal="center" vertical="center" wrapText="1"/>
    </xf>
    <xf numFmtId="0" fontId="9" fillId="0" borderId="1" xfId="0" applyFont="1" applyBorder="1" applyAlignment="1" applyProtection="1">
      <alignment horizontal="center" vertical="center"/>
    </xf>
    <xf numFmtId="43" fontId="3" fillId="7" borderId="13" xfId="0" applyNumberFormat="1" applyFont="1" applyFill="1" applyBorder="1" applyAlignment="1" applyProtection="1">
      <alignment horizontal="center" vertical="center" wrapText="1"/>
    </xf>
    <xf numFmtId="10" fontId="3" fillId="7" borderId="13" xfId="0" applyNumberFormat="1" applyFont="1" applyFill="1" applyBorder="1" applyAlignment="1" applyProtection="1">
      <alignment horizontal="center" vertical="center" wrapText="1"/>
    </xf>
    <xf numFmtId="10" fontId="3" fillId="7" borderId="15" xfId="0" applyNumberFormat="1" applyFont="1" applyFill="1" applyBorder="1" applyAlignment="1" applyProtection="1">
      <alignment horizontal="center" vertical="center" wrapText="1"/>
    </xf>
    <xf numFmtId="10" fontId="3" fillId="7" borderId="16" xfId="0" applyNumberFormat="1" applyFont="1" applyFill="1" applyBorder="1" applyAlignment="1" applyProtection="1">
      <alignment horizontal="center" vertical="center" wrapText="1"/>
    </xf>
    <xf numFmtId="9" fontId="3" fillId="7" borderId="13" xfId="7" applyFont="1" applyFill="1" applyBorder="1" applyAlignment="1" applyProtection="1">
      <alignment horizontal="center" vertical="center"/>
    </xf>
    <xf numFmtId="3" fontId="3" fillId="0" borderId="13" xfId="0" applyNumberFormat="1" applyFont="1" applyFill="1" applyBorder="1" applyAlignment="1" applyProtection="1">
      <alignment horizontal="center" vertical="center" wrapText="1"/>
    </xf>
    <xf numFmtId="3" fontId="3" fillId="0" borderId="15" xfId="0" applyNumberFormat="1" applyFont="1" applyFill="1" applyBorder="1" applyAlignment="1" applyProtection="1">
      <alignment horizontal="center" vertical="center" wrapText="1"/>
    </xf>
    <xf numFmtId="3" fontId="3" fillId="0" borderId="16" xfId="0" applyNumberFormat="1" applyFont="1" applyFill="1" applyBorder="1" applyAlignment="1" applyProtection="1">
      <alignment horizontal="center" vertical="center" wrapText="1"/>
    </xf>
    <xf numFmtId="9" fontId="3" fillId="7" borderId="13" xfId="7" applyFont="1" applyFill="1" applyBorder="1" applyAlignment="1" applyProtection="1">
      <alignment horizontal="center" vertical="center" wrapText="1"/>
    </xf>
    <xf numFmtId="9" fontId="3" fillId="7" borderId="15" xfId="7" applyFont="1" applyFill="1" applyBorder="1" applyAlignment="1" applyProtection="1">
      <alignment horizontal="center" vertical="center" wrapText="1"/>
    </xf>
    <xf numFmtId="9" fontId="3" fillId="7" borderId="16" xfId="7" applyFont="1" applyFill="1" applyBorder="1" applyAlignment="1" applyProtection="1">
      <alignment horizontal="center" vertical="center" wrapText="1"/>
    </xf>
    <xf numFmtId="43" fontId="3" fillId="0" borderId="21" xfId="6" applyFont="1" applyFill="1" applyBorder="1" applyAlignment="1" applyProtection="1">
      <alignment horizontal="center" vertical="center"/>
    </xf>
    <xf numFmtId="43" fontId="3" fillId="0" borderId="34" xfId="6" applyFont="1" applyFill="1" applyBorder="1" applyAlignment="1" applyProtection="1">
      <alignment horizontal="center" vertical="center"/>
    </xf>
    <xf numFmtId="0" fontId="3" fillId="0" borderId="21"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43" fontId="3" fillId="0" borderId="1" xfId="6" applyFont="1" applyBorder="1" applyAlignment="1" applyProtection="1">
      <alignment horizontal="center"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1" xfId="0" applyFont="1" applyBorder="1" applyAlignment="1" applyProtection="1">
      <alignment horizontal="justify" vertical="center" wrapText="1"/>
    </xf>
    <xf numFmtId="9" fontId="3" fillId="0" borderId="13" xfId="7" applyFont="1" applyBorder="1" applyAlignment="1" applyProtection="1">
      <alignment horizontal="center" vertical="center" wrapText="1"/>
    </xf>
    <xf numFmtId="9" fontId="3" fillId="0" borderId="15" xfId="7" applyFont="1" applyBorder="1" applyAlignment="1" applyProtection="1">
      <alignment horizontal="center" vertical="center" wrapText="1"/>
    </xf>
    <xf numFmtId="9" fontId="3" fillId="0" borderId="16" xfId="7" applyFont="1" applyBorder="1" applyAlignment="1" applyProtection="1">
      <alignment horizontal="center" vertical="center" wrapText="1"/>
    </xf>
    <xf numFmtId="1" fontId="3" fillId="0" borderId="1" xfId="0" applyNumberFormat="1" applyFont="1" applyBorder="1" applyAlignment="1" applyProtection="1">
      <alignment horizontal="center" vertical="center" wrapText="1"/>
    </xf>
    <xf numFmtId="1" fontId="3" fillId="0" borderId="1" xfId="0" applyNumberFormat="1" applyFont="1" applyBorder="1" applyAlignment="1" applyProtection="1">
      <alignment horizontal="center" vertical="center"/>
    </xf>
    <xf numFmtId="1" fontId="9" fillId="0" borderId="1" xfId="0" applyNumberFormat="1" applyFont="1" applyBorder="1" applyAlignment="1" applyProtection="1">
      <alignment horizontal="center" vertical="center" wrapText="1"/>
    </xf>
    <xf numFmtId="1" fontId="9" fillId="0" borderId="13" xfId="0" applyNumberFormat="1" applyFont="1" applyBorder="1" applyAlignment="1" applyProtection="1">
      <alignment horizontal="center" vertical="center" wrapText="1"/>
    </xf>
    <xf numFmtId="1" fontId="9" fillId="0" borderId="15" xfId="0" applyNumberFormat="1" applyFont="1" applyBorder="1" applyAlignment="1" applyProtection="1">
      <alignment horizontal="center" vertical="center" wrapText="1"/>
    </xf>
    <xf numFmtId="1" fontId="9" fillId="0" borderId="16" xfId="0" applyNumberFormat="1"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168" fontId="9" fillId="0" borderId="13" xfId="0" applyNumberFormat="1" applyFont="1" applyBorder="1" applyAlignment="1" applyProtection="1">
      <alignment horizontal="center" vertical="center" wrapText="1"/>
    </xf>
    <xf numFmtId="9" fontId="9" fillId="0" borderId="13" xfId="3" applyFont="1" applyBorder="1" applyAlignment="1" applyProtection="1">
      <alignment horizontal="center" vertical="center" wrapText="1"/>
    </xf>
    <xf numFmtId="9" fontId="9" fillId="0" borderId="15" xfId="3" applyFont="1" applyBorder="1" applyAlignment="1" applyProtection="1">
      <alignment horizontal="center" vertical="center" wrapText="1"/>
    </xf>
    <xf numFmtId="9" fontId="9" fillId="0" borderId="16" xfId="3"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43" fontId="3" fillId="0" borderId="13" xfId="6" applyFont="1" applyFill="1" applyBorder="1" applyAlignment="1" applyProtection="1">
      <alignment horizontal="center" vertical="center"/>
    </xf>
    <xf numFmtId="43" fontId="3" fillId="0" borderId="16" xfId="6" applyFont="1" applyFill="1" applyBorder="1" applyAlignment="1" applyProtection="1">
      <alignment horizontal="center" vertical="center"/>
    </xf>
    <xf numFmtId="1" fontId="3" fillId="7" borderId="1" xfId="0" applyNumberFormat="1" applyFont="1" applyFill="1" applyBorder="1" applyAlignment="1" applyProtection="1">
      <alignment horizontal="center" vertical="center" wrapText="1"/>
    </xf>
    <xf numFmtId="0" fontId="3" fillId="7" borderId="3" xfId="0" applyFont="1" applyFill="1" applyBorder="1" applyAlignment="1" applyProtection="1">
      <alignment horizontal="center" vertical="center"/>
    </xf>
    <xf numFmtId="0" fontId="3" fillId="7" borderId="4" xfId="0" applyFont="1" applyFill="1" applyBorder="1" applyAlignment="1" applyProtection="1">
      <alignment horizontal="center" vertical="center"/>
    </xf>
    <xf numFmtId="0" fontId="3" fillId="7" borderId="9" xfId="0" applyFont="1" applyFill="1" applyBorder="1" applyAlignment="1" applyProtection="1">
      <alignment horizontal="center" vertical="center"/>
    </xf>
    <xf numFmtId="0" fontId="3" fillId="7" borderId="17" xfId="0" applyFont="1" applyFill="1" applyBorder="1" applyAlignment="1" applyProtection="1">
      <alignment horizontal="center" vertical="center"/>
    </xf>
    <xf numFmtId="0" fontId="3" fillId="7" borderId="0" xfId="0" applyFont="1" applyFill="1" applyBorder="1" applyAlignment="1" applyProtection="1">
      <alignment horizontal="center" vertical="center"/>
    </xf>
    <xf numFmtId="0" fontId="3" fillId="7" borderId="5" xfId="0" applyFont="1" applyFill="1" applyBorder="1" applyAlignment="1" applyProtection="1">
      <alignment horizontal="center" vertical="center"/>
    </xf>
    <xf numFmtId="0" fontId="3" fillId="7" borderId="2" xfId="0" applyFont="1" applyFill="1" applyBorder="1" applyAlignment="1" applyProtection="1">
      <alignment horizontal="center" vertical="center"/>
    </xf>
    <xf numFmtId="0" fontId="3" fillId="7" borderId="14" xfId="0" applyFont="1" applyFill="1" applyBorder="1" applyAlignment="1" applyProtection="1">
      <alignment horizontal="center" vertical="center"/>
    </xf>
    <xf numFmtId="3" fontId="3" fillId="0" borderId="1" xfId="0" applyNumberFormat="1" applyFont="1" applyBorder="1" applyAlignment="1" applyProtection="1">
      <alignment horizontal="center" vertical="center" wrapText="1"/>
    </xf>
    <xf numFmtId="9" fontId="3" fillId="7" borderId="1" xfId="7" applyFont="1" applyFill="1" applyBorder="1" applyAlignment="1" applyProtection="1">
      <alignment horizontal="center" vertical="center" wrapText="1"/>
    </xf>
    <xf numFmtId="43" fontId="3" fillId="7" borderId="1" xfId="6" applyFont="1" applyFill="1" applyBorder="1" applyAlignment="1" applyProtection="1">
      <alignment vertical="center" wrapText="1"/>
    </xf>
    <xf numFmtId="0" fontId="3" fillId="7" borderId="1" xfId="0" applyFont="1" applyFill="1" applyBorder="1" applyAlignment="1" applyProtection="1">
      <alignment vertical="center" wrapText="1"/>
    </xf>
    <xf numFmtId="43" fontId="3" fillId="7" borderId="15" xfId="0" applyNumberFormat="1" applyFont="1" applyFill="1" applyBorder="1" applyAlignment="1" applyProtection="1">
      <alignment horizontal="center" vertical="center"/>
    </xf>
    <xf numFmtId="43" fontId="3" fillId="7" borderId="16" xfId="0" applyNumberFormat="1" applyFont="1" applyFill="1" applyBorder="1" applyAlignment="1" applyProtection="1">
      <alignment horizontal="center" vertical="center"/>
    </xf>
    <xf numFmtId="14" fontId="9" fillId="0" borderId="13" xfId="0" applyNumberFormat="1" applyFont="1" applyFill="1" applyBorder="1" applyAlignment="1" applyProtection="1">
      <alignment horizontal="right" vertical="center" wrapText="1"/>
    </xf>
    <xf numFmtId="14" fontId="9" fillId="0" borderId="15" xfId="0" applyNumberFormat="1" applyFont="1" applyFill="1" applyBorder="1" applyAlignment="1" applyProtection="1">
      <alignment horizontal="right" vertical="center" wrapText="1"/>
    </xf>
    <xf numFmtId="14" fontId="9" fillId="0" borderId="16" xfId="0" applyNumberFormat="1" applyFont="1" applyFill="1" applyBorder="1" applyAlignment="1" applyProtection="1">
      <alignment horizontal="right" vertical="center" wrapText="1"/>
    </xf>
    <xf numFmtId="0" fontId="3" fillId="0" borderId="16" xfId="0" applyFont="1" applyFill="1" applyBorder="1" applyAlignment="1" applyProtection="1">
      <alignment horizontal="center" vertical="center"/>
    </xf>
    <xf numFmtId="1" fontId="6" fillId="7" borderId="1" xfId="0" applyNumberFormat="1" applyFont="1" applyFill="1" applyBorder="1" applyAlignment="1" applyProtection="1">
      <alignment horizontal="center" vertical="center"/>
    </xf>
    <xf numFmtId="0" fontId="6" fillId="7" borderId="1" xfId="0" applyFont="1" applyFill="1" applyBorder="1" applyAlignment="1" applyProtection="1">
      <alignment horizontal="center" vertical="center"/>
    </xf>
    <xf numFmtId="0" fontId="3" fillId="7" borderId="4" xfId="0" applyFont="1" applyFill="1" applyBorder="1" applyAlignment="1" applyProtection="1">
      <alignment horizontal="center"/>
    </xf>
    <xf numFmtId="0" fontId="3" fillId="7" borderId="9" xfId="0" applyFont="1" applyFill="1" applyBorder="1" applyAlignment="1" applyProtection="1">
      <alignment horizontal="center"/>
    </xf>
    <xf numFmtId="0" fontId="3" fillId="7" borderId="2" xfId="0" applyFont="1" applyFill="1" applyBorder="1" applyAlignment="1" applyProtection="1">
      <alignment horizontal="center"/>
    </xf>
    <xf numFmtId="0" fontId="3" fillId="7" borderId="14" xfId="0" applyFont="1" applyFill="1" applyBorder="1" applyAlignment="1" applyProtection="1">
      <alignment horizontal="center"/>
    </xf>
    <xf numFmtId="1" fontId="6" fillId="7" borderId="6" xfId="0" applyNumberFormat="1" applyFont="1" applyFill="1" applyBorder="1" applyAlignment="1" applyProtection="1">
      <alignment horizontal="center" vertical="center"/>
    </xf>
    <xf numFmtId="1" fontId="6" fillId="7" borderId="7" xfId="0" applyNumberFormat="1" applyFont="1" applyFill="1" applyBorder="1" applyAlignment="1" applyProtection="1">
      <alignment horizontal="center" vertical="center"/>
    </xf>
    <xf numFmtId="1" fontId="6" fillId="7" borderId="8" xfId="0" applyNumberFormat="1" applyFont="1" applyFill="1" applyBorder="1" applyAlignment="1" applyProtection="1">
      <alignment horizontal="center" vertical="center"/>
    </xf>
    <xf numFmtId="0" fontId="6" fillId="0" borderId="0" xfId="0" applyFont="1" applyAlignment="1" applyProtection="1">
      <alignment horizontal="left" wrapText="1"/>
    </xf>
    <xf numFmtId="0" fontId="5"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13" fillId="0" borderId="0" xfId="0" applyFont="1" applyAlignment="1">
      <alignment horizontal="center" wrapText="1"/>
    </xf>
    <xf numFmtId="0" fontId="13" fillId="0" borderId="0" xfId="0" applyFont="1" applyAlignment="1">
      <alignment horizontal="left" wrapText="1"/>
    </xf>
    <xf numFmtId="0" fontId="13" fillId="0" borderId="17" xfId="0" applyFont="1" applyBorder="1" applyAlignment="1">
      <alignment horizontal="center" vertical="center" wrapText="1"/>
    </xf>
    <xf numFmtId="0" fontId="13" fillId="0" borderId="5" xfId="0" applyFont="1" applyBorder="1" applyAlignment="1">
      <alignment horizontal="center" vertical="center" wrapText="1"/>
    </xf>
    <xf numFmtId="189" fontId="13" fillId="0" borderId="1" xfId="24" applyNumberFormat="1" applyFont="1" applyBorder="1" applyAlignment="1">
      <alignment horizontal="center" vertical="center" wrapText="1"/>
    </xf>
    <xf numFmtId="171" fontId="13" fillId="0" borderId="13" xfId="3" applyNumberFormat="1" applyFont="1" applyBorder="1" applyAlignment="1">
      <alignment horizontal="center" vertical="center"/>
    </xf>
    <xf numFmtId="171" fontId="13" fillId="0" borderId="16" xfId="3" applyNumberFormat="1" applyFont="1" applyBorder="1" applyAlignment="1">
      <alignment horizontal="center" vertical="center"/>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20" xfId="0" applyFont="1" applyBorder="1" applyAlignment="1">
      <alignment horizontal="center" vertical="center" wrapText="1"/>
    </xf>
    <xf numFmtId="0" fontId="13" fillId="0" borderId="23" xfId="0" applyFont="1" applyBorder="1" applyAlignment="1">
      <alignment horizontal="center" vertical="center" wrapText="1"/>
    </xf>
    <xf numFmtId="14" fontId="13" fillId="0" borderId="1" xfId="0" applyNumberFormat="1" applyFont="1" applyBorder="1" applyAlignment="1">
      <alignment horizontal="center" vertical="center"/>
    </xf>
    <xf numFmtId="0" fontId="13" fillId="0" borderId="9"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4" xfId="0" applyFont="1" applyFill="1" applyBorder="1" applyAlignment="1">
      <alignment horizontal="center" vertical="center"/>
    </xf>
    <xf numFmtId="183" fontId="13" fillId="0" borderId="13" xfId="2" applyNumberFormat="1" applyFont="1" applyBorder="1" applyAlignment="1">
      <alignment horizontal="center" vertical="center"/>
    </xf>
    <xf numFmtId="183" fontId="13" fillId="0" borderId="15" xfId="2" applyNumberFormat="1" applyFont="1" applyBorder="1" applyAlignment="1">
      <alignment horizontal="center" vertical="center"/>
    </xf>
    <xf numFmtId="183" fontId="13" fillId="0" borderId="16" xfId="2" applyNumberFormat="1" applyFont="1" applyBorder="1" applyAlignment="1">
      <alignment horizontal="center" vertical="center"/>
    </xf>
    <xf numFmtId="9" fontId="13" fillId="0" borderId="15" xfId="3" applyFont="1" applyBorder="1" applyAlignment="1">
      <alignment horizontal="center" vertical="center"/>
    </xf>
    <xf numFmtId="9" fontId="13" fillId="0" borderId="16" xfId="3" applyFont="1" applyBorder="1" applyAlignment="1">
      <alignment horizontal="center" vertical="center"/>
    </xf>
    <xf numFmtId="0" fontId="13" fillId="0" borderId="15" xfId="0" applyFont="1" applyFill="1" applyBorder="1" applyAlignment="1">
      <alignment horizontal="center"/>
    </xf>
    <xf numFmtId="0" fontId="13" fillId="0" borderId="16" xfId="0" applyFont="1" applyFill="1" applyBorder="1" applyAlignment="1">
      <alignment horizontal="center"/>
    </xf>
    <xf numFmtId="0" fontId="13" fillId="0" borderId="13" xfId="0" applyFont="1" applyFill="1" applyBorder="1" applyAlignment="1">
      <alignment horizontal="center"/>
    </xf>
    <xf numFmtId="191" fontId="13" fillId="0" borderId="18" xfId="0" applyNumberFormat="1" applyFont="1" applyBorder="1" applyAlignment="1">
      <alignment horizontal="center" vertical="center" wrapText="1"/>
    </xf>
    <xf numFmtId="191" fontId="13" fillId="0" borderId="14" xfId="0" applyNumberFormat="1" applyFont="1" applyBorder="1" applyAlignment="1">
      <alignment horizontal="center" vertical="center" wrapText="1"/>
    </xf>
    <xf numFmtId="171" fontId="13" fillId="0" borderId="15" xfId="3" applyNumberFormat="1" applyFont="1" applyBorder="1" applyAlignment="1">
      <alignment horizontal="center" vertical="center"/>
    </xf>
    <xf numFmtId="0" fontId="13" fillId="0" borderId="18" xfId="0" applyFont="1" applyBorder="1" applyAlignment="1">
      <alignment horizontal="center" vertical="center" wrapText="1"/>
    </xf>
    <xf numFmtId="0" fontId="13" fillId="0" borderId="14" xfId="0" applyFont="1" applyBorder="1" applyAlignment="1">
      <alignment horizontal="center" vertical="center" wrapText="1"/>
    </xf>
    <xf numFmtId="1" fontId="13" fillId="0" borderId="3" xfId="0" applyNumberFormat="1" applyFont="1" applyBorder="1" applyAlignment="1">
      <alignment horizontal="center" vertical="center" wrapText="1"/>
    </xf>
    <xf numFmtId="1" fontId="13" fillId="0" borderId="17" xfId="0" applyNumberFormat="1" applyFont="1" applyBorder="1" applyAlignment="1">
      <alignment horizontal="center" vertical="center" wrapText="1"/>
    </xf>
    <xf numFmtId="44" fontId="13" fillId="0" borderId="13" xfId="2" applyFont="1" applyBorder="1" applyAlignment="1">
      <alignment horizontal="center" vertical="center"/>
    </xf>
    <xf numFmtId="44" fontId="13" fillId="0" borderId="15" xfId="2" applyFont="1" applyBorder="1" applyAlignment="1">
      <alignment horizontal="center" vertical="center"/>
    </xf>
    <xf numFmtId="44" fontId="13" fillId="0" borderId="16" xfId="2" applyFont="1" applyBorder="1" applyAlignment="1">
      <alignment horizontal="center" vertical="center"/>
    </xf>
    <xf numFmtId="168" fontId="13" fillId="7" borderId="13" xfId="22" applyNumberFormat="1" applyFont="1" applyFill="1" applyBorder="1" applyAlignment="1">
      <alignment horizontal="center" vertical="center"/>
    </xf>
    <xf numFmtId="168" fontId="13" fillId="7" borderId="15" xfId="22" applyNumberFormat="1" applyFont="1" applyFill="1" applyBorder="1" applyAlignment="1">
      <alignment horizontal="center" vertical="center"/>
    </xf>
    <xf numFmtId="168" fontId="13" fillId="7" borderId="16" xfId="22" applyNumberFormat="1" applyFont="1" applyFill="1" applyBorder="1" applyAlignment="1">
      <alignment horizontal="center" vertical="center"/>
    </xf>
    <xf numFmtId="0" fontId="13" fillId="0" borderId="9" xfId="0" applyFont="1" applyBorder="1" applyAlignment="1">
      <alignment horizontal="center" vertical="center" wrapText="1"/>
    </xf>
    <xf numFmtId="189" fontId="13" fillId="7" borderId="1" xfId="24" applyNumberFormat="1" applyFont="1" applyFill="1" applyBorder="1" applyAlignment="1">
      <alignment horizontal="center" vertical="center" wrapText="1"/>
    </xf>
    <xf numFmtId="191" fontId="13" fillId="7" borderId="15" xfId="0" applyNumberFormat="1" applyFont="1" applyFill="1" applyBorder="1" applyAlignment="1">
      <alignment horizontal="center" vertical="center" wrapText="1"/>
    </xf>
    <xf numFmtId="191" fontId="13" fillId="7" borderId="16" xfId="0" applyNumberFormat="1" applyFont="1" applyFill="1" applyBorder="1" applyAlignment="1">
      <alignment horizontal="center" vertical="center" wrapText="1"/>
    </xf>
    <xf numFmtId="169" fontId="13" fillId="0" borderId="13" xfId="0" applyNumberFormat="1"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29" xfId="0" applyFont="1" applyFill="1" applyBorder="1" applyAlignment="1">
      <alignment horizontal="center" vertical="center" wrapText="1"/>
    </xf>
    <xf numFmtId="9" fontId="13" fillId="0" borderId="13" xfId="3" applyFont="1" applyFill="1" applyBorder="1" applyAlignment="1">
      <alignment horizontal="center" vertical="center" wrapText="1"/>
    </xf>
    <xf numFmtId="9" fontId="13" fillId="0" borderId="15" xfId="3" applyFont="1" applyFill="1" applyBorder="1" applyAlignment="1">
      <alignment horizontal="center" vertical="center" wrapText="1"/>
    </xf>
    <xf numFmtId="9" fontId="13" fillId="0" borderId="29" xfId="3" applyFont="1" applyFill="1" applyBorder="1" applyAlignment="1">
      <alignment horizontal="center" vertical="center" wrapText="1"/>
    </xf>
    <xf numFmtId="0" fontId="13" fillId="0" borderId="13" xfId="0" applyFont="1" applyFill="1" applyBorder="1" applyAlignment="1">
      <alignment horizontal="center" vertical="center" wrapText="1"/>
    </xf>
    <xf numFmtId="168" fontId="13" fillId="0" borderId="13" xfId="0" applyNumberFormat="1" applyFont="1" applyBorder="1" applyAlignment="1">
      <alignment horizontal="center" vertical="center" wrapText="1"/>
    </xf>
    <xf numFmtId="168" fontId="13" fillId="0" borderId="15" xfId="0" applyNumberFormat="1" applyFont="1" applyBorder="1" applyAlignment="1">
      <alignment horizontal="center" vertical="center" wrapText="1"/>
    </xf>
    <xf numFmtId="168" fontId="13" fillId="0" borderId="16" xfId="0" applyNumberFormat="1" applyFont="1" applyBorder="1" applyAlignment="1">
      <alignment horizontal="center" vertical="center" wrapText="1"/>
    </xf>
    <xf numFmtId="3" fontId="13" fillId="0" borderId="13" xfId="0" applyNumberFormat="1" applyFont="1" applyFill="1" applyBorder="1" applyAlignment="1">
      <alignment horizontal="center" vertical="center"/>
    </xf>
    <xf numFmtId="3" fontId="13" fillId="0" borderId="15" xfId="0" applyNumberFormat="1" applyFont="1" applyFill="1" applyBorder="1" applyAlignment="1">
      <alignment horizontal="center" vertical="center"/>
    </xf>
    <xf numFmtId="3" fontId="13" fillId="0" borderId="16" xfId="0" applyNumberFormat="1" applyFont="1" applyFill="1" applyBorder="1" applyAlignment="1">
      <alignment horizontal="center" vertical="center"/>
    </xf>
    <xf numFmtId="168" fontId="13" fillId="0" borderId="13" xfId="0" applyNumberFormat="1" applyFont="1" applyFill="1" applyBorder="1" applyAlignment="1">
      <alignment horizontal="center" vertical="center"/>
    </xf>
    <xf numFmtId="168" fontId="13" fillId="0" borderId="15" xfId="0" applyNumberFormat="1" applyFont="1" applyFill="1" applyBorder="1" applyAlignment="1">
      <alignment horizontal="center" vertical="center"/>
    </xf>
    <xf numFmtId="168" fontId="13" fillId="0" borderId="16" xfId="0" applyNumberFormat="1" applyFont="1" applyFill="1" applyBorder="1" applyAlignment="1">
      <alignment horizontal="center" vertical="center"/>
    </xf>
    <xf numFmtId="168" fontId="13" fillId="0" borderId="13" xfId="22" applyNumberFormat="1" applyFont="1" applyFill="1" applyBorder="1" applyAlignment="1">
      <alignment horizontal="center" vertical="center"/>
    </xf>
    <xf numFmtId="168" fontId="13" fillId="0" borderId="15" xfId="22" applyNumberFormat="1" applyFont="1" applyFill="1" applyBorder="1" applyAlignment="1">
      <alignment horizontal="center" vertical="center"/>
    </xf>
    <xf numFmtId="168" fontId="13" fillId="0" borderId="16" xfId="22" applyNumberFormat="1" applyFont="1" applyFill="1" applyBorder="1" applyAlignment="1">
      <alignment horizontal="center" vertical="center"/>
    </xf>
    <xf numFmtId="191" fontId="13" fillId="7" borderId="13" xfId="0" applyNumberFormat="1" applyFont="1" applyFill="1" applyBorder="1" applyAlignment="1">
      <alignment horizontal="center" vertical="center" wrapText="1"/>
    </xf>
    <xf numFmtId="1" fontId="13" fillId="7" borderId="1" xfId="9" applyNumberFormat="1" applyFont="1" applyFill="1" applyBorder="1" applyAlignment="1">
      <alignment horizontal="center" vertical="center" wrapText="1"/>
    </xf>
    <xf numFmtId="190" fontId="13" fillId="7" borderId="13" xfId="0" applyNumberFormat="1" applyFont="1" applyFill="1" applyBorder="1" applyAlignment="1">
      <alignment horizontal="center" vertical="center" wrapText="1"/>
    </xf>
    <xf numFmtId="190" fontId="13" fillId="7" borderId="15" xfId="0" applyNumberFormat="1" applyFont="1" applyFill="1" applyBorder="1" applyAlignment="1">
      <alignment horizontal="center" vertical="center" wrapText="1"/>
    </xf>
    <xf numFmtId="190" fontId="13" fillId="7" borderId="16" xfId="0" applyNumberFormat="1" applyFont="1" applyFill="1" applyBorder="1" applyAlignment="1">
      <alignment horizontal="center" vertical="center" wrapText="1"/>
    </xf>
    <xf numFmtId="14" fontId="13" fillId="0" borderId="13" xfId="0" applyNumberFormat="1" applyFont="1" applyBorder="1" applyAlignment="1">
      <alignment horizontal="center" vertical="center" wrapText="1"/>
    </xf>
    <xf numFmtId="14" fontId="13" fillId="0" borderId="15" xfId="0" applyNumberFormat="1" applyFont="1" applyBorder="1" applyAlignment="1">
      <alignment horizontal="center" vertical="center" wrapText="1"/>
    </xf>
    <xf numFmtId="14" fontId="13" fillId="0" borderId="16" xfId="0" applyNumberFormat="1" applyFont="1" applyBorder="1" applyAlignment="1">
      <alignment horizontal="center" vertical="center" wrapText="1"/>
    </xf>
    <xf numFmtId="169" fontId="13" fillId="0" borderId="1" xfId="0" applyNumberFormat="1" applyFont="1" applyFill="1" applyBorder="1" applyAlignment="1">
      <alignment horizontal="center" vertical="center" wrapText="1"/>
    </xf>
    <xf numFmtId="171" fontId="13" fillId="0" borderId="13" xfId="3" applyNumberFormat="1" applyFont="1" applyFill="1" applyBorder="1" applyAlignment="1">
      <alignment horizontal="center" vertical="center" wrapText="1"/>
    </xf>
    <xf numFmtId="171" fontId="13" fillId="0" borderId="15" xfId="3" applyNumberFormat="1" applyFont="1" applyFill="1" applyBorder="1" applyAlignment="1">
      <alignment horizontal="center" vertical="center" wrapText="1"/>
    </xf>
    <xf numFmtId="0" fontId="13" fillId="0" borderId="13" xfId="12" applyFont="1" applyBorder="1" applyAlignment="1">
      <alignment horizontal="justify" vertical="center" wrapText="1"/>
    </xf>
    <xf numFmtId="0" fontId="13" fillId="0" borderId="15" xfId="12" applyFont="1" applyBorder="1" applyAlignment="1">
      <alignment horizontal="justify" vertical="center" wrapText="1"/>
    </xf>
    <xf numFmtId="0" fontId="13" fillId="0" borderId="16" xfId="12" applyFont="1" applyBorder="1" applyAlignment="1">
      <alignment horizontal="justify" vertical="center" wrapText="1"/>
    </xf>
    <xf numFmtId="0" fontId="13" fillId="0" borderId="16" xfId="0" applyFont="1" applyFill="1" applyBorder="1" applyAlignment="1">
      <alignment horizontal="center" vertical="center" wrapText="1"/>
    </xf>
    <xf numFmtId="169" fontId="13" fillId="0" borderId="16" xfId="0" applyNumberFormat="1" applyFont="1" applyFill="1" applyBorder="1" applyAlignment="1">
      <alignment horizontal="center" vertical="center" wrapText="1"/>
    </xf>
    <xf numFmtId="171" fontId="13" fillId="0" borderId="16" xfId="3" applyNumberFormat="1" applyFont="1" applyFill="1" applyBorder="1" applyAlignment="1">
      <alignment horizontal="center" vertical="center" wrapText="1"/>
    </xf>
    <xf numFmtId="0" fontId="13" fillId="0" borderId="8" xfId="0" applyFont="1" applyBorder="1" applyAlignment="1">
      <alignment horizontal="center" vertical="center" wrapText="1"/>
    </xf>
    <xf numFmtId="0" fontId="13" fillId="0" borderId="1" xfId="12" applyFont="1" applyBorder="1" applyAlignment="1">
      <alignment horizontal="justify" vertical="center" wrapText="1"/>
    </xf>
    <xf numFmtId="169" fontId="13" fillId="0" borderId="15" xfId="0" applyNumberFormat="1" applyFont="1" applyFill="1" applyBorder="1" applyAlignment="1">
      <alignment horizontal="center" vertical="center" wrapText="1"/>
    </xf>
    <xf numFmtId="9" fontId="13" fillId="0" borderId="16" xfId="3" applyFont="1" applyFill="1" applyBorder="1" applyAlignment="1">
      <alignment horizontal="center" vertical="center" wrapText="1"/>
    </xf>
    <xf numFmtId="3" fontId="13" fillId="0" borderId="13" xfId="22" applyNumberFormat="1" applyFont="1" applyFill="1" applyBorder="1" applyAlignment="1">
      <alignment horizontal="center" vertical="center"/>
    </xf>
    <xf numFmtId="3" fontId="13" fillId="0" borderId="16" xfId="22" applyNumberFormat="1" applyFont="1" applyFill="1" applyBorder="1" applyAlignment="1">
      <alignment horizontal="center" vertical="center"/>
    </xf>
    <xf numFmtId="1" fontId="13" fillId="7" borderId="1" xfId="27" applyNumberFormat="1" applyFont="1" applyFill="1" applyBorder="1" applyAlignment="1">
      <alignment horizontal="center" vertical="center" wrapText="1"/>
    </xf>
    <xf numFmtId="44" fontId="13" fillId="7" borderId="13" xfId="2" applyFont="1" applyFill="1" applyBorder="1" applyAlignment="1">
      <alignment horizontal="center" vertical="center"/>
    </xf>
    <xf numFmtId="44" fontId="13" fillId="7" borderId="15" xfId="2" applyFont="1" applyFill="1" applyBorder="1" applyAlignment="1">
      <alignment horizontal="center" vertical="center"/>
    </xf>
    <xf numFmtId="44" fontId="13" fillId="7" borderId="16" xfId="2" applyFont="1" applyFill="1" applyBorder="1" applyAlignment="1">
      <alignment horizontal="center" vertical="center"/>
    </xf>
    <xf numFmtId="0" fontId="13" fillId="0" borderId="8" xfId="0" applyFont="1" applyFill="1" applyBorder="1" applyAlignment="1">
      <alignment horizontal="center" vertical="center" wrapText="1"/>
    </xf>
    <xf numFmtId="14" fontId="13" fillId="0" borderId="3" xfId="0" applyNumberFormat="1" applyFont="1" applyBorder="1" applyAlignment="1">
      <alignment horizontal="center" vertical="center"/>
    </xf>
    <xf numFmtId="14" fontId="13" fillId="0" borderId="17" xfId="0" applyNumberFormat="1" applyFont="1" applyBorder="1" applyAlignment="1">
      <alignment horizontal="center" vertical="center"/>
    </xf>
    <xf numFmtId="189" fontId="13" fillId="7" borderId="13" xfId="24" applyNumberFormat="1" applyFont="1" applyFill="1" applyBorder="1" applyAlignment="1">
      <alignment horizontal="center" vertical="center" wrapText="1"/>
    </xf>
    <xf numFmtId="189" fontId="13" fillId="7" borderId="15" xfId="24" applyNumberFormat="1" applyFont="1" applyFill="1" applyBorder="1" applyAlignment="1">
      <alignment horizontal="center" vertical="center" wrapText="1"/>
    </xf>
    <xf numFmtId="189" fontId="13" fillId="7" borderId="16" xfId="24" applyNumberFormat="1" applyFont="1" applyFill="1" applyBorder="1" applyAlignment="1">
      <alignment horizontal="center" vertical="center" wrapText="1"/>
    </xf>
    <xf numFmtId="191" fontId="13" fillId="0" borderId="1" xfId="0" applyNumberFormat="1" applyFont="1" applyFill="1" applyBorder="1" applyAlignment="1">
      <alignment horizontal="center" vertical="center"/>
    </xf>
    <xf numFmtId="191" fontId="13" fillId="0" borderId="13" xfId="0" applyNumberFormat="1" applyFont="1" applyFill="1" applyBorder="1" applyAlignment="1">
      <alignment horizontal="center" vertical="center"/>
    </xf>
    <xf numFmtId="191" fontId="13" fillId="0" borderId="15" xfId="0" applyNumberFormat="1" applyFont="1" applyFill="1" applyBorder="1" applyAlignment="1">
      <alignment horizontal="center" vertical="center"/>
    </xf>
    <xf numFmtId="191" fontId="13" fillId="0" borderId="16" xfId="0" applyNumberFormat="1" applyFont="1" applyFill="1" applyBorder="1" applyAlignment="1">
      <alignment horizontal="center" vertical="center"/>
    </xf>
    <xf numFmtId="191" fontId="13" fillId="0" borderId="1" xfId="2" applyNumberFormat="1" applyFont="1" applyFill="1" applyBorder="1" applyAlignment="1">
      <alignment horizontal="center" vertical="center"/>
    </xf>
    <xf numFmtId="191" fontId="13" fillId="0" borderId="13" xfId="2" applyNumberFormat="1" applyFont="1" applyFill="1" applyBorder="1" applyAlignment="1">
      <alignment horizontal="center" vertical="center"/>
    </xf>
    <xf numFmtId="191" fontId="13" fillId="0" borderId="15" xfId="2" applyNumberFormat="1" applyFont="1" applyFill="1" applyBorder="1" applyAlignment="1">
      <alignment horizontal="center" vertical="center"/>
    </xf>
    <xf numFmtId="191" fontId="13" fillId="0" borderId="16" xfId="2" applyNumberFormat="1" applyFont="1" applyFill="1" applyBorder="1" applyAlignment="1">
      <alignment horizontal="center" vertical="center"/>
    </xf>
    <xf numFmtId="43" fontId="13" fillId="7" borderId="13" xfId="10" applyFont="1" applyFill="1" applyBorder="1" applyAlignment="1">
      <alignment horizontal="justify" vertical="center" wrapText="1"/>
    </xf>
    <xf numFmtId="43" fontId="13" fillId="7" borderId="15" xfId="10" applyFont="1" applyFill="1" applyBorder="1" applyAlignment="1">
      <alignment horizontal="justify" vertical="center" wrapText="1"/>
    </xf>
    <xf numFmtId="189" fontId="13" fillId="7" borderId="1" xfId="24" applyNumberFormat="1" applyFont="1" applyFill="1" applyBorder="1" applyAlignment="1">
      <alignment horizontal="center" vertical="center"/>
    </xf>
    <xf numFmtId="14" fontId="13" fillId="7" borderId="16" xfId="0" applyNumberFormat="1" applyFont="1" applyFill="1" applyBorder="1" applyAlignment="1">
      <alignment horizontal="center" vertical="center"/>
    </xf>
    <xf numFmtId="189" fontId="13" fillId="0" borderId="1" xfId="24" applyNumberFormat="1" applyFont="1" applyBorder="1" applyAlignment="1">
      <alignment horizontal="center" vertical="center"/>
    </xf>
    <xf numFmtId="10" fontId="13" fillId="0" borderId="13" xfId="3" applyNumberFormat="1" applyFont="1" applyBorder="1" applyAlignment="1">
      <alignment horizontal="center" vertical="center"/>
    </xf>
    <xf numFmtId="10" fontId="13" fillId="0" borderId="15" xfId="3" applyNumberFormat="1" applyFont="1" applyBorder="1" applyAlignment="1">
      <alignment horizontal="center" vertical="center"/>
    </xf>
    <xf numFmtId="10" fontId="13" fillId="0" borderId="16" xfId="3" applyNumberFormat="1" applyFont="1" applyBorder="1" applyAlignment="1">
      <alignment horizontal="center" vertical="center"/>
    </xf>
    <xf numFmtId="1" fontId="3" fillId="7" borderId="13" xfId="0" applyNumberFormat="1" applyFont="1" applyFill="1" applyBorder="1" applyAlignment="1">
      <alignment horizontal="center" vertical="center"/>
    </xf>
    <xf numFmtId="0" fontId="3" fillId="7" borderId="15" xfId="0" applyFont="1" applyFill="1" applyBorder="1" applyAlignment="1">
      <alignment horizontal="center" vertical="center"/>
    </xf>
    <xf numFmtId="49" fontId="13" fillId="7" borderId="13" xfId="12" applyNumberFormat="1" applyFont="1" applyFill="1" applyBorder="1" applyAlignment="1">
      <alignment horizontal="center" vertical="center" wrapText="1"/>
    </xf>
    <xf numFmtId="49" fontId="13" fillId="7" borderId="15" xfId="12" applyNumberFormat="1" applyFont="1" applyFill="1" applyBorder="1" applyAlignment="1">
      <alignment horizontal="center" vertical="center" wrapText="1"/>
    </xf>
    <xf numFmtId="49" fontId="13" fillId="7" borderId="16" xfId="12" applyNumberFormat="1" applyFont="1" applyFill="1" applyBorder="1" applyAlignment="1">
      <alignment horizontal="center" vertical="center" wrapText="1"/>
    </xf>
    <xf numFmtId="1" fontId="3" fillId="7" borderId="15" xfId="0" applyNumberFormat="1" applyFont="1" applyFill="1" applyBorder="1" applyAlignment="1">
      <alignment horizontal="center" vertical="center"/>
    </xf>
    <xf numFmtId="0" fontId="3" fillId="7" borderId="13" xfId="0" applyFont="1" applyFill="1" applyBorder="1" applyAlignment="1">
      <alignment horizontal="center" vertical="center"/>
    </xf>
    <xf numFmtId="10" fontId="13" fillId="7" borderId="13" xfId="3" applyNumberFormat="1" applyFont="1" applyFill="1" applyBorder="1" applyAlignment="1">
      <alignment horizontal="center" vertical="center"/>
    </xf>
    <xf numFmtId="10" fontId="13" fillId="7" borderId="15" xfId="3" applyNumberFormat="1" applyFont="1" applyFill="1" applyBorder="1" applyAlignment="1">
      <alignment horizontal="center" vertical="center"/>
    </xf>
    <xf numFmtId="0" fontId="13" fillId="0" borderId="9" xfId="0" applyFont="1" applyBorder="1" applyAlignment="1">
      <alignment horizontal="justify" vertical="center" wrapText="1"/>
    </xf>
    <xf numFmtId="0" fontId="13" fillId="0" borderId="18" xfId="0" applyFont="1" applyBorder="1" applyAlignment="1">
      <alignment horizontal="justify" vertical="center" wrapText="1"/>
    </xf>
    <xf numFmtId="0" fontId="13" fillId="0" borderId="14" xfId="0" applyFont="1" applyBorder="1" applyAlignment="1">
      <alignment horizontal="justify" vertical="center" wrapText="1"/>
    </xf>
    <xf numFmtId="192" fontId="13" fillId="0" borderId="13" xfId="0" applyNumberFormat="1" applyFont="1" applyBorder="1" applyAlignment="1">
      <alignment horizontal="center" vertical="center" wrapText="1"/>
    </xf>
    <xf numFmtId="192" fontId="13" fillId="0" borderId="15" xfId="0" applyNumberFormat="1" applyFont="1" applyBorder="1" applyAlignment="1">
      <alignment horizontal="center" vertical="center" wrapText="1"/>
    </xf>
    <xf numFmtId="192" fontId="13" fillId="0" borderId="16" xfId="0" applyNumberFormat="1" applyFont="1" applyBorder="1" applyAlignment="1">
      <alignment horizontal="center" vertical="center" wrapText="1"/>
    </xf>
    <xf numFmtId="192" fontId="13" fillId="0" borderId="1" xfId="0" applyNumberFormat="1" applyFont="1" applyBorder="1" applyAlignment="1">
      <alignment horizontal="center" vertical="center"/>
    </xf>
    <xf numFmtId="192" fontId="13" fillId="0" borderId="13" xfId="0" applyNumberFormat="1" applyFont="1" applyBorder="1" applyAlignment="1">
      <alignment horizontal="center" vertical="center"/>
    </xf>
    <xf numFmtId="192" fontId="13" fillId="0" borderId="15" xfId="0" applyNumberFormat="1" applyFont="1" applyBorder="1" applyAlignment="1">
      <alignment horizontal="center" vertical="center"/>
    </xf>
    <xf numFmtId="192" fontId="13" fillId="0" borderId="16" xfId="0" applyNumberFormat="1" applyFont="1" applyBorder="1" applyAlignment="1">
      <alignment horizontal="center" vertical="center"/>
    </xf>
    <xf numFmtId="192" fontId="13" fillId="7" borderId="13" xfId="0" applyNumberFormat="1" applyFont="1" applyFill="1" applyBorder="1" applyAlignment="1">
      <alignment horizontal="center" vertical="center"/>
    </xf>
    <xf numFmtId="192" fontId="13" fillId="7" borderId="15" xfId="0" applyNumberFormat="1" applyFont="1" applyFill="1" applyBorder="1" applyAlignment="1">
      <alignment horizontal="center" vertical="center"/>
    </xf>
    <xf numFmtId="192" fontId="13" fillId="7" borderId="16" xfId="0" applyNumberFormat="1" applyFont="1" applyFill="1" applyBorder="1" applyAlignment="1">
      <alignment horizontal="center" vertical="center"/>
    </xf>
    <xf numFmtId="177" fontId="13" fillId="0" borderId="13" xfId="0" applyNumberFormat="1" applyFont="1" applyBorder="1" applyAlignment="1">
      <alignment horizontal="center" vertical="center"/>
    </xf>
    <xf numFmtId="177" fontId="13" fillId="0" borderId="15" xfId="0" applyNumberFormat="1" applyFont="1" applyBorder="1" applyAlignment="1">
      <alignment horizontal="center" vertical="center"/>
    </xf>
    <xf numFmtId="177" fontId="13" fillId="0" borderId="16" xfId="0" applyNumberFormat="1" applyFont="1" applyBorder="1" applyAlignment="1">
      <alignment horizontal="center" vertical="center"/>
    </xf>
    <xf numFmtId="1" fontId="13" fillId="7" borderId="1" xfId="0" applyNumberFormat="1" applyFont="1" applyFill="1" applyBorder="1" applyAlignment="1">
      <alignment horizontal="center" vertical="center"/>
    </xf>
    <xf numFmtId="1" fontId="13" fillId="7" borderId="16" xfId="0" applyNumberFormat="1" applyFont="1" applyFill="1" applyBorder="1" applyAlignment="1">
      <alignment horizontal="center" vertical="center"/>
    </xf>
    <xf numFmtId="168" fontId="13" fillId="7" borderId="1" xfId="22" applyNumberFormat="1" applyFont="1" applyFill="1" applyBorder="1" applyAlignment="1">
      <alignment horizontal="center" vertical="center"/>
    </xf>
    <xf numFmtId="0" fontId="13" fillId="7" borderId="6" xfId="0" applyFont="1" applyFill="1" applyBorder="1" applyAlignment="1">
      <alignment horizontal="justify" vertical="center" wrapText="1"/>
    </xf>
    <xf numFmtId="190" fontId="13" fillId="7" borderId="1" xfId="0" applyNumberFormat="1" applyFont="1" applyFill="1" applyBorder="1" applyAlignment="1">
      <alignment horizontal="center" vertical="center" wrapText="1"/>
    </xf>
    <xf numFmtId="191" fontId="13" fillId="0" borderId="13" xfId="0" applyNumberFormat="1" applyFont="1" applyBorder="1" applyAlignment="1">
      <alignment horizontal="center" vertical="center" wrapText="1"/>
    </xf>
    <xf numFmtId="191" fontId="13" fillId="0" borderId="15" xfId="0" applyNumberFormat="1" applyFont="1" applyBorder="1" applyAlignment="1">
      <alignment horizontal="center" vertical="center" wrapText="1"/>
    </xf>
    <xf numFmtId="191" fontId="13" fillId="0" borderId="16" xfId="0" applyNumberFormat="1" applyFont="1" applyBorder="1" applyAlignment="1">
      <alignment horizontal="center" vertical="center" wrapText="1"/>
    </xf>
    <xf numFmtId="0" fontId="13" fillId="7" borderId="4" xfId="0" applyFont="1" applyFill="1" applyBorder="1" applyAlignment="1">
      <alignment horizontal="justify" vertical="center" wrapText="1"/>
    </xf>
    <xf numFmtId="0" fontId="13" fillId="7" borderId="0" xfId="0" applyFont="1" applyFill="1" applyAlignment="1">
      <alignment horizontal="justify" vertical="center" wrapText="1"/>
    </xf>
    <xf numFmtId="0" fontId="13" fillId="7" borderId="2" xfId="0" applyFont="1" applyFill="1" applyBorder="1" applyAlignment="1">
      <alignment horizontal="justify" vertical="center" wrapText="1"/>
    </xf>
    <xf numFmtId="192" fontId="13" fillId="0" borderId="18" xfId="0" applyNumberFormat="1" applyFont="1" applyBorder="1" applyAlignment="1">
      <alignment horizontal="center" vertical="center"/>
    </xf>
    <xf numFmtId="1" fontId="13" fillId="7" borderId="16" xfId="9" applyNumberFormat="1" applyFont="1" applyFill="1" applyBorder="1" applyAlignment="1">
      <alignment horizontal="center" vertical="center" wrapText="1"/>
    </xf>
    <xf numFmtId="1" fontId="13" fillId="7" borderId="13" xfId="9" applyNumberFormat="1" applyFont="1" applyFill="1" applyBorder="1" applyAlignment="1">
      <alignment horizontal="center" vertical="center" wrapText="1"/>
    </xf>
    <xf numFmtId="0" fontId="13" fillId="7" borderId="13" xfId="22" applyNumberFormat="1" applyFont="1" applyFill="1" applyBorder="1" applyAlignment="1">
      <alignment horizontal="center" vertical="center"/>
    </xf>
    <xf numFmtId="0" fontId="13" fillId="7" borderId="15" xfId="22" applyNumberFormat="1" applyFont="1" applyFill="1" applyBorder="1" applyAlignment="1">
      <alignment horizontal="center" vertical="center"/>
    </xf>
    <xf numFmtId="0" fontId="13" fillId="7" borderId="16" xfId="22" applyNumberFormat="1" applyFont="1" applyFill="1" applyBorder="1" applyAlignment="1">
      <alignment horizontal="center" vertical="center"/>
    </xf>
    <xf numFmtId="177" fontId="13" fillId="7" borderId="13" xfId="1" applyNumberFormat="1" applyFont="1" applyFill="1" applyBorder="1" applyAlignment="1">
      <alignment horizontal="center" vertical="center"/>
    </xf>
    <xf numFmtId="177" fontId="13" fillId="7" borderId="15" xfId="1" applyNumberFormat="1" applyFont="1" applyFill="1" applyBorder="1" applyAlignment="1">
      <alignment horizontal="center" vertical="center"/>
    </xf>
    <xf numFmtId="177" fontId="13" fillId="7" borderId="16" xfId="1" applyNumberFormat="1" applyFont="1" applyFill="1" applyBorder="1" applyAlignment="1">
      <alignment horizontal="center" vertical="center"/>
    </xf>
    <xf numFmtId="177" fontId="13" fillId="7" borderId="13" xfId="0" applyNumberFormat="1" applyFont="1" applyFill="1" applyBorder="1" applyAlignment="1">
      <alignment horizontal="center" vertical="center"/>
    </xf>
    <xf numFmtId="177" fontId="13" fillId="7" borderId="15" xfId="0" applyNumberFormat="1" applyFont="1" applyFill="1" applyBorder="1" applyAlignment="1">
      <alignment horizontal="center" vertical="center"/>
    </xf>
    <xf numFmtId="177" fontId="13" fillId="7" borderId="16" xfId="0" applyNumberFormat="1" applyFont="1" applyFill="1" applyBorder="1" applyAlignment="1">
      <alignment horizontal="center" vertical="center"/>
    </xf>
    <xf numFmtId="0" fontId="13" fillId="0" borderId="3" xfId="0" applyFont="1" applyBorder="1" applyAlignment="1">
      <alignment horizontal="center" vertical="center" wrapText="1"/>
    </xf>
    <xf numFmtId="0" fontId="15" fillId="5" borderId="3" xfId="0" applyFont="1" applyFill="1" applyBorder="1" applyAlignment="1">
      <alignment horizontal="center" vertical="center" textRotation="90" wrapText="1"/>
    </xf>
    <xf numFmtId="0" fontId="15" fillId="5" borderId="9" xfId="0" applyFont="1" applyFill="1" applyBorder="1" applyAlignment="1">
      <alignment horizontal="center" vertical="center" textRotation="90" wrapText="1"/>
    </xf>
    <xf numFmtId="0" fontId="15" fillId="5" borderId="5" xfId="0" applyFont="1" applyFill="1" applyBorder="1" applyAlignment="1">
      <alignment horizontal="center" vertical="center" textRotation="90" wrapText="1"/>
    </xf>
    <xf numFmtId="0" fontId="15" fillId="5" borderId="14" xfId="0" applyFont="1" applyFill="1" applyBorder="1" applyAlignment="1">
      <alignment horizontal="center" vertical="center" textRotation="90" wrapText="1"/>
    </xf>
    <xf numFmtId="165" fontId="7" fillId="5" borderId="1" xfId="4" applyFont="1" applyFill="1" applyBorder="1" applyAlignment="1">
      <alignment horizontal="center" vertical="center"/>
    </xf>
    <xf numFmtId="166" fontId="5" fillId="5" borderId="1" xfId="0" applyNumberFormat="1" applyFont="1" applyFill="1" applyBorder="1" applyAlignment="1">
      <alignment horizontal="center" vertical="center" wrapText="1"/>
    </xf>
    <xf numFmtId="3" fontId="5" fillId="5" borderId="13" xfId="0" applyNumberFormat="1" applyFont="1" applyFill="1" applyBorder="1" applyAlignment="1">
      <alignment horizontal="center" vertical="center" wrapText="1"/>
    </xf>
    <xf numFmtId="3" fontId="5" fillId="5" borderId="15" xfId="0" applyNumberFormat="1" applyFont="1" applyFill="1" applyBorder="1" applyAlignment="1">
      <alignment horizontal="center" vertical="center" wrapText="1"/>
    </xf>
    <xf numFmtId="3" fontId="5" fillId="5" borderId="16" xfId="0" applyNumberFormat="1" applyFont="1" applyFill="1" applyBorder="1" applyAlignment="1">
      <alignment horizontal="center" vertical="center" wrapText="1"/>
    </xf>
    <xf numFmtId="0" fontId="15" fillId="5" borderId="6" xfId="0" applyFont="1" applyFill="1" applyBorder="1" applyAlignment="1">
      <alignment horizontal="center" vertical="center" textRotation="90" wrapText="1"/>
    </xf>
    <xf numFmtId="0" fontId="15" fillId="5" borderId="8" xfId="0" applyFont="1" applyFill="1" applyBorder="1" applyAlignment="1">
      <alignment horizontal="center" vertical="center" textRotation="90" wrapText="1"/>
    </xf>
    <xf numFmtId="0" fontId="5" fillId="5" borderId="1" xfId="0" applyFont="1" applyFill="1" applyBorder="1" applyAlignment="1">
      <alignment horizontal="center" vertical="center" wrapText="1"/>
    </xf>
    <xf numFmtId="169" fontId="5" fillId="5" borderId="1" xfId="0" applyNumberFormat="1" applyFont="1" applyFill="1" applyBorder="1" applyAlignment="1">
      <alignment horizontal="center" vertical="center" wrapText="1"/>
    </xf>
    <xf numFmtId="0" fontId="15" fillId="27" borderId="6" xfId="0" applyFont="1" applyFill="1" applyBorder="1" applyAlignment="1">
      <alignment horizontal="center" vertical="center" wrapText="1"/>
    </xf>
    <xf numFmtId="0" fontId="15" fillId="27" borderId="7" xfId="0" applyFont="1" applyFill="1" applyBorder="1" applyAlignment="1">
      <alignment horizontal="center" vertical="center" wrapText="1"/>
    </xf>
    <xf numFmtId="0" fontId="15" fillId="27" borderId="8" xfId="0" applyFont="1" applyFill="1" applyBorder="1" applyAlignment="1">
      <alignment horizontal="center" vertical="center" wrapText="1"/>
    </xf>
    <xf numFmtId="0" fontId="15" fillId="5" borderId="2" xfId="0" applyFont="1" applyFill="1" applyBorder="1" applyAlignment="1">
      <alignment horizontal="center" vertical="center" textRotation="90" wrapText="1"/>
    </xf>
    <xf numFmtId="0" fontId="5" fillId="5" borderId="13"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0" borderId="0" xfId="0" applyFont="1" applyAlignment="1">
      <alignment horizontal="center" vertical="center" wrapText="1"/>
    </xf>
    <xf numFmtId="3" fontId="13" fillId="0" borderId="13" xfId="0" applyNumberFormat="1" applyFont="1" applyBorder="1" applyAlignment="1">
      <alignment horizontal="justify" vertical="center" wrapText="1"/>
    </xf>
    <xf numFmtId="3" fontId="13" fillId="0" borderId="15" xfId="0" applyNumberFormat="1" applyFont="1" applyBorder="1" applyAlignment="1">
      <alignment horizontal="justify" vertical="center" wrapTex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43" fontId="13" fillId="0" borderId="13" xfId="1" applyFont="1" applyBorder="1" applyAlignment="1">
      <alignment horizontal="justify" vertical="center" wrapText="1"/>
    </xf>
    <xf numFmtId="43" fontId="13" fillId="0" borderId="15" xfId="1" applyFont="1" applyBorder="1" applyAlignment="1">
      <alignment horizontal="justify" vertical="center" wrapText="1"/>
    </xf>
    <xf numFmtId="43" fontId="13" fillId="0" borderId="13" xfId="1" applyFont="1" applyBorder="1" applyAlignment="1">
      <alignment horizontal="right" vertical="center" wrapText="1"/>
    </xf>
    <xf numFmtId="43" fontId="13" fillId="0" borderId="15" xfId="1" applyFont="1" applyBorder="1" applyAlignment="1">
      <alignment horizontal="right" vertical="center" wrapText="1"/>
    </xf>
    <xf numFmtId="10" fontId="13" fillId="0" borderId="13" xfId="0" applyNumberFormat="1" applyFont="1" applyBorder="1" applyAlignment="1">
      <alignment horizontal="center" vertical="center" wrapText="1"/>
    </xf>
    <xf numFmtId="3" fontId="13" fillId="0" borderId="13" xfId="6" applyNumberFormat="1" applyFont="1" applyBorder="1" applyAlignment="1">
      <alignment horizontal="center" vertical="center" wrapText="1"/>
    </xf>
    <xf numFmtId="3" fontId="13" fillId="0" borderId="15" xfId="6" applyNumberFormat="1" applyFont="1" applyBorder="1" applyAlignment="1">
      <alignment horizontal="center" vertical="center" wrapText="1"/>
    </xf>
    <xf numFmtId="3" fontId="13" fillId="0" borderId="29" xfId="6" applyNumberFormat="1" applyFont="1" applyBorder="1" applyAlignment="1">
      <alignment horizontal="center" vertical="center" wrapText="1"/>
    </xf>
    <xf numFmtId="9" fontId="13" fillId="0" borderId="29" xfId="0" applyNumberFormat="1" applyFont="1" applyBorder="1" applyAlignment="1">
      <alignment horizontal="center" vertical="center" wrapText="1"/>
    </xf>
    <xf numFmtId="43" fontId="13" fillId="0" borderId="29" xfId="1" applyFont="1" applyBorder="1" applyAlignment="1">
      <alignment horizontal="center" vertical="center" wrapText="1"/>
    </xf>
    <xf numFmtId="0" fontId="13" fillId="0" borderId="13" xfId="0" applyFont="1" applyBorder="1" applyAlignment="1">
      <alignment horizontal="justify" vertical="center" wrapText="1" readingOrder="2"/>
    </xf>
    <xf numFmtId="0" fontId="13" fillId="0" borderId="15" xfId="0" applyFont="1" applyBorder="1" applyAlignment="1">
      <alignment horizontal="justify" vertical="center" wrapText="1" readingOrder="2"/>
    </xf>
    <xf numFmtId="0" fontId="13" fillId="0" borderId="29" xfId="0" applyFont="1" applyBorder="1" applyAlignment="1">
      <alignment horizontal="justify" vertical="center" wrapText="1" readingOrder="2"/>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13" fillId="7" borderId="29"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1" xfId="0" applyFont="1" applyFill="1" applyBorder="1" applyAlignment="1">
      <alignment horizontal="center" vertical="center" textRotation="90" wrapText="1"/>
    </xf>
    <xf numFmtId="0" fontId="5" fillId="0" borderId="0" xfId="0" applyFont="1" applyBorder="1" applyAlignment="1">
      <alignment horizontal="center" vertical="center"/>
    </xf>
    <xf numFmtId="3" fontId="5"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textRotation="90" wrapText="1"/>
    </xf>
    <xf numFmtId="0" fontId="5" fillId="0" borderId="61" xfId="0" applyFont="1" applyBorder="1" applyAlignment="1">
      <alignment horizontal="center" vertical="center"/>
    </xf>
    <xf numFmtId="0" fontId="5" fillId="0" borderId="60" xfId="0" applyFont="1" applyBorder="1" applyAlignment="1">
      <alignment horizontal="center" vertical="center"/>
    </xf>
    <xf numFmtId="0" fontId="5" fillId="0" borderId="62" xfId="0" applyFont="1" applyBorder="1" applyAlignment="1">
      <alignment horizontal="center" vertical="center"/>
    </xf>
    <xf numFmtId="0" fontId="5" fillId="0" borderId="0" xfId="0" applyFont="1" applyAlignment="1">
      <alignment horizontal="center" vertical="center"/>
    </xf>
    <xf numFmtId="0" fontId="5" fillId="0" borderId="63" xfId="0" applyFont="1" applyBorder="1" applyAlignment="1">
      <alignment horizontal="center" vertical="center"/>
    </xf>
    <xf numFmtId="166" fontId="15" fillId="3" borderId="3" xfId="0" applyNumberFormat="1" applyFont="1" applyFill="1" applyBorder="1" applyAlignment="1">
      <alignment horizontal="center" vertical="center" wrapText="1"/>
    </xf>
    <xf numFmtId="166" fontId="15" fillId="3" borderId="9" xfId="0" applyNumberFormat="1" applyFont="1" applyFill="1" applyBorder="1" applyAlignment="1">
      <alignment horizontal="center" vertical="center" wrapText="1"/>
    </xf>
    <xf numFmtId="166" fontId="15" fillId="3" borderId="5" xfId="0" applyNumberFormat="1" applyFont="1" applyFill="1" applyBorder="1" applyAlignment="1">
      <alignment horizontal="center" vertical="center" wrapText="1"/>
    </xf>
    <xf numFmtId="166" fontId="15" fillId="3" borderId="14" xfId="0" applyNumberFormat="1" applyFont="1" applyFill="1" applyBorder="1" applyAlignment="1">
      <alignment horizontal="center" vertical="center" wrapText="1"/>
    </xf>
    <xf numFmtId="166" fontId="15" fillId="3" borderId="17" xfId="0" applyNumberFormat="1" applyFont="1" applyFill="1" applyBorder="1" applyAlignment="1">
      <alignment horizontal="center" vertical="center" wrapText="1"/>
    </xf>
    <xf numFmtId="166" fontId="15" fillId="3" borderId="18" xfId="0" applyNumberFormat="1" applyFont="1" applyFill="1" applyBorder="1" applyAlignment="1">
      <alignment horizontal="center" vertical="center" wrapText="1"/>
    </xf>
    <xf numFmtId="3" fontId="5" fillId="3" borderId="41" xfId="0" applyNumberFormat="1" applyFont="1" applyFill="1" applyBorder="1" applyAlignment="1">
      <alignment horizontal="center" vertical="center" wrapText="1"/>
    </xf>
    <xf numFmtId="3" fontId="5" fillId="3" borderId="64" xfId="0" applyNumberFormat="1" applyFont="1" applyFill="1" applyBorder="1" applyAlignment="1">
      <alignment horizontal="center" vertical="center" wrapText="1"/>
    </xf>
    <xf numFmtId="0" fontId="5" fillId="5" borderId="6" xfId="0" applyFont="1" applyFill="1" applyBorder="1" applyAlignment="1">
      <alignment horizontal="center" vertical="center" textRotation="90" wrapText="1"/>
    </xf>
    <xf numFmtId="0" fontId="5" fillId="5" borderId="8" xfId="0" applyFont="1" applyFill="1" applyBorder="1" applyAlignment="1">
      <alignment horizontal="center" vertical="center" textRotation="90" wrapText="1"/>
    </xf>
    <xf numFmtId="3" fontId="15" fillId="4" borderId="6" xfId="0" applyNumberFormat="1" applyFont="1" applyFill="1" applyBorder="1" applyAlignment="1">
      <alignment horizontal="center" vertical="center" wrapText="1"/>
    </xf>
    <xf numFmtId="3" fontId="15" fillId="4" borderId="7" xfId="0" applyNumberFormat="1" applyFont="1" applyFill="1" applyBorder="1" applyAlignment="1">
      <alignment horizontal="center" vertical="center" wrapText="1"/>
    </xf>
    <xf numFmtId="3" fontId="15" fillId="4" borderId="8" xfId="0" applyNumberFormat="1"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4" xfId="0" applyFont="1" applyFill="1" applyBorder="1" applyAlignment="1">
      <alignment horizontal="center" vertical="center" wrapText="1"/>
    </xf>
    <xf numFmtId="0" fontId="5" fillId="5" borderId="1" xfId="0" applyFont="1" applyFill="1" applyBorder="1" applyAlignment="1">
      <alignment horizontal="center" vertical="center" textRotation="90" wrapText="1"/>
    </xf>
    <xf numFmtId="0" fontId="15" fillId="4" borderId="3" xfId="0" applyFont="1" applyFill="1" applyBorder="1" applyAlignment="1">
      <alignment horizontal="center" vertical="center" textRotation="90" wrapText="1"/>
    </xf>
    <xf numFmtId="0" fontId="15" fillId="4" borderId="9" xfId="0" applyFont="1" applyFill="1" applyBorder="1" applyAlignment="1">
      <alignment horizontal="center" vertical="center" textRotation="90" wrapText="1"/>
    </xf>
    <xf numFmtId="0" fontId="15" fillId="4" borderId="5" xfId="0" applyFont="1" applyFill="1" applyBorder="1" applyAlignment="1">
      <alignment horizontal="center" vertical="center" textRotation="90" wrapText="1"/>
    </xf>
    <xf numFmtId="0" fontId="15" fillId="4" borderId="14" xfId="0" applyFont="1" applyFill="1" applyBorder="1" applyAlignment="1">
      <alignment horizontal="center" vertical="center" textRotation="90"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18" xfId="0" applyFont="1" applyFill="1" applyBorder="1" applyAlignment="1">
      <alignment horizontal="center" vertical="center" wrapText="1"/>
    </xf>
    <xf numFmtId="0" fontId="13" fillId="0" borderId="61" xfId="16" applyFont="1" applyBorder="1" applyAlignment="1">
      <alignment horizontal="center"/>
    </xf>
    <xf numFmtId="0" fontId="13" fillId="0" borderId="4" xfId="16" applyFont="1" applyBorder="1" applyAlignment="1">
      <alignment horizontal="center"/>
    </xf>
    <xf numFmtId="0" fontId="13" fillId="0" borderId="9" xfId="16" applyFont="1" applyBorder="1" applyAlignment="1">
      <alignment horizontal="center"/>
    </xf>
    <xf numFmtId="0" fontId="13" fillId="0" borderId="13" xfId="16" applyFont="1" applyBorder="1" applyAlignment="1">
      <alignment horizontal="center" vertical="center" wrapText="1"/>
    </xf>
    <xf numFmtId="0" fontId="13" fillId="0" borderId="15" xfId="16" applyFont="1" applyBorder="1" applyAlignment="1">
      <alignment horizontal="center" vertical="center" wrapText="1"/>
    </xf>
    <xf numFmtId="0" fontId="13" fillId="0" borderId="16" xfId="16" applyFont="1" applyBorder="1" applyAlignment="1">
      <alignment horizontal="center" vertical="center" wrapText="1"/>
    </xf>
    <xf numFmtId="0" fontId="13" fillId="7" borderId="13" xfId="16" applyFont="1" applyFill="1" applyBorder="1" applyAlignment="1">
      <alignment horizontal="justify" vertical="center" wrapText="1"/>
    </xf>
    <xf numFmtId="0" fontId="13" fillId="7" borderId="15" xfId="16" applyFont="1" applyFill="1" applyBorder="1" applyAlignment="1">
      <alignment horizontal="justify" vertical="center" wrapText="1"/>
    </xf>
    <xf numFmtId="0" fontId="13" fillId="7" borderId="16" xfId="16" applyFont="1" applyFill="1" applyBorder="1" applyAlignment="1">
      <alignment horizontal="justify" vertical="center" wrapText="1"/>
    </xf>
    <xf numFmtId="0" fontId="13" fillId="7" borderId="13" xfId="16" applyFont="1" applyFill="1" applyBorder="1" applyAlignment="1">
      <alignment horizontal="center" vertical="center" wrapText="1"/>
    </xf>
    <xf numFmtId="0" fontId="13" fillId="7" borderId="15" xfId="16" applyFont="1" applyFill="1" applyBorder="1" applyAlignment="1">
      <alignment horizontal="center" vertical="center" wrapText="1"/>
    </xf>
    <xf numFmtId="0" fontId="13" fillId="7" borderId="16" xfId="16" applyFont="1" applyFill="1" applyBorder="1" applyAlignment="1">
      <alignment horizontal="center" vertical="center" wrapText="1"/>
    </xf>
    <xf numFmtId="0" fontId="13" fillId="7" borderId="1" xfId="16" applyFont="1" applyFill="1" applyBorder="1" applyAlignment="1">
      <alignment horizontal="center" vertical="center" wrapText="1"/>
    </xf>
    <xf numFmtId="0" fontId="16" fillId="7" borderId="13" xfId="16" applyFont="1" applyFill="1" applyBorder="1" applyAlignment="1">
      <alignment horizontal="center" vertical="center" wrapText="1"/>
    </xf>
    <xf numFmtId="0" fontId="16" fillId="7" borderId="15" xfId="16" applyFont="1" applyFill="1" applyBorder="1" applyAlignment="1">
      <alignment horizontal="center" vertical="center" wrapText="1"/>
    </xf>
    <xf numFmtId="0" fontId="16" fillId="7" borderId="16" xfId="16" applyFont="1" applyFill="1" applyBorder="1" applyAlignment="1">
      <alignment horizontal="center" vertical="center" wrapText="1"/>
    </xf>
    <xf numFmtId="9" fontId="13" fillId="7" borderId="13" xfId="7" applyFont="1" applyFill="1" applyBorder="1" applyAlignment="1">
      <alignment horizontal="center" vertical="center" wrapText="1"/>
    </xf>
    <xf numFmtId="9" fontId="13" fillId="7" borderId="15" xfId="7" applyFont="1" applyFill="1" applyBorder="1" applyAlignment="1">
      <alignment horizontal="center" vertical="center" wrapText="1"/>
    </xf>
    <xf numFmtId="9" fontId="13" fillId="7" borderId="16" xfId="7" applyFont="1" applyFill="1" applyBorder="1" applyAlignment="1">
      <alignment horizontal="center" vertical="center" wrapText="1"/>
    </xf>
    <xf numFmtId="43" fontId="13" fillId="7" borderId="13" xfId="6" applyFont="1" applyFill="1" applyBorder="1" applyAlignment="1">
      <alignment horizontal="center" vertical="center" wrapText="1"/>
    </xf>
    <xf numFmtId="43" fontId="13" fillId="7" borderId="15" xfId="6" applyFont="1" applyFill="1" applyBorder="1" applyAlignment="1">
      <alignment horizontal="center" vertical="center" wrapText="1"/>
    </xf>
    <xf numFmtId="43" fontId="13" fillId="7" borderId="16" xfId="6"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3" fillId="7" borderId="13" xfId="6" applyNumberFormat="1" applyFont="1" applyFill="1" applyBorder="1" applyAlignment="1">
      <alignment horizontal="center" vertical="center" wrapText="1"/>
    </xf>
    <xf numFmtId="0" fontId="13" fillId="7" borderId="15" xfId="6" applyNumberFormat="1" applyFont="1" applyFill="1" applyBorder="1" applyAlignment="1">
      <alignment horizontal="center" vertical="center" wrapText="1"/>
    </xf>
    <xf numFmtId="0" fontId="13" fillId="7" borderId="16" xfId="6" applyNumberFormat="1" applyFont="1" applyFill="1" applyBorder="1" applyAlignment="1">
      <alignment horizontal="center" vertical="center" wrapText="1"/>
    </xf>
    <xf numFmtId="0" fontId="13" fillId="7" borderId="1" xfId="6" applyNumberFormat="1" applyFont="1" applyFill="1" applyBorder="1" applyAlignment="1">
      <alignment horizontal="center" vertical="center" wrapText="1"/>
    </xf>
    <xf numFmtId="0" fontId="13" fillId="0" borderId="13" xfId="6" applyNumberFormat="1" applyFont="1" applyBorder="1" applyAlignment="1">
      <alignment horizontal="center" vertical="center" wrapText="1"/>
    </xf>
    <xf numFmtId="0" fontId="13" fillId="0" borderId="15" xfId="6" applyNumberFormat="1" applyFont="1" applyBorder="1" applyAlignment="1">
      <alignment horizontal="center" vertical="center" wrapText="1"/>
    </xf>
    <xf numFmtId="0" fontId="13" fillId="0" borderId="16" xfId="6" applyNumberFormat="1" applyFont="1" applyBorder="1" applyAlignment="1">
      <alignment horizontal="center" vertical="center" wrapText="1"/>
    </xf>
    <xf numFmtId="168" fontId="13" fillId="0" borderId="13" xfId="6" applyNumberFormat="1" applyFont="1" applyBorder="1" applyAlignment="1">
      <alignment horizontal="center" vertical="center" wrapText="1"/>
    </xf>
    <xf numFmtId="168" fontId="13" fillId="0" borderId="15" xfId="6" applyNumberFormat="1" applyFont="1" applyBorder="1" applyAlignment="1">
      <alignment horizontal="center" vertical="center" wrapText="1"/>
    </xf>
    <xf numFmtId="168" fontId="13" fillId="0" borderId="16" xfId="6" applyNumberFormat="1" applyFont="1" applyBorder="1" applyAlignment="1">
      <alignment horizontal="center" vertical="center" wrapText="1"/>
    </xf>
    <xf numFmtId="0" fontId="13" fillId="7" borderId="13" xfId="16" applyFont="1" applyFill="1" applyBorder="1" applyAlignment="1">
      <alignment horizontal="left" vertical="center" wrapText="1"/>
    </xf>
    <xf numFmtId="0" fontId="13" fillId="7" borderId="15" xfId="16" applyFont="1" applyFill="1" applyBorder="1" applyAlignment="1">
      <alignment horizontal="left" vertical="center" wrapText="1"/>
    </xf>
    <xf numFmtId="0" fontId="13" fillId="7" borderId="16" xfId="16" applyFont="1" applyFill="1" applyBorder="1" applyAlignment="1">
      <alignment horizontal="left" vertical="center" wrapText="1"/>
    </xf>
    <xf numFmtId="49" fontId="13" fillId="7" borderId="13" xfId="17" applyNumberFormat="1" applyFont="1" applyFill="1" applyBorder="1" applyAlignment="1">
      <alignment horizontal="justify" vertical="center" wrapText="1"/>
    </xf>
    <xf numFmtId="49" fontId="13" fillId="7" borderId="16" xfId="17" applyNumberFormat="1" applyFont="1" applyFill="1" applyBorder="1" applyAlignment="1">
      <alignment horizontal="justify" vertical="center" wrapText="1"/>
    </xf>
    <xf numFmtId="166" fontId="13" fillId="7" borderId="13" xfId="16" applyNumberFormat="1" applyFont="1" applyFill="1" applyBorder="1" applyAlignment="1">
      <alignment horizontal="center" vertical="center" wrapText="1"/>
    </xf>
    <xf numFmtId="166" fontId="13" fillId="7" borderId="15" xfId="16" applyNumberFormat="1" applyFont="1" applyFill="1" applyBorder="1" applyAlignment="1">
      <alignment horizontal="center" vertical="center" wrapText="1"/>
    </xf>
    <xf numFmtId="166" fontId="13" fillId="7" borderId="16" xfId="16" applyNumberFormat="1" applyFont="1" applyFill="1" applyBorder="1" applyAlignment="1">
      <alignment horizontal="center" vertical="center" wrapText="1"/>
    </xf>
    <xf numFmtId="3" fontId="13" fillId="7" borderId="41" xfId="16" applyNumberFormat="1" applyFont="1" applyFill="1" applyBorder="1" applyAlignment="1">
      <alignment horizontal="center" vertical="center" wrapText="1"/>
    </xf>
    <xf numFmtId="3" fontId="13" fillId="7" borderId="64" xfId="16" applyNumberFormat="1" applyFont="1" applyFill="1" applyBorder="1" applyAlignment="1">
      <alignment horizontal="center" vertical="center" wrapText="1"/>
    </xf>
    <xf numFmtId="3" fontId="13" fillId="7" borderId="67" xfId="16" applyNumberFormat="1" applyFont="1" applyFill="1" applyBorder="1" applyAlignment="1">
      <alignment horizontal="center" vertical="center" wrapText="1"/>
    </xf>
    <xf numFmtId="0" fontId="13" fillId="0" borderId="1" xfId="6" applyNumberFormat="1" applyFont="1" applyBorder="1" applyAlignment="1">
      <alignment horizontal="center" vertical="center"/>
    </xf>
    <xf numFmtId="0" fontId="13" fillId="0" borderId="13" xfId="6" applyNumberFormat="1" applyFont="1" applyBorder="1" applyAlignment="1">
      <alignment horizontal="center" vertical="center"/>
    </xf>
    <xf numFmtId="0" fontId="13" fillId="0" borderId="15" xfId="6" applyNumberFormat="1" applyFont="1" applyBorder="1" applyAlignment="1">
      <alignment horizontal="center" vertical="center"/>
    </xf>
    <xf numFmtId="0" fontId="13" fillId="0" borderId="16" xfId="6" applyNumberFormat="1" applyFont="1" applyBorder="1" applyAlignment="1">
      <alignment horizontal="center" vertical="center"/>
    </xf>
    <xf numFmtId="0" fontId="13" fillId="0" borderId="3" xfId="6" applyNumberFormat="1" applyFont="1" applyBorder="1" applyAlignment="1">
      <alignment horizontal="center" vertical="center"/>
    </xf>
    <xf numFmtId="0" fontId="13" fillId="0" borderId="17" xfId="6" applyNumberFormat="1" applyFont="1" applyBorder="1" applyAlignment="1">
      <alignment horizontal="center" vertical="center"/>
    </xf>
    <xf numFmtId="0" fontId="13" fillId="0" borderId="5" xfId="6" applyNumberFormat="1" applyFont="1" applyBorder="1" applyAlignment="1">
      <alignment horizontal="center" vertical="center"/>
    </xf>
    <xf numFmtId="169" fontId="13" fillId="0" borderId="13" xfId="6" applyNumberFormat="1" applyFont="1" applyBorder="1" applyAlignment="1">
      <alignment horizontal="center" vertical="center"/>
    </xf>
    <xf numFmtId="0" fontId="13" fillId="0" borderId="1" xfId="6" applyNumberFormat="1" applyFont="1" applyBorder="1" applyAlignment="1">
      <alignment horizontal="center" vertical="center" wrapText="1"/>
    </xf>
    <xf numFmtId="169" fontId="13" fillId="0" borderId="13" xfId="6" applyNumberFormat="1" applyFont="1" applyBorder="1" applyAlignment="1">
      <alignment horizontal="center" vertical="center" wrapText="1"/>
    </xf>
    <xf numFmtId="37" fontId="13" fillId="0" borderId="13" xfId="6" applyNumberFormat="1" applyFont="1" applyBorder="1" applyAlignment="1">
      <alignment horizontal="center" vertical="center" wrapText="1"/>
    </xf>
    <xf numFmtId="37" fontId="13" fillId="0" borderId="15" xfId="6" applyNumberFormat="1" applyFont="1" applyBorder="1" applyAlignment="1">
      <alignment horizontal="center" vertical="center" wrapText="1"/>
    </xf>
    <xf numFmtId="37" fontId="13" fillId="0" borderId="16" xfId="6" applyNumberFormat="1" applyFont="1" applyBorder="1" applyAlignment="1">
      <alignment horizontal="center" vertical="center" wrapText="1"/>
    </xf>
    <xf numFmtId="37" fontId="13" fillId="0" borderId="1" xfId="6" applyNumberFormat="1" applyFont="1" applyBorder="1" applyAlignment="1">
      <alignment horizontal="center" vertical="center" wrapText="1"/>
    </xf>
    <xf numFmtId="0" fontId="13" fillId="7" borderId="13" xfId="16" applyFont="1" applyFill="1" applyBorder="1" applyAlignment="1">
      <alignment horizontal="justify" vertical="top" wrapText="1"/>
    </xf>
    <xf numFmtId="0" fontId="13" fillId="7" borderId="16" xfId="16" applyFont="1" applyFill="1" applyBorder="1" applyAlignment="1">
      <alignment horizontal="justify" vertical="top" wrapText="1"/>
    </xf>
    <xf numFmtId="43" fontId="13" fillId="0" borderId="13" xfId="6" applyFont="1" applyBorder="1" applyAlignment="1">
      <alignment horizontal="center" vertical="center" wrapText="1"/>
    </xf>
    <xf numFmtId="9" fontId="13" fillId="7" borderId="1" xfId="7" applyFont="1" applyFill="1" applyBorder="1" applyAlignment="1">
      <alignment horizontal="center" vertical="center" wrapText="1"/>
    </xf>
    <xf numFmtId="0" fontId="13" fillId="0" borderId="54" xfId="6" applyNumberFormat="1" applyFont="1" applyBorder="1" applyAlignment="1">
      <alignment horizontal="center" vertical="center" wrapText="1"/>
    </xf>
    <xf numFmtId="0" fontId="13" fillId="0" borderId="55" xfId="6" applyNumberFormat="1" applyFont="1" applyBorder="1" applyAlignment="1">
      <alignment horizontal="center" vertical="center" wrapText="1"/>
    </xf>
    <xf numFmtId="0" fontId="13" fillId="0" borderId="56" xfId="6" applyNumberFormat="1" applyFont="1" applyBorder="1" applyAlignment="1">
      <alignment horizontal="center" vertical="center" wrapText="1"/>
    </xf>
    <xf numFmtId="0" fontId="13" fillId="7" borderId="19" xfId="16" applyFont="1" applyFill="1" applyBorder="1" applyAlignment="1">
      <alignment horizontal="center" vertical="center" wrapText="1"/>
    </xf>
    <xf numFmtId="0" fontId="16" fillId="0" borderId="3" xfId="16" applyFont="1" applyBorder="1" applyAlignment="1">
      <alignment horizontal="center" vertical="center" wrapText="1"/>
    </xf>
    <xf numFmtId="0" fontId="16" fillId="0" borderId="17" xfId="16" applyFont="1" applyBorder="1" applyAlignment="1">
      <alignment horizontal="center" vertical="center" wrapText="1"/>
    </xf>
    <xf numFmtId="0" fontId="16" fillId="0" borderId="5" xfId="16" applyFont="1" applyBorder="1" applyAlignment="1">
      <alignment horizontal="center" vertical="center" wrapText="1"/>
    </xf>
    <xf numFmtId="0" fontId="13" fillId="7" borderId="19" xfId="16" applyFont="1" applyFill="1" applyBorder="1" applyAlignment="1">
      <alignment horizontal="justify" vertical="center" wrapText="1"/>
    </xf>
    <xf numFmtId="0" fontId="13" fillId="7" borderId="20" xfId="16" applyFont="1" applyFill="1" applyBorder="1" applyAlignment="1">
      <alignment horizontal="justify" vertical="center" wrapText="1"/>
    </xf>
    <xf numFmtId="166" fontId="13" fillId="0" borderId="13" xfId="6" applyNumberFormat="1" applyFont="1" applyBorder="1" applyAlignment="1">
      <alignment horizontal="center" vertical="center" wrapText="1"/>
    </xf>
    <xf numFmtId="166" fontId="13" fillId="0" borderId="15" xfId="6" applyNumberFormat="1" applyFont="1" applyBorder="1" applyAlignment="1">
      <alignment horizontal="center" vertical="center" wrapText="1"/>
    </xf>
    <xf numFmtId="166" fontId="13" fillId="0" borderId="16" xfId="6" applyNumberFormat="1" applyFont="1" applyBorder="1" applyAlignment="1">
      <alignment horizontal="center" vertical="center" wrapText="1"/>
    </xf>
    <xf numFmtId="0" fontId="13" fillId="7" borderId="1" xfId="16" applyFont="1" applyFill="1" applyBorder="1" applyAlignment="1">
      <alignment horizontal="left" vertical="center" wrapText="1"/>
    </xf>
    <xf numFmtId="1" fontId="13" fillId="0" borderId="13" xfId="16" applyNumberFormat="1" applyFont="1" applyBorder="1" applyAlignment="1">
      <alignment horizontal="center" vertical="center" wrapText="1"/>
    </xf>
    <xf numFmtId="1" fontId="13" fillId="0" borderId="15" xfId="16" applyNumberFormat="1" applyFont="1" applyBorder="1" applyAlignment="1">
      <alignment horizontal="center" vertical="center" wrapText="1"/>
    </xf>
    <xf numFmtId="1" fontId="13" fillId="0" borderId="16" xfId="16" applyNumberFormat="1" applyFont="1" applyBorder="1" applyAlignment="1">
      <alignment horizontal="center" vertical="center" wrapText="1"/>
    </xf>
    <xf numFmtId="0" fontId="13" fillId="0" borderId="9" xfId="16" applyFont="1" applyBorder="1" applyAlignment="1">
      <alignment horizontal="center" vertical="center" wrapText="1"/>
    </xf>
    <xf numFmtId="0" fontId="13" fillId="0" borderId="18" xfId="16" applyFont="1" applyBorder="1" applyAlignment="1">
      <alignment horizontal="center" vertical="center" wrapText="1"/>
    </xf>
    <xf numFmtId="0" fontId="13" fillId="0" borderId="14" xfId="16" applyFont="1" applyBorder="1" applyAlignment="1">
      <alignment horizontal="center" vertical="center" wrapText="1"/>
    </xf>
    <xf numFmtId="9" fontId="13" fillId="0" borderId="19" xfId="7" applyFont="1" applyBorder="1" applyAlignment="1">
      <alignment horizontal="center" vertical="center" wrapText="1"/>
    </xf>
    <xf numFmtId="9" fontId="13" fillId="0" borderId="21" xfId="7" applyFont="1" applyBorder="1" applyAlignment="1">
      <alignment horizontal="center" vertical="center" wrapText="1"/>
    </xf>
    <xf numFmtId="43" fontId="13" fillId="7" borderId="9" xfId="6" applyFont="1" applyFill="1" applyBorder="1" applyAlignment="1">
      <alignment horizontal="center" vertical="center" wrapText="1"/>
    </xf>
    <xf numFmtId="43" fontId="13" fillId="7" borderId="18" xfId="6" applyFont="1" applyFill="1" applyBorder="1" applyAlignment="1">
      <alignment horizontal="center" vertical="center" wrapText="1"/>
    </xf>
    <xf numFmtId="0" fontId="13" fillId="0" borderId="13" xfId="16" applyFont="1" applyBorder="1" applyAlignment="1">
      <alignment horizontal="justify" vertical="center" wrapText="1"/>
    </xf>
    <xf numFmtId="0" fontId="13" fillId="0" borderId="15" xfId="16" applyFont="1" applyBorder="1" applyAlignment="1">
      <alignment horizontal="justify" vertical="center" wrapText="1"/>
    </xf>
    <xf numFmtId="0" fontId="13" fillId="0" borderId="17" xfId="16" applyFont="1" applyBorder="1" applyAlignment="1">
      <alignment horizontal="justify" vertical="center" wrapText="1"/>
    </xf>
    <xf numFmtId="0" fontId="13" fillId="0" borderId="16" xfId="16" applyFont="1" applyBorder="1" applyAlignment="1">
      <alignment horizontal="justify" vertical="center" wrapText="1"/>
    </xf>
    <xf numFmtId="49" fontId="13" fillId="0" borderId="13" xfId="17" applyNumberFormat="1" applyFont="1" applyBorder="1" applyAlignment="1">
      <alignment horizontal="justify" vertical="center" wrapText="1"/>
    </xf>
    <xf numFmtId="49" fontId="13" fillId="0" borderId="15" xfId="17" applyNumberFormat="1" applyFont="1" applyBorder="1" applyAlignment="1">
      <alignment horizontal="justify" vertical="center" wrapText="1"/>
    </xf>
    <xf numFmtId="49" fontId="13" fillId="0" borderId="17" xfId="17" applyNumberFormat="1" applyFont="1" applyBorder="1" applyAlignment="1">
      <alignment horizontal="justify" vertical="center" wrapText="1"/>
    </xf>
    <xf numFmtId="49" fontId="13" fillId="0" borderId="21" xfId="17" applyNumberFormat="1" applyFont="1" applyBorder="1" applyAlignment="1">
      <alignment horizontal="justify" vertical="center" wrapText="1"/>
    </xf>
    <xf numFmtId="49" fontId="13" fillId="0" borderId="37" xfId="17" applyNumberFormat="1" applyFont="1" applyBorder="1" applyAlignment="1">
      <alignment horizontal="justify" vertical="center" wrapText="1"/>
    </xf>
    <xf numFmtId="49" fontId="13" fillId="0" borderId="34" xfId="17" applyNumberFormat="1" applyFont="1" applyBorder="1" applyAlignment="1">
      <alignment horizontal="justify" vertical="center" wrapText="1"/>
    </xf>
    <xf numFmtId="43" fontId="13" fillId="0" borderId="22" xfId="1" applyFont="1" applyBorder="1" applyAlignment="1">
      <alignment horizontal="center" vertical="center"/>
    </xf>
    <xf numFmtId="43" fontId="13" fillId="0" borderId="48" xfId="1" applyFont="1" applyBorder="1" applyAlignment="1">
      <alignment horizontal="center" vertical="center"/>
    </xf>
    <xf numFmtId="1" fontId="13" fillId="0" borderId="24" xfId="16" applyNumberFormat="1" applyFont="1" applyBorder="1" applyAlignment="1">
      <alignment horizontal="center" vertical="center" wrapText="1"/>
    </xf>
    <xf numFmtId="1" fontId="13" fillId="0" borderId="49" xfId="16" applyNumberFormat="1" applyFont="1" applyBorder="1" applyAlignment="1">
      <alignment horizontal="center" vertical="center" wrapText="1"/>
    </xf>
    <xf numFmtId="0" fontId="13" fillId="0" borderId="21" xfId="16" applyFont="1" applyBorder="1" applyAlignment="1">
      <alignment horizontal="center" vertical="center" wrapText="1"/>
    </xf>
    <xf numFmtId="0" fontId="13" fillId="0" borderId="34" xfId="16" applyFont="1" applyBorder="1" applyAlignment="1">
      <alignment horizontal="center" vertical="center" wrapText="1"/>
    </xf>
    <xf numFmtId="3" fontId="13" fillId="0" borderId="41" xfId="16" applyNumberFormat="1" applyFont="1" applyBorder="1" applyAlignment="1">
      <alignment horizontal="center" vertical="center" wrapText="1"/>
    </xf>
    <xf numFmtId="3" fontId="13" fillId="0" borderId="64" xfId="16" applyNumberFormat="1" applyFont="1" applyBorder="1" applyAlignment="1">
      <alignment horizontal="center" vertical="center" wrapText="1"/>
    </xf>
    <xf numFmtId="3" fontId="13" fillId="0" borderId="67" xfId="16" applyNumberFormat="1" applyFont="1" applyBorder="1" applyAlignment="1">
      <alignment horizontal="center" vertical="center" wrapText="1"/>
    </xf>
    <xf numFmtId="0" fontId="16" fillId="0" borderId="13" xfId="16" applyFont="1" applyBorder="1" applyAlignment="1">
      <alignment horizontal="center" vertical="center" wrapText="1"/>
    </xf>
    <xf numFmtId="0" fontId="16" fillId="0" borderId="15" xfId="16" applyFont="1" applyBorder="1" applyAlignment="1">
      <alignment horizontal="center" vertical="center" wrapText="1"/>
    </xf>
    <xf numFmtId="0" fontId="16" fillId="0" borderId="16" xfId="16" applyFont="1" applyBorder="1" applyAlignment="1">
      <alignment horizontal="center" vertical="center" wrapText="1"/>
    </xf>
    <xf numFmtId="9" fontId="13" fillId="0" borderId="15" xfId="7" applyFont="1" applyBorder="1" applyAlignment="1">
      <alignment horizontal="center" vertical="center" wrapText="1"/>
    </xf>
    <xf numFmtId="9" fontId="13" fillId="0" borderId="16" xfId="7" applyFont="1" applyBorder="1" applyAlignment="1">
      <alignment horizontal="center" vertical="center" wrapText="1"/>
    </xf>
    <xf numFmtId="49" fontId="13" fillId="7" borderId="3" xfId="17" applyNumberFormat="1" applyFont="1" applyFill="1" applyBorder="1" applyAlignment="1">
      <alignment horizontal="justify" vertical="center" wrapText="1"/>
    </xf>
    <xf numFmtId="49" fontId="13" fillId="7" borderId="5" xfId="17" applyNumberFormat="1" applyFont="1" applyFill="1" applyBorder="1" applyAlignment="1">
      <alignment horizontal="justify" vertical="center" wrapText="1"/>
    </xf>
    <xf numFmtId="0" fontId="13" fillId="0" borderId="1" xfId="16" applyFont="1" applyBorder="1" applyAlignment="1">
      <alignment horizontal="center" vertical="center" wrapText="1"/>
    </xf>
    <xf numFmtId="49" fontId="13" fillId="0" borderId="16" xfId="17" applyNumberFormat="1" applyFont="1" applyBorder="1" applyAlignment="1">
      <alignment horizontal="justify" vertical="center" wrapText="1"/>
    </xf>
    <xf numFmtId="0" fontId="13" fillId="0" borderId="13" xfId="16" applyFont="1" applyBorder="1" applyAlignment="1">
      <alignment horizontal="left" vertical="center" wrapText="1"/>
    </xf>
    <xf numFmtId="0" fontId="13" fillId="0" borderId="15" xfId="16" applyFont="1" applyBorder="1" applyAlignment="1">
      <alignment horizontal="left" vertical="center" wrapText="1"/>
    </xf>
    <xf numFmtId="0" fontId="13" fillId="0" borderId="16" xfId="16" applyFont="1" applyBorder="1" applyAlignment="1">
      <alignment horizontal="left" vertical="center" wrapText="1"/>
    </xf>
    <xf numFmtId="49" fontId="13" fillId="7" borderId="15" xfId="17" applyNumberFormat="1" applyFont="1" applyFill="1" applyBorder="1" applyAlignment="1">
      <alignment horizontal="justify" vertical="center" wrapText="1"/>
    </xf>
    <xf numFmtId="166" fontId="13" fillId="0" borderId="13" xfId="16" applyNumberFormat="1" applyFont="1" applyBorder="1" applyAlignment="1">
      <alignment horizontal="center" vertical="center" wrapText="1"/>
    </xf>
    <xf numFmtId="166" fontId="13" fillId="0" borderId="15" xfId="16" applyNumberFormat="1" applyFont="1" applyBorder="1" applyAlignment="1">
      <alignment horizontal="center" vertical="center" wrapText="1"/>
    </xf>
    <xf numFmtId="166" fontId="13" fillId="0" borderId="16" xfId="16" applyNumberFormat="1" applyFont="1" applyBorder="1" applyAlignment="1">
      <alignment horizontal="center" vertical="center" wrapText="1"/>
    </xf>
    <xf numFmtId="49" fontId="13" fillId="7" borderId="17" xfId="17" applyNumberFormat="1" applyFont="1" applyFill="1" applyBorder="1" applyAlignment="1">
      <alignment horizontal="justify" vertical="center" wrapText="1"/>
    </xf>
    <xf numFmtId="166" fontId="13" fillId="0" borderId="1" xfId="16" applyNumberFormat="1" applyFont="1" applyBorder="1" applyAlignment="1">
      <alignment horizontal="center" vertical="center" wrapText="1"/>
    </xf>
    <xf numFmtId="1" fontId="13" fillId="7" borderId="13" xfId="16" applyNumberFormat="1" applyFont="1" applyFill="1" applyBorder="1" applyAlignment="1">
      <alignment horizontal="center" vertical="center" wrapText="1"/>
    </xf>
    <xf numFmtId="1" fontId="13" fillId="7" borderId="15" xfId="16" applyNumberFormat="1" applyFont="1" applyFill="1" applyBorder="1" applyAlignment="1">
      <alignment horizontal="center" vertical="center" wrapText="1"/>
    </xf>
    <xf numFmtId="1" fontId="13" fillId="7" borderId="16" xfId="16" applyNumberFormat="1" applyFont="1" applyFill="1" applyBorder="1" applyAlignment="1">
      <alignment horizontal="center" vertical="center" wrapText="1"/>
    </xf>
    <xf numFmtId="0" fontId="13" fillId="7" borderId="9" xfId="16" applyFont="1" applyFill="1" applyBorder="1" applyAlignment="1">
      <alignment horizontal="center" vertical="center" wrapText="1"/>
    </xf>
    <xf numFmtId="0" fontId="13" fillId="7" borderId="18" xfId="16" applyFont="1" applyFill="1" applyBorder="1" applyAlignment="1">
      <alignment horizontal="center" vertical="center" wrapText="1"/>
    </xf>
    <xf numFmtId="0" fontId="13" fillId="7" borderId="14" xfId="16" applyFont="1" applyFill="1" applyBorder="1" applyAlignment="1">
      <alignment horizontal="center" vertical="center" wrapText="1"/>
    </xf>
    <xf numFmtId="0" fontId="13" fillId="0" borderId="69" xfId="16" applyFont="1" applyBorder="1" applyAlignment="1">
      <alignment horizontal="center" vertical="center" wrapText="1"/>
    </xf>
    <xf numFmtId="0" fontId="13" fillId="0" borderId="19" xfId="16" applyFont="1" applyBorder="1" applyAlignment="1">
      <alignment horizontal="left" vertical="center" wrapText="1"/>
    </xf>
    <xf numFmtId="0" fontId="13" fillId="7" borderId="20" xfId="16" applyFont="1" applyFill="1" applyBorder="1" applyAlignment="1">
      <alignment horizontal="center" vertical="center" wrapText="1"/>
    </xf>
    <xf numFmtId="0" fontId="13" fillId="0" borderId="36" xfId="16" applyFont="1" applyBorder="1" applyAlignment="1">
      <alignment horizontal="center" vertical="center" wrapText="1"/>
    </xf>
    <xf numFmtId="172" fontId="13" fillId="7" borderId="13" xfId="16" applyNumberFormat="1" applyFont="1" applyFill="1" applyBorder="1" applyAlignment="1">
      <alignment horizontal="center" vertical="center" wrapText="1"/>
    </xf>
    <xf numFmtId="172" fontId="13" fillId="7" borderId="15" xfId="16" applyNumberFormat="1" applyFont="1" applyFill="1" applyBorder="1" applyAlignment="1">
      <alignment horizontal="center" vertical="center" wrapText="1"/>
    </xf>
    <xf numFmtId="172" fontId="13" fillId="7" borderId="16" xfId="16" applyNumberFormat="1" applyFont="1" applyFill="1" applyBorder="1" applyAlignment="1">
      <alignment horizontal="center" vertical="center" wrapText="1"/>
    </xf>
    <xf numFmtId="1" fontId="13" fillId="7" borderId="41" xfId="16" applyNumberFormat="1" applyFont="1" applyFill="1" applyBorder="1" applyAlignment="1">
      <alignment horizontal="center" vertical="center" wrapText="1"/>
    </xf>
    <xf numFmtId="1" fontId="13" fillId="7" borderId="64" xfId="16" applyNumberFormat="1" applyFont="1" applyFill="1" applyBorder="1" applyAlignment="1">
      <alignment horizontal="center" vertical="center" wrapText="1"/>
    </xf>
    <xf numFmtId="1" fontId="13" fillId="7" borderId="67" xfId="16" applyNumberFormat="1" applyFont="1" applyFill="1" applyBorder="1" applyAlignment="1">
      <alignment horizontal="center" vertical="center" wrapText="1"/>
    </xf>
    <xf numFmtId="169" fontId="13" fillId="0" borderId="15" xfId="6" applyNumberFormat="1" applyFont="1" applyBorder="1" applyAlignment="1">
      <alignment horizontal="center" vertical="center" wrapText="1"/>
    </xf>
    <xf numFmtId="49" fontId="13" fillId="0" borderId="13" xfId="17" applyNumberFormat="1" applyFont="1" applyBorder="1" applyAlignment="1">
      <alignment horizontal="left" vertical="center" wrapText="1"/>
    </xf>
    <xf numFmtId="49" fontId="13" fillId="0" borderId="16" xfId="17" applyNumberFormat="1" applyFont="1" applyBorder="1" applyAlignment="1">
      <alignment horizontal="left" vertical="center" wrapText="1"/>
    </xf>
    <xf numFmtId="166" fontId="13" fillId="7" borderId="1" xfId="16" applyNumberFormat="1" applyFont="1" applyFill="1" applyBorder="1" applyAlignment="1">
      <alignment horizontal="center" vertical="center" wrapText="1"/>
    </xf>
    <xf numFmtId="169" fontId="13" fillId="7" borderId="13" xfId="16" applyNumberFormat="1" applyFont="1" applyFill="1" applyBorder="1" applyAlignment="1">
      <alignment horizontal="center" vertical="center" wrapText="1"/>
    </xf>
    <xf numFmtId="0" fontId="13" fillId="7" borderId="4" xfId="16" applyFont="1" applyFill="1" applyBorder="1" applyAlignment="1">
      <alignment horizontal="center" vertical="center" wrapText="1"/>
    </xf>
    <xf numFmtId="0" fontId="13" fillId="7" borderId="2" xfId="16" applyFont="1" applyFill="1" applyBorder="1" applyAlignment="1">
      <alignment horizontal="center" vertical="center" wrapText="1"/>
    </xf>
    <xf numFmtId="0" fontId="16" fillId="7" borderId="1" xfId="16" applyFont="1" applyFill="1" applyBorder="1" applyAlignment="1">
      <alignment horizontal="center" vertical="center" wrapText="1"/>
    </xf>
    <xf numFmtId="0" fontId="13" fillId="7" borderId="1" xfId="16" applyFont="1" applyFill="1" applyBorder="1" applyAlignment="1">
      <alignment horizontal="justify" vertical="center" wrapText="1"/>
    </xf>
    <xf numFmtId="10" fontId="13" fillId="7" borderId="1" xfId="7" applyNumberFormat="1" applyFont="1" applyFill="1" applyBorder="1" applyAlignment="1">
      <alignment horizontal="center" vertical="center" wrapText="1"/>
    </xf>
    <xf numFmtId="43" fontId="13" fillId="7" borderId="1" xfId="6" applyFont="1" applyFill="1" applyBorder="1" applyAlignment="1">
      <alignment horizontal="center" vertical="center" wrapText="1"/>
    </xf>
    <xf numFmtId="10" fontId="13" fillId="7" borderId="13" xfId="7" applyNumberFormat="1" applyFont="1" applyFill="1" applyBorder="1" applyAlignment="1">
      <alignment horizontal="center" vertical="center" wrapText="1"/>
    </xf>
    <xf numFmtId="10" fontId="13" fillId="7" borderId="15" xfId="7" applyNumberFormat="1" applyFont="1" applyFill="1" applyBorder="1" applyAlignment="1">
      <alignment horizontal="center" vertical="center" wrapText="1"/>
    </xf>
    <xf numFmtId="10" fontId="13" fillId="7" borderId="16" xfId="7" applyNumberFormat="1" applyFont="1" applyFill="1" applyBorder="1" applyAlignment="1">
      <alignment horizontal="center" vertical="center" wrapText="1"/>
    </xf>
    <xf numFmtId="0" fontId="5" fillId="0" borderId="3" xfId="16" applyFont="1" applyBorder="1" applyAlignment="1">
      <alignment horizontal="center" vertical="center" wrapText="1"/>
    </xf>
    <xf numFmtId="0" fontId="5" fillId="0" borderId="4" xfId="16" applyFont="1" applyBorder="1" applyAlignment="1">
      <alignment horizontal="center" vertical="center" wrapText="1"/>
    </xf>
    <xf numFmtId="0" fontId="5" fillId="0" borderId="17" xfId="16" applyFont="1" applyBorder="1" applyAlignment="1">
      <alignment horizontal="center" vertical="center" wrapText="1"/>
    </xf>
    <xf numFmtId="0" fontId="5" fillId="0" borderId="0" xfId="16" applyFont="1" applyAlignment="1">
      <alignment horizontal="center" vertical="center" wrapText="1"/>
    </xf>
    <xf numFmtId="0" fontId="5" fillId="0" borderId="5" xfId="16" applyFont="1" applyBorder="1" applyAlignment="1">
      <alignment horizontal="center" vertical="center" wrapText="1"/>
    </xf>
    <xf numFmtId="0" fontId="5" fillId="0" borderId="2" xfId="16" applyFont="1" applyBorder="1" applyAlignment="1">
      <alignment horizontal="center" vertical="center" wrapText="1"/>
    </xf>
    <xf numFmtId="0" fontId="13" fillId="7" borderId="4" xfId="16" applyFont="1" applyFill="1" applyBorder="1" applyAlignment="1">
      <alignment horizontal="justify" vertical="center" wrapText="1"/>
    </xf>
    <xf numFmtId="0" fontId="13" fillId="7" borderId="2" xfId="16" applyFont="1" applyFill="1" applyBorder="1" applyAlignment="1">
      <alignment horizontal="justify" vertical="center" wrapText="1"/>
    </xf>
    <xf numFmtId="0" fontId="13" fillId="7" borderId="3" xfId="16" applyFont="1" applyFill="1" applyBorder="1" applyAlignment="1">
      <alignment horizontal="justify" vertical="center" wrapText="1"/>
    </xf>
    <xf numFmtId="0" fontId="13" fillId="7" borderId="17" xfId="16" applyFont="1" applyFill="1" applyBorder="1" applyAlignment="1">
      <alignment horizontal="justify" vertical="center" wrapText="1"/>
    </xf>
    <xf numFmtId="0" fontId="13" fillId="7" borderId="5" xfId="16" applyFont="1" applyFill="1" applyBorder="1" applyAlignment="1">
      <alignment horizontal="justify" vertical="center" wrapText="1"/>
    </xf>
    <xf numFmtId="0" fontId="13" fillId="7" borderId="19" xfId="16" quotePrefix="1" applyFont="1" applyFill="1" applyBorder="1" applyAlignment="1">
      <alignment horizontal="justify" vertical="center" wrapText="1"/>
    </xf>
    <xf numFmtId="0" fontId="13" fillId="7" borderId="54" xfId="16" quotePrefix="1" applyFont="1" applyFill="1" applyBorder="1" applyAlignment="1">
      <alignment horizontal="justify" vertical="center" wrapText="1"/>
    </xf>
    <xf numFmtId="0" fontId="13" fillId="7" borderId="56" xfId="16" quotePrefix="1" applyFont="1" applyFill="1" applyBorder="1" applyAlignment="1">
      <alignment horizontal="justify" vertical="center" wrapText="1"/>
    </xf>
    <xf numFmtId="0" fontId="5" fillId="0" borderId="19" xfId="16" applyFont="1" applyBorder="1" applyAlignment="1">
      <alignment horizontal="center" vertical="center" wrapText="1"/>
    </xf>
    <xf numFmtId="0" fontId="13" fillId="0" borderId="37" xfId="16" applyFont="1" applyBorder="1" applyAlignment="1">
      <alignment horizontal="center" vertical="center" wrapText="1"/>
    </xf>
    <xf numFmtId="0" fontId="13" fillId="7" borderId="71" xfId="16" applyFont="1" applyFill="1" applyBorder="1" applyAlignment="1">
      <alignment horizontal="center" vertical="center" wrapText="1"/>
    </xf>
    <xf numFmtId="0" fontId="13" fillId="7" borderId="45" xfId="16" applyFont="1" applyFill="1" applyBorder="1" applyAlignment="1">
      <alignment horizontal="center" vertical="center" wrapText="1"/>
    </xf>
    <xf numFmtId="0" fontId="13" fillId="7" borderId="72" xfId="16" applyFont="1" applyFill="1" applyBorder="1" applyAlignment="1">
      <alignment horizontal="center" vertical="center" wrapText="1"/>
    </xf>
    <xf numFmtId="169" fontId="13" fillId="7" borderId="13" xfId="6" applyNumberFormat="1" applyFont="1" applyFill="1" applyBorder="1" applyAlignment="1">
      <alignment horizontal="center" vertical="center" wrapText="1"/>
    </xf>
    <xf numFmtId="0" fontId="16" fillId="7" borderId="13" xfId="16" applyFont="1" applyFill="1" applyBorder="1" applyAlignment="1">
      <alignment horizontal="justify" vertical="center"/>
    </xf>
    <xf numFmtId="0" fontId="16" fillId="7" borderId="15" xfId="16" applyFont="1" applyFill="1" applyBorder="1" applyAlignment="1">
      <alignment horizontal="justify" vertical="center"/>
    </xf>
    <xf numFmtId="0" fontId="13" fillId="7" borderId="3" xfId="16" quotePrefix="1" applyFont="1" applyFill="1" applyBorder="1" applyAlignment="1">
      <alignment horizontal="justify" vertical="center" wrapText="1"/>
    </xf>
    <xf numFmtId="0" fontId="13" fillId="7" borderId="17" xfId="16" quotePrefix="1" applyFont="1" applyFill="1" applyBorder="1" applyAlignment="1">
      <alignment horizontal="justify" vertical="center" wrapText="1"/>
    </xf>
    <xf numFmtId="0" fontId="13" fillId="7" borderId="5" xfId="16" quotePrefix="1" applyFont="1" applyFill="1" applyBorder="1" applyAlignment="1">
      <alignment horizontal="justify" vertical="center" wrapText="1"/>
    </xf>
    <xf numFmtId="168" fontId="5" fillId="17" borderId="7" xfId="6" applyNumberFormat="1" applyFont="1" applyFill="1" applyBorder="1" applyAlignment="1">
      <alignment horizontal="center" vertical="center" textRotation="180" wrapText="1"/>
    </xf>
    <xf numFmtId="0" fontId="13" fillId="0" borderId="13" xfId="16" applyFont="1" applyBorder="1" applyAlignment="1">
      <alignment horizontal="center" vertical="center"/>
    </xf>
    <xf numFmtId="0" fontId="13" fillId="0" borderId="15" xfId="16" applyFont="1" applyBorder="1" applyAlignment="1">
      <alignment horizontal="center" vertical="center"/>
    </xf>
    <xf numFmtId="0" fontId="13" fillId="0" borderId="16" xfId="16" applyFont="1" applyBorder="1" applyAlignment="1">
      <alignment horizontal="center" vertical="center"/>
    </xf>
    <xf numFmtId="0" fontId="13" fillId="0" borderId="1" xfId="16" applyFont="1" applyBorder="1" applyAlignment="1">
      <alignment horizontal="center" vertical="center"/>
    </xf>
    <xf numFmtId="168" fontId="5" fillId="17" borderId="6" xfId="6" applyNumberFormat="1" applyFont="1" applyFill="1" applyBorder="1" applyAlignment="1">
      <alignment horizontal="center" vertical="center" textRotation="180" wrapText="1"/>
    </xf>
    <xf numFmtId="1" fontId="13" fillId="0" borderId="13" xfId="6" applyNumberFormat="1" applyFont="1" applyBorder="1" applyAlignment="1">
      <alignment horizontal="center" vertical="center" wrapText="1"/>
    </xf>
    <xf numFmtId="1" fontId="13" fillId="0" borderId="15" xfId="6" applyNumberFormat="1" applyFont="1" applyBorder="1" applyAlignment="1">
      <alignment horizontal="center" vertical="center" wrapText="1"/>
    </xf>
    <xf numFmtId="1" fontId="13" fillId="0" borderId="16" xfId="6" applyNumberFormat="1" applyFont="1" applyBorder="1" applyAlignment="1">
      <alignment horizontal="center" vertical="center" wrapText="1"/>
    </xf>
    <xf numFmtId="4" fontId="13" fillId="0" borderId="13" xfId="6" applyNumberFormat="1" applyFont="1" applyBorder="1" applyAlignment="1">
      <alignment horizontal="center" vertical="center" wrapText="1"/>
    </xf>
    <xf numFmtId="4" fontId="13" fillId="0" borderId="15" xfId="6" applyNumberFormat="1" applyFont="1" applyBorder="1" applyAlignment="1">
      <alignment horizontal="center" vertical="center" wrapText="1"/>
    </xf>
    <xf numFmtId="4" fontId="13" fillId="0" borderId="16" xfId="6" applyNumberFormat="1" applyFont="1" applyBorder="1" applyAlignment="1">
      <alignment horizontal="center" vertical="center" wrapText="1"/>
    </xf>
    <xf numFmtId="14" fontId="13" fillId="0" borderId="13" xfId="6" applyNumberFormat="1" applyFont="1" applyBorder="1" applyAlignment="1">
      <alignment horizontal="center" vertical="center" wrapText="1"/>
    </xf>
    <xf numFmtId="14" fontId="13" fillId="0" borderId="15" xfId="6" applyNumberFormat="1" applyFont="1" applyBorder="1" applyAlignment="1">
      <alignment horizontal="center" vertical="center" wrapText="1"/>
    </xf>
    <xf numFmtId="14" fontId="13" fillId="0" borderId="16" xfId="6" applyNumberFormat="1" applyFont="1" applyBorder="1" applyAlignment="1">
      <alignment horizontal="center" vertical="center" wrapText="1"/>
    </xf>
    <xf numFmtId="0" fontId="13" fillId="0" borderId="41" xfId="6" applyNumberFormat="1" applyFont="1" applyBorder="1" applyAlignment="1">
      <alignment horizontal="center" vertical="center" wrapText="1"/>
    </xf>
    <xf numFmtId="0" fontId="13" fillId="0" borderId="64" xfId="6" applyNumberFormat="1" applyFont="1" applyBorder="1" applyAlignment="1">
      <alignment horizontal="center" vertical="center" wrapText="1"/>
    </xf>
    <xf numFmtId="0" fontId="13" fillId="0" borderId="67" xfId="6" applyNumberFormat="1" applyFont="1" applyBorder="1" applyAlignment="1">
      <alignment horizontal="center" vertical="center" wrapText="1"/>
    </xf>
    <xf numFmtId="49" fontId="13" fillId="7" borderId="13" xfId="17" quotePrefix="1" applyNumberFormat="1" applyFont="1" applyFill="1" applyBorder="1" applyAlignment="1">
      <alignment horizontal="justify" vertical="center" wrapText="1"/>
    </xf>
    <xf numFmtId="49" fontId="13" fillId="7" borderId="16" xfId="17" quotePrefix="1" applyNumberFormat="1" applyFont="1" applyFill="1" applyBorder="1" applyAlignment="1">
      <alignment horizontal="justify" vertical="center" wrapText="1"/>
    </xf>
    <xf numFmtId="0" fontId="13" fillId="7" borderId="69" xfId="16" applyFont="1" applyFill="1" applyBorder="1" applyAlignment="1">
      <alignment horizontal="left" vertical="center" wrapText="1"/>
    </xf>
    <xf numFmtId="9" fontId="13" fillId="0" borderId="1" xfId="7" applyFont="1" applyBorder="1" applyAlignment="1">
      <alignment horizontal="center" vertical="center" wrapText="1"/>
    </xf>
    <xf numFmtId="0" fontId="13" fillId="7" borderId="19" xfId="16" applyFont="1" applyFill="1" applyBorder="1" applyAlignment="1">
      <alignment horizontal="left" vertical="center" wrapText="1"/>
    </xf>
    <xf numFmtId="0" fontId="13" fillId="7" borderId="3" xfId="16" applyFont="1" applyFill="1" applyBorder="1" applyAlignment="1">
      <alignment horizontal="center" vertical="center"/>
    </xf>
    <xf numFmtId="0" fontId="13" fillId="7" borderId="17" xfId="16" applyFont="1" applyFill="1" applyBorder="1" applyAlignment="1">
      <alignment horizontal="center" vertical="center"/>
    </xf>
    <xf numFmtId="0" fontId="13" fillId="7" borderId="5" xfId="16" applyFont="1" applyFill="1" applyBorder="1" applyAlignment="1">
      <alignment horizontal="center" vertical="center"/>
    </xf>
    <xf numFmtId="0" fontId="13" fillId="7" borderId="29" xfId="16" applyFont="1" applyFill="1" applyBorder="1" applyAlignment="1">
      <alignment horizontal="center" vertical="center" wrapText="1"/>
    </xf>
    <xf numFmtId="14" fontId="13" fillId="0" borderId="1" xfId="6" applyNumberFormat="1" applyFont="1" applyBorder="1" applyAlignment="1">
      <alignment horizontal="center" vertical="center" wrapText="1"/>
    </xf>
    <xf numFmtId="1" fontId="13" fillId="7" borderId="29" xfId="16" applyNumberFormat="1" applyFont="1" applyFill="1" applyBorder="1" applyAlignment="1">
      <alignment horizontal="center" vertical="center" wrapText="1"/>
    </xf>
    <xf numFmtId="0" fontId="13" fillId="0" borderId="30" xfId="16" applyFont="1" applyBorder="1" applyAlignment="1">
      <alignment horizontal="center"/>
    </xf>
    <xf numFmtId="0" fontId="13" fillId="0" borderId="31" xfId="16" applyFont="1" applyBorder="1" applyAlignment="1">
      <alignment horizontal="center"/>
    </xf>
    <xf numFmtId="0" fontId="13" fillId="0" borderId="32" xfId="16" applyFont="1" applyBorder="1" applyAlignment="1">
      <alignment horizontal="center"/>
    </xf>
    <xf numFmtId="0" fontId="5" fillId="7" borderId="0" xfId="16" applyFont="1" applyFill="1" applyAlignment="1">
      <alignment horizontal="center"/>
    </xf>
    <xf numFmtId="0" fontId="13" fillId="7" borderId="0" xfId="16" applyFont="1" applyFill="1" applyAlignment="1">
      <alignment horizontal="center"/>
    </xf>
    <xf numFmtId="0" fontId="13" fillId="0" borderId="29" xfId="6" applyNumberFormat="1" applyFont="1" applyBorder="1" applyAlignment="1">
      <alignment horizontal="center" vertical="center" wrapText="1"/>
    </xf>
    <xf numFmtId="166" fontId="13" fillId="7" borderId="29" xfId="16" applyNumberFormat="1" applyFont="1" applyFill="1" applyBorder="1" applyAlignment="1">
      <alignment horizontal="center" vertical="center" wrapText="1"/>
    </xf>
    <xf numFmtId="9" fontId="13" fillId="0" borderId="29" xfId="3" applyFont="1" applyBorder="1" applyAlignment="1">
      <alignment horizontal="center" vertical="center" wrapText="1"/>
    </xf>
    <xf numFmtId="0" fontId="6" fillId="0" borderId="9" xfId="0" applyFont="1" applyBorder="1" applyAlignment="1">
      <alignment horizontal="center" vertical="center"/>
    </xf>
    <xf numFmtId="0" fontId="6" fillId="3" borderId="74" xfId="0" applyFont="1" applyFill="1" applyBorder="1" applyAlignment="1">
      <alignment horizontal="center" vertical="center" wrapText="1"/>
    </xf>
    <xf numFmtId="49" fontId="6" fillId="3" borderId="1" xfId="0" applyNumberFormat="1" applyFont="1" applyFill="1" applyBorder="1" applyAlignment="1">
      <alignment horizontal="center" vertical="center" textRotation="90" wrapText="1"/>
    </xf>
    <xf numFmtId="0" fontId="6" fillId="3" borderId="8" xfId="0" applyFont="1" applyFill="1" applyBorder="1" applyAlignment="1">
      <alignment horizontal="center" vertical="center" textRotation="90"/>
    </xf>
    <xf numFmtId="0" fontId="6" fillId="3" borderId="1" xfId="0" applyFont="1" applyFill="1" applyBorder="1" applyAlignment="1">
      <alignment horizontal="center" vertical="center" textRotation="90"/>
    </xf>
    <xf numFmtId="0" fontId="6" fillId="3" borderId="1" xfId="0" applyFont="1" applyFill="1" applyBorder="1" applyAlignment="1">
      <alignment horizontal="justify" vertical="center" wrapText="1"/>
    </xf>
    <xf numFmtId="0" fontId="6" fillId="3" borderId="4" xfId="0" applyFont="1" applyFill="1" applyBorder="1" applyAlignment="1">
      <alignment horizontal="center" vertical="center" wrapText="1"/>
    </xf>
    <xf numFmtId="0" fontId="6" fillId="3" borderId="0" xfId="0" applyFont="1" applyFill="1" applyAlignment="1">
      <alignment horizontal="center" vertical="center" wrapText="1"/>
    </xf>
    <xf numFmtId="3" fontId="6" fillId="4" borderId="6" xfId="0" applyNumberFormat="1" applyFont="1" applyFill="1" applyBorder="1" applyAlignment="1">
      <alignment horizontal="center" vertical="center" wrapText="1"/>
    </xf>
    <xf numFmtId="3" fontId="6" fillId="4" borderId="8" xfId="0" applyNumberFormat="1" applyFont="1" applyFill="1" applyBorder="1" applyAlignment="1">
      <alignment horizontal="center" vertical="center" wrapText="1"/>
    </xf>
    <xf numFmtId="174" fontId="6" fillId="5" borderId="1" xfId="20" applyFont="1" applyFill="1" applyBorder="1" applyAlignment="1">
      <alignment horizontal="center" vertical="center" wrapText="1"/>
    </xf>
    <xf numFmtId="3" fontId="13" fillId="7" borderId="13" xfId="0" applyNumberFormat="1" applyFont="1" applyFill="1" applyBorder="1" applyAlignment="1">
      <alignment horizontal="justify" vertical="center" wrapText="1"/>
    </xf>
    <xf numFmtId="3" fontId="13" fillId="7" borderId="15" xfId="0" applyNumberFormat="1" applyFont="1" applyFill="1" applyBorder="1" applyAlignment="1">
      <alignment horizontal="justify" vertical="center" wrapText="1"/>
    </xf>
    <xf numFmtId="3" fontId="13" fillId="7" borderId="16" xfId="0" applyNumberFormat="1" applyFont="1" applyFill="1" applyBorder="1" applyAlignment="1">
      <alignment horizontal="justify" vertical="center" wrapText="1"/>
    </xf>
    <xf numFmtId="9" fontId="13" fillId="7" borderId="3" xfId="3" applyFont="1" applyFill="1" applyBorder="1" applyAlignment="1">
      <alignment horizontal="center" vertical="center" wrapText="1"/>
    </xf>
    <xf numFmtId="9" fontId="13" fillId="7" borderId="17" xfId="3" applyFont="1" applyFill="1" applyBorder="1" applyAlignment="1">
      <alignment horizontal="center" vertical="center" wrapText="1"/>
    </xf>
    <xf numFmtId="9" fontId="13" fillId="7" borderId="5" xfId="3" applyFont="1" applyFill="1" applyBorder="1" applyAlignment="1">
      <alignment horizontal="center" vertical="center" wrapText="1"/>
    </xf>
    <xf numFmtId="1" fontId="13" fillId="7" borderId="9" xfId="0" applyNumberFormat="1" applyFont="1" applyFill="1" applyBorder="1" applyAlignment="1">
      <alignment horizontal="center" vertical="center" wrapText="1"/>
    </xf>
    <xf numFmtId="1" fontId="13" fillId="7" borderId="18" xfId="0" applyNumberFormat="1" applyFont="1" applyFill="1" applyBorder="1" applyAlignment="1">
      <alignment horizontal="center" vertical="center" wrapText="1"/>
    </xf>
    <xf numFmtId="1" fontId="13" fillId="7" borderId="14" xfId="0" applyNumberFormat="1" applyFont="1" applyFill="1" applyBorder="1" applyAlignment="1">
      <alignment horizontal="center" vertical="center" wrapText="1"/>
    </xf>
    <xf numFmtId="165" fontId="6" fillId="3" borderId="10" xfId="21" applyFont="1" applyFill="1" applyBorder="1" applyAlignment="1">
      <alignment horizontal="center" vertical="center"/>
    </xf>
    <xf numFmtId="165" fontId="6" fillId="3" borderId="11" xfId="21" applyFont="1" applyFill="1" applyBorder="1" applyAlignment="1">
      <alignment horizontal="center" vertical="center"/>
    </xf>
    <xf numFmtId="165" fontId="6" fillId="3" borderId="12" xfId="21" applyFont="1" applyFill="1" applyBorder="1" applyAlignment="1">
      <alignment horizontal="center" vertical="center"/>
    </xf>
    <xf numFmtId="1" fontId="13" fillId="7" borderId="4" xfId="0" applyNumberFormat="1" applyFont="1" applyFill="1" applyBorder="1" applyAlignment="1">
      <alignment horizontal="center" vertical="center" wrapText="1"/>
    </xf>
    <xf numFmtId="1" fontId="13" fillId="7" borderId="0" xfId="0" applyNumberFormat="1" applyFont="1" applyFill="1" applyAlignment="1">
      <alignment horizontal="center" vertical="center" wrapText="1"/>
    </xf>
    <xf numFmtId="1" fontId="13" fillId="7" borderId="2" xfId="0" applyNumberFormat="1" applyFont="1" applyFill="1" applyBorder="1" applyAlignment="1">
      <alignment horizontal="center" vertical="center" wrapText="1"/>
    </xf>
    <xf numFmtId="9" fontId="13" fillId="7" borderId="13" xfId="0" applyNumberFormat="1" applyFont="1" applyFill="1" applyBorder="1" applyAlignment="1">
      <alignment horizontal="center" vertical="center" wrapText="1"/>
    </xf>
    <xf numFmtId="9" fontId="13" fillId="7" borderId="16" xfId="0" applyNumberFormat="1" applyFont="1" applyFill="1" applyBorder="1" applyAlignment="1">
      <alignment horizontal="center" vertical="center" wrapText="1"/>
    </xf>
    <xf numFmtId="0" fontId="13" fillId="7" borderId="3" xfId="0" applyFont="1" applyFill="1" applyBorder="1" applyAlignment="1">
      <alignment horizontal="justify" vertical="center" wrapText="1"/>
    </xf>
    <xf numFmtId="0" fontId="13" fillId="7" borderId="5" xfId="0" applyFont="1" applyFill="1" applyBorder="1" applyAlignment="1">
      <alignment horizontal="justify" vertical="center" wrapText="1"/>
    </xf>
    <xf numFmtId="0" fontId="13" fillId="7" borderId="17" xfId="0" applyFont="1" applyFill="1" applyBorder="1" applyAlignment="1">
      <alignment horizontal="justify" vertical="center" wrapText="1"/>
    </xf>
    <xf numFmtId="0" fontId="13" fillId="7" borderId="1" xfId="0" applyFont="1" applyFill="1" applyBorder="1" applyAlignment="1">
      <alignment horizontal="center"/>
    </xf>
    <xf numFmtId="9" fontId="13" fillId="7" borderId="15" xfId="0" applyNumberFormat="1" applyFont="1" applyFill="1" applyBorder="1" applyAlignment="1">
      <alignment horizontal="center" vertical="center" wrapText="1"/>
    </xf>
    <xf numFmtId="0" fontId="13" fillId="7" borderId="3" xfId="0" applyFont="1" applyFill="1" applyBorder="1" applyAlignment="1">
      <alignment horizontal="center"/>
    </xf>
    <xf numFmtId="0" fontId="13" fillId="7" borderId="17" xfId="0" applyFont="1" applyFill="1" applyBorder="1" applyAlignment="1">
      <alignment horizontal="center"/>
    </xf>
    <xf numFmtId="0" fontId="13" fillId="7" borderId="5" xfId="0" applyFont="1" applyFill="1" applyBorder="1" applyAlignment="1">
      <alignment horizontal="center"/>
    </xf>
    <xf numFmtId="1" fontId="13" fillId="7" borderId="8" xfId="0" applyNumberFormat="1" applyFont="1" applyFill="1" applyBorder="1" applyAlignment="1">
      <alignment horizontal="center" vertical="center" wrapText="1"/>
    </xf>
    <xf numFmtId="3" fontId="13" fillId="7" borderId="1" xfId="0" applyNumberFormat="1" applyFont="1" applyFill="1" applyBorder="1" applyAlignment="1">
      <alignment horizontal="justify" vertical="center" wrapText="1"/>
    </xf>
    <xf numFmtId="9" fontId="13" fillId="7" borderId="6" xfId="3" applyFont="1" applyFill="1" applyBorder="1" applyAlignment="1">
      <alignment horizontal="center" vertical="center" wrapText="1"/>
    </xf>
    <xf numFmtId="167" fontId="13" fillId="7" borderId="13" xfId="0" applyNumberFormat="1" applyFont="1" applyFill="1" applyBorder="1" applyAlignment="1">
      <alignment horizontal="justify" vertical="center" wrapText="1"/>
    </xf>
    <xf numFmtId="167" fontId="13" fillId="7" borderId="15" xfId="0" applyNumberFormat="1" applyFont="1" applyFill="1" applyBorder="1" applyAlignment="1">
      <alignment horizontal="justify" vertical="center" wrapText="1"/>
    </xf>
    <xf numFmtId="0" fontId="13" fillId="0" borderId="13" xfId="0" applyFont="1" applyBorder="1" applyAlignment="1">
      <alignment horizontal="justify" vertical="top" wrapText="1"/>
    </xf>
    <xf numFmtId="0" fontId="13" fillId="0" borderId="15" xfId="0" applyFont="1" applyBorder="1" applyAlignment="1">
      <alignment horizontal="justify" vertical="top" wrapText="1"/>
    </xf>
    <xf numFmtId="170" fontId="13" fillId="7" borderId="13" xfId="0" applyNumberFormat="1" applyFont="1" applyFill="1" applyBorder="1" applyAlignment="1">
      <alignment horizontal="center" vertical="center" wrapText="1"/>
    </xf>
    <xf numFmtId="170" fontId="13" fillId="7" borderId="15" xfId="0" applyNumberFormat="1" applyFont="1" applyFill="1" applyBorder="1" applyAlignment="1">
      <alignment horizontal="center" vertical="center" wrapText="1"/>
    </xf>
    <xf numFmtId="0" fontId="13" fillId="7" borderId="13" xfId="0" applyFont="1" applyFill="1" applyBorder="1" applyAlignment="1">
      <alignment horizontal="justify" vertical="top" wrapText="1"/>
    </xf>
    <xf numFmtId="0" fontId="13" fillId="7" borderId="15" xfId="0" applyFont="1" applyFill="1" applyBorder="1" applyAlignment="1">
      <alignment horizontal="justify" vertical="top" wrapText="1"/>
    </xf>
    <xf numFmtId="0" fontId="13" fillId="7" borderId="16" xfId="0" applyFont="1" applyFill="1" applyBorder="1" applyAlignment="1">
      <alignment horizontal="justify" vertical="top" wrapText="1"/>
    </xf>
    <xf numFmtId="0" fontId="13" fillId="7" borderId="2" xfId="0" applyFont="1" applyFill="1" applyBorder="1" applyAlignment="1">
      <alignment horizontal="center" vertical="center" wrapText="1"/>
    </xf>
    <xf numFmtId="0" fontId="8" fillId="0" borderId="0" xfId="0" applyFont="1" applyBorder="1" applyAlignment="1">
      <alignment horizontal="center" vertical="top" wrapText="1"/>
    </xf>
    <xf numFmtId="0" fontId="18" fillId="0" borderId="0" xfId="0" applyFont="1" applyAlignment="1">
      <alignment horizontal="center" vertical="top" wrapText="1"/>
    </xf>
    <xf numFmtId="0" fontId="5" fillId="24" borderId="1" xfId="0" applyFont="1" applyFill="1" applyBorder="1" applyAlignment="1">
      <alignment horizontal="center" vertical="center" wrapText="1"/>
    </xf>
    <xf numFmtId="0" fontId="5" fillId="24" borderId="1" xfId="0" applyFont="1" applyFill="1" applyBorder="1" applyAlignment="1">
      <alignment horizontal="center" vertical="center"/>
    </xf>
    <xf numFmtId="0" fontId="5" fillId="0" borderId="1" xfId="0" applyFont="1" applyBorder="1" applyAlignment="1">
      <alignment horizontal="justify" vertical="center"/>
    </xf>
    <xf numFmtId="14" fontId="5" fillId="24" borderId="3" xfId="0" applyNumberFormat="1" applyFont="1" applyFill="1" applyBorder="1" applyAlignment="1">
      <alignment horizontal="center" vertical="center" wrapText="1"/>
    </xf>
    <xf numFmtId="14" fontId="5" fillId="24" borderId="9" xfId="0" applyNumberFormat="1" applyFont="1" applyFill="1" applyBorder="1" applyAlignment="1">
      <alignment horizontal="center" vertical="center" wrapText="1"/>
    </xf>
    <xf numFmtId="14" fontId="5" fillId="24" borderId="17" xfId="0" applyNumberFormat="1" applyFont="1" applyFill="1" applyBorder="1" applyAlignment="1">
      <alignment horizontal="center" vertical="center" wrapText="1"/>
    </xf>
    <xf numFmtId="14" fontId="5" fillId="24" borderId="18" xfId="0" applyNumberFormat="1" applyFont="1" applyFill="1" applyBorder="1" applyAlignment="1">
      <alignment horizontal="center" vertical="center" wrapText="1"/>
    </xf>
    <xf numFmtId="14" fontId="5" fillId="24" borderId="5" xfId="0" applyNumberFormat="1" applyFont="1" applyFill="1" applyBorder="1" applyAlignment="1">
      <alignment horizontal="center" vertical="center" wrapText="1"/>
    </xf>
    <xf numFmtId="14" fontId="5" fillId="24" borderId="14" xfId="0" applyNumberFormat="1" applyFont="1" applyFill="1" applyBorder="1" applyAlignment="1">
      <alignment horizontal="center" vertical="center" wrapText="1"/>
    </xf>
    <xf numFmtId="3" fontId="5" fillId="24" borderId="13" xfId="0" applyNumberFormat="1" applyFont="1" applyFill="1" applyBorder="1" applyAlignment="1">
      <alignment horizontal="center" vertical="center" wrapText="1"/>
    </xf>
    <xf numFmtId="3" fontId="5" fillId="24" borderId="15" xfId="0" applyNumberFormat="1" applyFont="1" applyFill="1" applyBorder="1" applyAlignment="1">
      <alignment horizontal="center" vertical="center" wrapText="1"/>
    </xf>
    <xf numFmtId="3" fontId="5" fillId="24" borderId="16" xfId="0" applyNumberFormat="1" applyFont="1" applyFill="1" applyBorder="1" applyAlignment="1">
      <alignment horizontal="center" vertical="center" wrapText="1"/>
    </xf>
    <xf numFmtId="0" fontId="5" fillId="4" borderId="3" xfId="0" applyFont="1" applyFill="1" applyBorder="1" applyAlignment="1">
      <alignment horizontal="center" vertical="center" textRotation="90" wrapText="1"/>
    </xf>
    <xf numFmtId="0" fontId="5" fillId="4" borderId="9" xfId="0" applyFont="1" applyFill="1" applyBorder="1" applyAlignment="1">
      <alignment horizontal="center" vertical="center" textRotation="90" wrapText="1"/>
    </xf>
    <xf numFmtId="0" fontId="5" fillId="4" borderId="5" xfId="0" applyFont="1" applyFill="1" applyBorder="1" applyAlignment="1">
      <alignment horizontal="center" vertical="center" textRotation="90" wrapText="1"/>
    </xf>
    <xf numFmtId="0" fontId="5" fillId="4" borderId="14" xfId="0" applyFont="1" applyFill="1" applyBorder="1" applyAlignment="1">
      <alignment horizontal="center" vertical="center" textRotation="90" wrapText="1"/>
    </xf>
    <xf numFmtId="165" fontId="5" fillId="3" borderId="1" xfId="26" applyFont="1" applyFill="1" applyBorder="1" applyAlignment="1">
      <alignment horizontal="center" vertical="center"/>
    </xf>
    <xf numFmtId="49" fontId="5" fillId="3" borderId="1" xfId="0" applyNumberFormat="1" applyFont="1" applyFill="1" applyBorder="1" applyAlignment="1">
      <alignment horizontal="center" vertical="center" textRotation="90" wrapText="1"/>
    </xf>
    <xf numFmtId="9" fontId="5" fillId="5" borderId="1" xfId="9" applyFont="1" applyFill="1" applyBorder="1" applyAlignment="1">
      <alignment horizontal="center" vertical="center" wrapText="1"/>
    </xf>
    <xf numFmtId="0" fontId="5" fillId="6" borderId="6"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23" borderId="6" xfId="0" applyFont="1" applyFill="1" applyBorder="1" applyAlignment="1">
      <alignment horizontal="left" vertical="center" wrapText="1"/>
    </xf>
    <xf numFmtId="0" fontId="5" fillId="23" borderId="7" xfId="0" applyFont="1" applyFill="1" applyBorder="1" applyAlignment="1">
      <alignment horizontal="left" vertical="center" wrapText="1"/>
    </xf>
    <xf numFmtId="0" fontId="5" fillId="23" borderId="8" xfId="0" applyFont="1" applyFill="1" applyBorder="1" applyAlignment="1">
      <alignment horizontal="left" vertical="center" wrapText="1"/>
    </xf>
    <xf numFmtId="3" fontId="5" fillId="5" borderId="1" xfId="0" applyNumberFormat="1" applyFont="1" applyFill="1" applyBorder="1" applyAlignment="1">
      <alignment horizontal="center" vertical="center" wrapText="1"/>
    </xf>
    <xf numFmtId="3" fontId="5" fillId="24" borderId="1" xfId="0" applyNumberFormat="1" applyFont="1" applyFill="1" applyBorder="1" applyAlignment="1">
      <alignment horizontal="center" vertical="center" wrapText="1"/>
    </xf>
    <xf numFmtId="0" fontId="5" fillId="24" borderId="3" xfId="0" applyFont="1" applyFill="1" applyBorder="1" applyAlignment="1">
      <alignment horizontal="center" vertical="center" wrapText="1"/>
    </xf>
    <xf numFmtId="0" fontId="5" fillId="24" borderId="9" xfId="0" applyFont="1" applyFill="1" applyBorder="1" applyAlignment="1">
      <alignment horizontal="center" vertical="center" wrapText="1"/>
    </xf>
    <xf numFmtId="0" fontId="5" fillId="24" borderId="17" xfId="0" applyFont="1" applyFill="1" applyBorder="1" applyAlignment="1">
      <alignment horizontal="center" vertical="center" wrapText="1"/>
    </xf>
    <xf numFmtId="0" fontId="5" fillId="24" borderId="18" xfId="0" applyFont="1" applyFill="1" applyBorder="1" applyAlignment="1">
      <alignment horizontal="center" vertical="center" wrapText="1"/>
    </xf>
    <xf numFmtId="0" fontId="5" fillId="9" borderId="1" xfId="0" applyFont="1" applyFill="1" applyBorder="1" applyAlignment="1">
      <alignment horizontal="left" vertical="center" wrapText="1"/>
    </xf>
    <xf numFmtId="0" fontId="5" fillId="9" borderId="13" xfId="0" applyFont="1" applyFill="1" applyBorder="1" applyAlignment="1">
      <alignment horizontal="left" vertical="center" wrapText="1"/>
    </xf>
    <xf numFmtId="49" fontId="13" fillId="7" borderId="13" xfId="0" applyNumberFormat="1" applyFont="1" applyFill="1" applyBorder="1" applyAlignment="1">
      <alignment horizontal="center" vertical="center" wrapText="1"/>
    </xf>
    <xf numFmtId="49" fontId="13" fillId="7" borderId="15" xfId="0" applyNumberFormat="1" applyFont="1" applyFill="1" applyBorder="1" applyAlignment="1">
      <alignment horizontal="center" vertical="center" wrapText="1"/>
    </xf>
    <xf numFmtId="0" fontId="13" fillId="0" borderId="13" xfId="1" applyNumberFormat="1" applyFont="1" applyBorder="1" applyAlignment="1">
      <alignment horizontal="center" vertical="center" wrapText="1"/>
    </xf>
    <xf numFmtId="0" fontId="13" fillId="0" borderId="15" xfId="1" applyNumberFormat="1" applyFont="1" applyBorder="1" applyAlignment="1">
      <alignment horizontal="center" vertical="center" wrapText="1"/>
    </xf>
    <xf numFmtId="41" fontId="13" fillId="0" borderId="9" xfId="11" applyFont="1" applyBorder="1" applyAlignment="1">
      <alignment horizontal="center" vertical="center" wrapText="1"/>
    </xf>
    <xf numFmtId="41" fontId="13" fillId="0" borderId="18" xfId="11" applyFont="1" applyBorder="1" applyAlignment="1">
      <alignment horizontal="center" vertical="center" wrapText="1"/>
    </xf>
    <xf numFmtId="41" fontId="13" fillId="0" borderId="13" xfId="11" applyFont="1" applyBorder="1" applyAlignment="1">
      <alignment horizontal="center" vertical="center" wrapText="1"/>
    </xf>
    <xf numFmtId="41" fontId="13" fillId="0" borderId="15" xfId="11" applyFont="1" applyBorder="1" applyAlignment="1">
      <alignment horizontal="center" vertical="center" wrapText="1"/>
    </xf>
    <xf numFmtId="0" fontId="13" fillId="7" borderId="20" xfId="0" applyFont="1" applyFill="1" applyBorder="1" applyAlignment="1">
      <alignment horizontal="justify" vertical="center" wrapText="1"/>
    </xf>
    <xf numFmtId="41" fontId="13" fillId="0" borderId="13" xfId="11" applyFont="1" applyBorder="1" applyAlignment="1">
      <alignment vertical="center" wrapText="1"/>
    </xf>
    <xf numFmtId="41" fontId="13" fillId="0" borderId="15" xfId="11" applyFont="1" applyBorder="1" applyAlignment="1">
      <alignment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49" fontId="13" fillId="7" borderId="16" xfId="0" applyNumberFormat="1" applyFont="1" applyFill="1" applyBorder="1" applyAlignment="1">
      <alignment horizontal="center" vertical="center" wrapText="1"/>
    </xf>
    <xf numFmtId="185" fontId="13" fillId="7" borderId="13" xfId="0" applyNumberFormat="1" applyFont="1" applyFill="1" applyBorder="1" applyAlignment="1">
      <alignment horizontal="center" vertical="center" wrapText="1"/>
    </xf>
    <xf numFmtId="185" fontId="13" fillId="7" borderId="16" xfId="0" applyNumberFormat="1" applyFont="1" applyFill="1" applyBorder="1" applyAlignment="1">
      <alignment horizontal="center" vertical="center" wrapText="1"/>
    </xf>
    <xf numFmtId="171" fontId="13" fillId="7" borderId="13" xfId="3" applyNumberFormat="1" applyFont="1" applyFill="1" applyBorder="1" applyAlignment="1">
      <alignment horizontal="center" vertical="center" wrapText="1"/>
    </xf>
    <xf numFmtId="171" fontId="13" fillId="7" borderId="15" xfId="3" applyNumberFormat="1" applyFont="1" applyFill="1" applyBorder="1" applyAlignment="1">
      <alignment horizontal="center" vertical="center" wrapText="1"/>
    </xf>
    <xf numFmtId="41" fontId="13" fillId="7" borderId="13" xfId="11" applyFont="1" applyFill="1" applyBorder="1" applyAlignment="1">
      <alignment horizontal="center" vertical="center" wrapText="1"/>
    </xf>
    <xf numFmtId="41" fontId="13" fillId="7" borderId="15" xfId="11" applyFont="1" applyFill="1" applyBorder="1" applyAlignment="1">
      <alignment horizontal="center" vertical="center" wrapText="1"/>
    </xf>
    <xf numFmtId="41" fontId="13" fillId="7" borderId="13" xfId="11" applyFont="1" applyFill="1" applyBorder="1" applyAlignment="1">
      <alignment vertical="center" wrapText="1"/>
    </xf>
    <xf numFmtId="41" fontId="13" fillId="7" borderId="15" xfId="11" applyFont="1" applyFill="1" applyBorder="1" applyAlignment="1">
      <alignment vertical="center" wrapText="1"/>
    </xf>
    <xf numFmtId="41" fontId="13" fillId="7" borderId="18" xfId="11" applyFont="1" applyFill="1" applyBorder="1" applyAlignment="1">
      <alignment horizontal="center" vertical="center" wrapText="1"/>
    </xf>
    <xf numFmtId="0" fontId="5" fillId="7" borderId="1" xfId="0" applyFont="1" applyFill="1" applyBorder="1" applyAlignment="1">
      <alignment horizontal="center" vertical="center"/>
    </xf>
    <xf numFmtId="0" fontId="13" fillId="0" borderId="0" xfId="0" applyFont="1" applyAlignment="1">
      <alignment horizontal="center"/>
    </xf>
    <xf numFmtId="171" fontId="13" fillId="7" borderId="16" xfId="3" applyNumberFormat="1" applyFont="1" applyFill="1" applyBorder="1" applyAlignment="1">
      <alignment horizontal="center" vertical="center" wrapText="1"/>
    </xf>
    <xf numFmtId="1" fontId="5" fillId="0" borderId="1" xfId="0" applyNumberFormat="1" applyFont="1" applyBorder="1" applyAlignment="1">
      <alignment horizontal="center"/>
    </xf>
    <xf numFmtId="9" fontId="3" fillId="7" borderId="13" xfId="7" applyFont="1" applyFill="1" applyBorder="1" applyAlignment="1">
      <alignment horizontal="center" vertical="center"/>
    </xf>
    <xf numFmtId="9" fontId="3" fillId="7" borderId="16" xfId="7" applyFont="1" applyFill="1" applyBorder="1" applyAlignment="1">
      <alignment horizontal="center" vertical="center"/>
    </xf>
    <xf numFmtId="9" fontId="3" fillId="7" borderId="15" xfId="7" applyFont="1" applyFill="1" applyBorder="1" applyAlignment="1">
      <alignment horizontal="center" vertical="center"/>
    </xf>
    <xf numFmtId="188" fontId="3" fillId="7" borderId="1" xfId="2" applyNumberFormat="1" applyFont="1" applyFill="1" applyBorder="1" applyAlignment="1">
      <alignment horizontal="center" vertical="center"/>
    </xf>
    <xf numFmtId="14" fontId="13" fillId="7" borderId="15" xfId="0" applyNumberFormat="1" applyFont="1" applyFill="1" applyBorder="1" applyAlignment="1">
      <alignment horizontal="center" vertical="center"/>
    </xf>
    <xf numFmtId="2" fontId="3" fillId="0" borderId="13" xfId="0" applyNumberFormat="1" applyFont="1" applyBorder="1" applyAlignment="1">
      <alignment horizontal="justify" vertical="center" wrapText="1"/>
    </xf>
    <xf numFmtId="2" fontId="3" fillId="0" borderId="15" xfId="0" applyNumberFormat="1" applyFont="1" applyBorder="1" applyAlignment="1">
      <alignment horizontal="justify" vertical="center" wrapText="1"/>
    </xf>
    <xf numFmtId="2" fontId="3" fillId="7" borderId="13" xfId="0" applyNumberFormat="1" applyFont="1" applyFill="1" applyBorder="1" applyAlignment="1">
      <alignment horizontal="justify" vertical="center" wrapText="1"/>
    </xf>
    <xf numFmtId="2" fontId="3" fillId="7" borderId="16" xfId="0" applyNumberFormat="1" applyFont="1" applyFill="1" applyBorder="1" applyAlignment="1">
      <alignment horizontal="justify" vertical="center" wrapText="1"/>
    </xf>
    <xf numFmtId="9" fontId="3" fillId="7" borderId="13" xfId="7" applyFont="1" applyFill="1" applyBorder="1" applyAlignment="1">
      <alignment horizontal="center" vertical="center" wrapText="1"/>
    </xf>
    <xf numFmtId="9" fontId="3" fillId="7" borderId="15" xfId="7" applyFont="1" applyFill="1" applyBorder="1" applyAlignment="1">
      <alignment horizontal="center" vertical="center" wrapText="1"/>
    </xf>
    <xf numFmtId="0" fontId="6" fillId="0" borderId="0" xfId="0" applyFont="1" applyAlignment="1">
      <alignment horizontal="center" vertical="center" wrapText="1"/>
    </xf>
    <xf numFmtId="0" fontId="6" fillId="0" borderId="1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4" xfId="0" applyFont="1" applyBorder="1" applyAlignment="1">
      <alignment horizontal="center" vertical="center" wrapText="1"/>
    </xf>
    <xf numFmtId="165" fontId="7" fillId="3" borderId="1" xfId="21" applyFont="1" applyFill="1" applyBorder="1" applyAlignment="1">
      <alignment horizontal="center" vertical="center"/>
    </xf>
    <xf numFmtId="167" fontId="5" fillId="3" borderId="1" xfId="0" applyNumberFormat="1" applyFont="1" applyFill="1" applyBorder="1" applyAlignment="1">
      <alignment horizontal="center" vertical="center" wrapText="1"/>
    </xf>
  </cellXfs>
  <cellStyles count="29">
    <cellStyle name="Excel Built-in Normal" xfId="13"/>
    <cellStyle name="Excel Built-in Normal 2" xfId="17"/>
    <cellStyle name="Millares" xfId="1" builtinId="3"/>
    <cellStyle name="Millares [0] 2" xfId="24"/>
    <cellStyle name="Millares [0] 3" xfId="11"/>
    <cellStyle name="Millares 2" xfId="10"/>
    <cellStyle name="Millares 2 2" xfId="6"/>
    <cellStyle name="Millares 3 2" xfId="19"/>
    <cellStyle name="Millares 3 3" xfId="25"/>
    <cellStyle name="Millares 4" xfId="22"/>
    <cellStyle name="Moneda" xfId="2" builtinId="4"/>
    <cellStyle name="Moneda [0] 2" xfId="18"/>
    <cellStyle name="Moneda [0] 2 3" xfId="8"/>
    <cellStyle name="Moneda [0] 3" xfId="20"/>
    <cellStyle name="Normal" xfId="0" builtinId="0"/>
    <cellStyle name="Normal 2" xfId="4"/>
    <cellStyle name="Normal 2 2" xfId="12"/>
    <cellStyle name="Normal 2 2 2" xfId="21"/>
    <cellStyle name="Normal 2 2 2 2" xfId="26"/>
    <cellStyle name="Normal 2 3 2" xfId="23"/>
    <cellStyle name="Normal 3" xfId="14"/>
    <cellStyle name="Normal 3 2" xfId="28"/>
    <cellStyle name="Normal 4" xfId="15"/>
    <cellStyle name="Normal 7" xfId="16"/>
    <cellStyle name="Porcentaje" xfId="3" builtinId="5"/>
    <cellStyle name="Porcentaje 2 2" xfId="9"/>
    <cellStyle name="Porcentaje 2 2 2" xfId="5"/>
    <cellStyle name="Porcentaje 2 3" xfId="7"/>
    <cellStyle name="Porcentual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27213</xdr:colOff>
      <xdr:row>0</xdr:row>
      <xdr:rowOff>176893</xdr:rowOff>
    </xdr:from>
    <xdr:ext cx="993321" cy="925286"/>
    <xdr:pic>
      <xdr:nvPicPr>
        <xdr:cNvPr id="2" name="Imagen 1" descr="C:\Users\AUXPLANEACION03\Desktop\Gobernacion_del_quindio.jpg">
          <a:extLst>
            <a:ext uri="{FF2B5EF4-FFF2-40B4-BE49-F238E27FC236}">
              <a16:creationId xmlns:a16="http://schemas.microsoft.com/office/drawing/2014/main" xmlns=""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388" y="176893"/>
          <a:ext cx="993321" cy="925286"/>
        </a:xfrm>
        <a:prstGeom prst="rect">
          <a:avLst/>
        </a:prstGeom>
        <a:noFill/>
        <a:ln>
          <a:noFill/>
        </a:ln>
      </xdr:spPr>
    </xdr:pic>
    <xdr:clientData/>
  </xdr:oneCellAnchor>
  <xdr:oneCellAnchor>
    <xdr:from>
      <xdr:col>1</xdr:col>
      <xdr:colOff>27213</xdr:colOff>
      <xdr:row>0</xdr:row>
      <xdr:rowOff>176893</xdr:rowOff>
    </xdr:from>
    <xdr:ext cx="993321" cy="925286"/>
    <xdr:pic>
      <xdr:nvPicPr>
        <xdr:cNvPr id="3" name="Imagen 2" descr="C:\Users\AUXPLANEACION03\Desktop\Gobernacion_del_quindio.jpg">
          <a:extLst>
            <a:ext uri="{FF2B5EF4-FFF2-40B4-BE49-F238E27FC236}">
              <a16:creationId xmlns=""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388" y="176893"/>
          <a:ext cx="993321" cy="925286"/>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389163</xdr:colOff>
      <xdr:row>0</xdr:row>
      <xdr:rowOff>72118</xdr:rowOff>
    </xdr:from>
    <xdr:ext cx="993321" cy="925286"/>
    <xdr:pic>
      <xdr:nvPicPr>
        <xdr:cNvPr id="2" name="Imagen 1" descr="C:\Users\AUXPLANEACION03\Desktop\Gobernacion_del_quindio.jpg">
          <a:extLst>
            <a:ext uri="{FF2B5EF4-FFF2-40B4-BE49-F238E27FC236}">
              <a16:creationId xmlns:a16="http://schemas.microsoft.com/office/drawing/2014/main" xmlns="" id="{2875E438-5680-41B3-8673-CCF2DFDDE4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9163" y="72118"/>
          <a:ext cx="993321" cy="925286"/>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0</xdr:row>
      <xdr:rowOff>0</xdr:rowOff>
    </xdr:from>
    <xdr:to>
      <xdr:col>2</xdr:col>
      <xdr:colOff>712982</xdr:colOff>
      <xdr:row>3</xdr:row>
      <xdr:rowOff>204107</xdr:rowOff>
    </xdr:to>
    <xdr:pic>
      <xdr:nvPicPr>
        <xdr:cNvPr id="2" name="Imagen 1" descr="C:\Users\AUXPLANEACION03\Desktop\Gobernacion_del_quindio.jpg">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0"/>
          <a:ext cx="1474982" cy="1004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274864</xdr:colOff>
      <xdr:row>0</xdr:row>
      <xdr:rowOff>0</xdr:rowOff>
    </xdr:from>
    <xdr:to>
      <xdr:col>1</xdr:col>
      <xdr:colOff>158750</xdr:colOff>
      <xdr:row>3</xdr:row>
      <xdr:rowOff>171450</xdr:rowOff>
    </xdr:to>
    <xdr:pic>
      <xdr:nvPicPr>
        <xdr:cNvPr id="2" name="Imagen 1" descr="C:\Users\AUXPLANEACION03\Desktop\Gobernacion_del_quindio.jpg">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64" y="0"/>
          <a:ext cx="893536"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217714</xdr:colOff>
      <xdr:row>0</xdr:row>
      <xdr:rowOff>95250</xdr:rowOff>
    </xdr:from>
    <xdr:ext cx="934811" cy="915761"/>
    <xdr:pic>
      <xdr:nvPicPr>
        <xdr:cNvPr id="2" name="Imagen 1" descr="C:\Users\AUXPLANEACION03\Desktop\Gobernacion_del_quindio.jpg">
          <a:extLst>
            <a:ext uri="{FF2B5EF4-FFF2-40B4-BE49-F238E27FC236}">
              <a16:creationId xmlns="" xmlns:a16="http://schemas.microsoft.com/office/drawing/2014/main" id="{4664D591-6C33-42BF-8513-6F4379C7DE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714" y="95250"/>
          <a:ext cx="934811" cy="915761"/>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laneacion%20Departamental%202019\seguimiento%20plan%20de%20Desarrollo\seguimiento%20trimestre%20II\071619%20AGUAS%20INFRAESTRUCTURA%20SEGUIMIENTO%20A%20JUNIO%2030%202019%20AND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UXTURISMO01.DQUINDIO/Downloads/SEG.%20TURISMO%20I%20Y%20C.%20A%20MARZO%2031-2019%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OBERNACION%20QUINDIO%202019/SEGUIMIENTO%20PDD%202019/II%20TRIMESTRE2019/SGTO%20II%20TRIMESTRE%202019%20TRABAJO/SGTO%20SECRETARIAS%20JUNIO%202019/PROMOTORA/SGTO%20PROMOTORA%20JUNIO%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EGO%20RAMIREZ/Dropbox/Edades_Simples_1985-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ROMISOS"/>
      <sheetName val="MP INFRA"/>
      <sheetName val="Seguimiento Plan Accion"/>
      <sheetName val="Gestion de Recursos"/>
      <sheetName val="Inversion Entes Territoriales"/>
      <sheetName val="EJECUCION HACIENDA"/>
      <sheetName val="TD"/>
    </sheetNames>
    <sheetDataSet>
      <sheetData sheetId="0"/>
      <sheetData sheetId="1"/>
      <sheetData sheetId="2"/>
      <sheetData sheetId="3"/>
      <sheetData sheetId="4"/>
      <sheetData sheetId="5">
        <row r="6">
          <cell r="H6">
            <v>432485798</v>
          </cell>
        </row>
        <row r="12">
          <cell r="H12">
            <v>1091680073</v>
          </cell>
        </row>
        <row r="14">
          <cell r="H14">
            <v>80000000</v>
          </cell>
        </row>
        <row r="16">
          <cell r="H16">
            <v>230000000</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y Proyectos"/>
      <sheetName val="Seguimiento P.A."/>
      <sheetName val="Inversión Mpios"/>
      <sheetName val="Gestión Recursos"/>
      <sheetName val="Plan de Acción"/>
      <sheetName val="POAI"/>
      <sheetName val="Presupuesto Gastos"/>
    </sheetNames>
    <sheetDataSet>
      <sheetData sheetId="0">
        <row r="33">
          <cell r="O33">
            <v>119250000</v>
          </cell>
          <cell r="P33">
            <v>103530000</v>
          </cell>
        </row>
        <row r="34">
          <cell r="O34">
            <v>29800000</v>
          </cell>
          <cell r="P34">
            <v>13250000</v>
          </cell>
        </row>
        <row r="36">
          <cell r="O36">
            <v>248604326</v>
          </cell>
        </row>
        <row r="38">
          <cell r="O38">
            <v>528998611</v>
          </cell>
        </row>
        <row r="39">
          <cell r="O39">
            <v>72966900</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PROMOTORA"/>
      <sheetName val="SEGUIMIENTO PLAN DE ACCIÓN"/>
      <sheetName val="PLAN DE ACCIÓN"/>
      <sheetName val="POAI JUN 30"/>
    </sheetNames>
    <sheetDataSet>
      <sheetData sheetId="0">
        <row r="16">
          <cell r="J16">
            <v>2</v>
          </cell>
          <cell r="O16">
            <v>290660276</v>
          </cell>
          <cell r="P16">
            <v>111281534.95999999</v>
          </cell>
          <cell r="Q16">
            <v>111281534.95999999</v>
          </cell>
        </row>
        <row r="17">
          <cell r="O17">
            <v>23256016</v>
          </cell>
        </row>
        <row r="18">
          <cell r="J18">
            <v>4</v>
          </cell>
          <cell r="O18">
            <v>573181075</v>
          </cell>
          <cell r="P18">
            <v>444587515.625</v>
          </cell>
          <cell r="Q18">
            <v>357252434.59000003</v>
          </cell>
        </row>
        <row r="19">
          <cell r="J19">
            <v>1</v>
          </cell>
          <cell r="O19">
            <v>573181075</v>
          </cell>
          <cell r="P19">
            <v>82638891.155000001</v>
          </cell>
          <cell r="Q19">
            <v>76544338.980000004</v>
          </cell>
        </row>
        <row r="20">
          <cell r="J20">
            <v>4</v>
          </cell>
          <cell r="O20">
            <v>572320553</v>
          </cell>
          <cell r="P20">
            <v>409400517.42000002</v>
          </cell>
          <cell r="Q20">
            <v>263155470.13</v>
          </cell>
        </row>
        <row r="21">
          <cell r="O21">
            <v>23000000</v>
          </cell>
        </row>
        <row r="22">
          <cell r="O22">
            <v>9000000</v>
          </cell>
          <cell r="P22">
            <v>9000000</v>
          </cell>
          <cell r="Q22">
            <v>9000000</v>
          </cell>
        </row>
        <row r="23">
          <cell r="O23">
            <v>573181075</v>
          </cell>
          <cell r="P23">
            <v>238961684.34</v>
          </cell>
          <cell r="Q23">
            <v>237820664.24000001</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s de edad"/>
      <sheetName val="Edades simples Total"/>
      <sheetName val="Mpios creados &gt; 1985"/>
      <sheetName val="Hoja1"/>
    </sheetNames>
    <sheetDataSet>
      <sheetData sheetId="0" refreshError="1"/>
      <sheetData sheetId="1" refreshError="1"/>
      <sheetData sheetId="2" refreshError="1"/>
      <sheetData sheetId="3" refreshError="1">
        <row r="11">
          <cell r="H11">
            <v>111093.8</v>
          </cell>
        </row>
        <row r="12">
          <cell r="D12">
            <v>271068.87199999997</v>
          </cell>
          <cell r="E12">
            <v>284400.12800000003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S33"/>
  <sheetViews>
    <sheetView showGridLines="0" tabSelected="1" zoomScale="60" zoomScaleNormal="60" workbookViewId="0">
      <selection activeCell="K7" sqref="K7:K12"/>
    </sheetView>
  </sheetViews>
  <sheetFormatPr baseColWidth="10" defaultColWidth="9" defaultRowHeight="15" x14ac:dyDescent="0.2"/>
  <cols>
    <col min="1" max="1" width="16.5703125" style="2" customWidth="1"/>
    <col min="2" max="2" width="9" style="2"/>
    <col min="3" max="3" width="11.85546875" style="2" customWidth="1"/>
    <col min="4" max="4" width="16.5703125" style="2" customWidth="1"/>
    <col min="5" max="6" width="9" style="2"/>
    <col min="7" max="7" width="12.28515625" style="2" customWidth="1"/>
    <col min="8" max="8" width="9" style="2"/>
    <col min="9" max="9" width="16.42578125" style="2" customWidth="1"/>
    <col min="10" max="10" width="18.28515625" style="647" customWidth="1"/>
    <col min="11" max="11" width="28.7109375" style="647" customWidth="1"/>
    <col min="12" max="12" width="21" style="647" customWidth="1"/>
    <col min="13" max="14" width="17.28515625" style="647" customWidth="1"/>
    <col min="15" max="15" width="41.42578125" style="647" customWidth="1"/>
    <col min="16" max="16" width="26.5703125" style="647" customWidth="1"/>
    <col min="17" max="17" width="30.5703125" style="647" customWidth="1"/>
    <col min="18" max="18" width="20.28515625" style="648" customWidth="1"/>
    <col min="19" max="19" width="27.28515625" style="647" bestFit="1" customWidth="1"/>
    <col min="20" max="20" width="43.28515625" style="647" customWidth="1"/>
    <col min="21" max="21" width="62" style="647" customWidth="1"/>
    <col min="22" max="22" width="53.28515625" style="647" customWidth="1"/>
    <col min="23" max="23" width="27.7109375" style="2" bestFit="1" customWidth="1"/>
    <col min="24" max="25" width="27.7109375" style="2" customWidth="1"/>
    <col min="26" max="26" width="15.7109375" style="2" customWidth="1"/>
    <col min="27" max="27" width="22.5703125" style="2" customWidth="1"/>
    <col min="28" max="28" width="10.85546875" style="2" bestFit="1" customWidth="1"/>
    <col min="29" max="29" width="14.140625" style="2" customWidth="1"/>
    <col min="30" max="30" width="13.7109375" style="2" bestFit="1" customWidth="1"/>
    <col min="31" max="31" width="13.140625" style="2" customWidth="1"/>
    <col min="32" max="32" width="12" style="2" customWidth="1"/>
    <col min="33" max="33" width="11.28515625" style="2" customWidth="1"/>
    <col min="34" max="34" width="11.5703125" style="2" customWidth="1"/>
    <col min="35" max="35" width="12.28515625" style="2" customWidth="1"/>
    <col min="36" max="36" width="13.7109375" style="2" customWidth="1"/>
    <col min="37" max="37" width="13.5703125" style="2" customWidth="1"/>
    <col min="38" max="38" width="12.5703125" style="2" customWidth="1"/>
    <col min="39" max="39" width="11.85546875" style="2" customWidth="1"/>
    <col min="40" max="40" width="11.140625" style="2" customWidth="1"/>
    <col min="41" max="41" width="12.140625" style="2" customWidth="1"/>
    <col min="42" max="42" width="13.28515625" style="2" customWidth="1"/>
    <col min="43" max="43" width="11.140625" style="2" customWidth="1"/>
    <col min="44" max="44" width="13.28515625" style="2" customWidth="1"/>
    <col min="45" max="45" width="11.42578125" style="2" customWidth="1"/>
    <col min="46" max="46" width="11.5703125" style="2" customWidth="1"/>
    <col min="47" max="51" width="9" style="2"/>
    <col min="52" max="52" width="12.28515625" style="2" customWidth="1"/>
    <col min="53" max="53" width="9" style="2"/>
    <col min="54" max="54" width="11.140625" style="2" customWidth="1"/>
    <col min="55" max="55" width="9" style="2"/>
    <col min="56" max="56" width="13" style="2" customWidth="1"/>
    <col min="57" max="57" width="9" style="2"/>
    <col min="58" max="59" width="13.7109375" style="2" customWidth="1"/>
    <col min="60" max="60" width="21.140625" style="2" customWidth="1"/>
    <col min="61" max="61" width="30.85546875" style="2" customWidth="1"/>
    <col min="62" max="62" width="30.140625" style="2" customWidth="1"/>
    <col min="63" max="63" width="25.42578125" style="650" customWidth="1"/>
    <col min="64" max="64" width="27.5703125" style="2" customWidth="1"/>
    <col min="65" max="65" width="35.5703125" style="2" customWidth="1"/>
    <col min="66" max="67" width="14.28515625" style="2" customWidth="1"/>
    <col min="68" max="69" width="17.140625" style="2" customWidth="1"/>
    <col min="70" max="70" width="27.140625" style="2" customWidth="1"/>
    <col min="71" max="16384" width="9" style="2"/>
  </cols>
  <sheetData>
    <row r="1" spans="1:71" ht="15" customHeight="1" x14ac:dyDescent="0.25">
      <c r="A1" s="2636" t="s">
        <v>448</v>
      </c>
      <c r="B1" s="2637"/>
      <c r="C1" s="2637"/>
      <c r="D1" s="2637"/>
      <c r="E1" s="2637"/>
      <c r="F1" s="2637"/>
      <c r="G1" s="2637"/>
      <c r="H1" s="2637"/>
      <c r="I1" s="2637"/>
      <c r="J1" s="2637"/>
      <c r="K1" s="2637"/>
      <c r="L1" s="2637"/>
      <c r="M1" s="2637"/>
      <c r="N1" s="2637"/>
      <c r="O1" s="2637"/>
      <c r="P1" s="2637"/>
      <c r="Q1" s="2637"/>
      <c r="R1" s="2637"/>
      <c r="S1" s="2637"/>
      <c r="T1" s="2637"/>
      <c r="U1" s="2637"/>
      <c r="V1" s="2637"/>
      <c r="W1" s="2637"/>
      <c r="X1" s="2637"/>
      <c r="Y1" s="2637"/>
      <c r="Z1" s="2637"/>
      <c r="AA1" s="2637"/>
      <c r="AB1" s="2637"/>
      <c r="AC1" s="2637"/>
      <c r="AD1" s="2637"/>
      <c r="AE1" s="2637"/>
      <c r="AF1" s="2637"/>
      <c r="AG1" s="2637"/>
      <c r="AH1" s="2637"/>
      <c r="AI1" s="2637"/>
      <c r="AJ1" s="2637"/>
      <c r="AK1" s="2637"/>
      <c r="AL1" s="2637"/>
      <c r="AM1" s="2637"/>
      <c r="AN1" s="2637"/>
      <c r="AO1" s="2637"/>
      <c r="AP1" s="2637"/>
      <c r="AQ1" s="2637"/>
      <c r="AR1" s="2637"/>
      <c r="AS1" s="2637"/>
      <c r="AT1" s="2637"/>
      <c r="AU1" s="2637"/>
      <c r="AV1" s="2637"/>
      <c r="AW1" s="2637"/>
      <c r="AX1" s="2637"/>
      <c r="AY1" s="2637"/>
      <c r="AZ1" s="2637"/>
      <c r="BA1" s="2637"/>
      <c r="BB1" s="2637"/>
      <c r="BC1" s="2637"/>
      <c r="BD1" s="2637"/>
      <c r="BE1" s="2637"/>
      <c r="BF1" s="2637"/>
      <c r="BG1" s="2637"/>
      <c r="BH1" s="2637"/>
      <c r="BI1" s="2637"/>
      <c r="BJ1" s="2637"/>
      <c r="BK1" s="2637"/>
      <c r="BL1" s="2637"/>
      <c r="BM1" s="2637"/>
      <c r="BN1" s="2637"/>
      <c r="BO1" s="2637"/>
      <c r="BP1" s="2638"/>
      <c r="BQ1" s="3" t="s">
        <v>1</v>
      </c>
      <c r="BR1" s="4" t="s">
        <v>2</v>
      </c>
    </row>
    <row r="2" spans="1:71" ht="16.5" customHeight="1" x14ac:dyDescent="0.25">
      <c r="A2" s="2636"/>
      <c r="B2" s="2637"/>
      <c r="C2" s="2637"/>
      <c r="D2" s="2637"/>
      <c r="E2" s="2637"/>
      <c r="F2" s="2637"/>
      <c r="G2" s="2637"/>
      <c r="H2" s="2637"/>
      <c r="I2" s="2637"/>
      <c r="J2" s="2637"/>
      <c r="K2" s="2637"/>
      <c r="L2" s="2637"/>
      <c r="M2" s="2637"/>
      <c r="N2" s="2637"/>
      <c r="O2" s="2637"/>
      <c r="P2" s="2637"/>
      <c r="Q2" s="2637"/>
      <c r="R2" s="2637"/>
      <c r="S2" s="2637"/>
      <c r="T2" s="2637"/>
      <c r="U2" s="2637"/>
      <c r="V2" s="2637"/>
      <c r="W2" s="2637"/>
      <c r="X2" s="2637"/>
      <c r="Y2" s="2637"/>
      <c r="Z2" s="2637"/>
      <c r="AA2" s="2637"/>
      <c r="AB2" s="2637"/>
      <c r="AC2" s="2637"/>
      <c r="AD2" s="2637"/>
      <c r="AE2" s="2637"/>
      <c r="AF2" s="2637"/>
      <c r="AG2" s="2637"/>
      <c r="AH2" s="2637"/>
      <c r="AI2" s="2637"/>
      <c r="AJ2" s="2637"/>
      <c r="AK2" s="2637"/>
      <c r="AL2" s="2637"/>
      <c r="AM2" s="2637"/>
      <c r="AN2" s="2637"/>
      <c r="AO2" s="2637"/>
      <c r="AP2" s="2637"/>
      <c r="AQ2" s="2637"/>
      <c r="AR2" s="2637"/>
      <c r="AS2" s="2637"/>
      <c r="AT2" s="2637"/>
      <c r="AU2" s="2637"/>
      <c r="AV2" s="2637"/>
      <c r="AW2" s="2637"/>
      <c r="AX2" s="2637"/>
      <c r="AY2" s="2637"/>
      <c r="AZ2" s="2637"/>
      <c r="BA2" s="2637"/>
      <c r="BB2" s="2637"/>
      <c r="BC2" s="2637"/>
      <c r="BD2" s="2637"/>
      <c r="BE2" s="2637"/>
      <c r="BF2" s="2637"/>
      <c r="BG2" s="2637"/>
      <c r="BH2" s="2637"/>
      <c r="BI2" s="2637"/>
      <c r="BJ2" s="2637"/>
      <c r="BK2" s="2637"/>
      <c r="BL2" s="2637"/>
      <c r="BM2" s="2637"/>
      <c r="BN2" s="2637"/>
      <c r="BO2" s="2637"/>
      <c r="BP2" s="2638"/>
      <c r="BQ2" s="5" t="s">
        <v>3</v>
      </c>
      <c r="BR2" s="6">
        <v>6</v>
      </c>
    </row>
    <row r="3" spans="1:71" ht="20.25" customHeight="1" x14ac:dyDescent="0.25">
      <c r="A3" s="2636"/>
      <c r="B3" s="2637"/>
      <c r="C3" s="2637"/>
      <c r="D3" s="2637"/>
      <c r="E3" s="2637"/>
      <c r="F3" s="2637"/>
      <c r="G3" s="2637"/>
      <c r="H3" s="2637"/>
      <c r="I3" s="2637"/>
      <c r="J3" s="2637"/>
      <c r="K3" s="2637"/>
      <c r="L3" s="2637"/>
      <c r="M3" s="2637"/>
      <c r="N3" s="2637"/>
      <c r="O3" s="2637"/>
      <c r="P3" s="2637"/>
      <c r="Q3" s="2637"/>
      <c r="R3" s="2637"/>
      <c r="S3" s="2637"/>
      <c r="T3" s="2637"/>
      <c r="U3" s="2637"/>
      <c r="V3" s="2637"/>
      <c r="W3" s="2637"/>
      <c r="X3" s="2637"/>
      <c r="Y3" s="2637"/>
      <c r="Z3" s="2637"/>
      <c r="AA3" s="2637"/>
      <c r="AB3" s="2637"/>
      <c r="AC3" s="2637"/>
      <c r="AD3" s="2637"/>
      <c r="AE3" s="2637"/>
      <c r="AF3" s="2637"/>
      <c r="AG3" s="2637"/>
      <c r="AH3" s="2637"/>
      <c r="AI3" s="2637"/>
      <c r="AJ3" s="2637"/>
      <c r="AK3" s="2637"/>
      <c r="AL3" s="2637"/>
      <c r="AM3" s="2637"/>
      <c r="AN3" s="2637"/>
      <c r="AO3" s="2637"/>
      <c r="AP3" s="2637"/>
      <c r="AQ3" s="2637"/>
      <c r="AR3" s="2637"/>
      <c r="AS3" s="2637"/>
      <c r="AT3" s="2637"/>
      <c r="AU3" s="2637"/>
      <c r="AV3" s="2637"/>
      <c r="AW3" s="2637"/>
      <c r="AX3" s="2637"/>
      <c r="AY3" s="2637"/>
      <c r="AZ3" s="2637"/>
      <c r="BA3" s="2637"/>
      <c r="BB3" s="2637"/>
      <c r="BC3" s="2637"/>
      <c r="BD3" s="2637"/>
      <c r="BE3" s="2637"/>
      <c r="BF3" s="2637"/>
      <c r="BG3" s="2637"/>
      <c r="BH3" s="2637"/>
      <c r="BI3" s="2637"/>
      <c r="BJ3" s="2637"/>
      <c r="BK3" s="2637"/>
      <c r="BL3" s="2637"/>
      <c r="BM3" s="2637"/>
      <c r="BN3" s="2637"/>
      <c r="BO3" s="2637"/>
      <c r="BP3" s="2638"/>
      <c r="BQ3" s="3" t="s">
        <v>4</v>
      </c>
      <c r="BR3" s="7" t="s">
        <v>5</v>
      </c>
    </row>
    <row r="4" spans="1:71" ht="15" customHeight="1" x14ac:dyDescent="0.2">
      <c r="A4" s="2639"/>
      <c r="B4" s="2640"/>
      <c r="C4" s="2640"/>
      <c r="D4" s="2640"/>
      <c r="E4" s="2640"/>
      <c r="F4" s="2640"/>
      <c r="G4" s="2640"/>
      <c r="H4" s="2640"/>
      <c r="I4" s="2640"/>
      <c r="J4" s="2640"/>
      <c r="K4" s="2640"/>
      <c r="L4" s="2640"/>
      <c r="M4" s="2640"/>
      <c r="N4" s="2640"/>
      <c r="O4" s="2640"/>
      <c r="P4" s="2640"/>
      <c r="Q4" s="2640"/>
      <c r="R4" s="2640"/>
      <c r="S4" s="2640"/>
      <c r="T4" s="2640"/>
      <c r="U4" s="2640"/>
      <c r="V4" s="2640"/>
      <c r="W4" s="2640"/>
      <c r="X4" s="2640"/>
      <c r="Y4" s="2640"/>
      <c r="Z4" s="2640"/>
      <c r="AA4" s="2640"/>
      <c r="AB4" s="2640"/>
      <c r="AC4" s="2640"/>
      <c r="AD4" s="2640"/>
      <c r="AE4" s="2640"/>
      <c r="AF4" s="2640"/>
      <c r="AG4" s="2640"/>
      <c r="AH4" s="2640"/>
      <c r="AI4" s="2640"/>
      <c r="AJ4" s="2640"/>
      <c r="AK4" s="2640"/>
      <c r="AL4" s="2640"/>
      <c r="AM4" s="2640"/>
      <c r="AN4" s="2640"/>
      <c r="AO4" s="2640"/>
      <c r="AP4" s="2640"/>
      <c r="AQ4" s="2640"/>
      <c r="AR4" s="2640"/>
      <c r="AS4" s="2640"/>
      <c r="AT4" s="2640"/>
      <c r="AU4" s="2640"/>
      <c r="AV4" s="2640"/>
      <c r="AW4" s="2640"/>
      <c r="AX4" s="2640"/>
      <c r="AY4" s="2640"/>
      <c r="AZ4" s="2640"/>
      <c r="BA4" s="2640"/>
      <c r="BB4" s="2640"/>
      <c r="BC4" s="2640"/>
      <c r="BD4" s="2640"/>
      <c r="BE4" s="2640"/>
      <c r="BF4" s="2640"/>
      <c r="BG4" s="2640"/>
      <c r="BH4" s="2640"/>
      <c r="BI4" s="2640"/>
      <c r="BJ4" s="2640"/>
      <c r="BK4" s="2640"/>
      <c r="BL4" s="2640"/>
      <c r="BM4" s="2640"/>
      <c r="BN4" s="2640"/>
      <c r="BO4" s="2640"/>
      <c r="BP4" s="2641"/>
      <c r="BQ4" s="3" t="s">
        <v>6</v>
      </c>
      <c r="BR4" s="10" t="s">
        <v>7</v>
      </c>
    </row>
    <row r="5" spans="1:71" ht="21" customHeight="1" x14ac:dyDescent="0.2">
      <c r="A5" s="2642" t="s">
        <v>8</v>
      </c>
      <c r="B5" s="2642"/>
      <c r="C5" s="2642"/>
      <c r="D5" s="2642"/>
      <c r="E5" s="2642"/>
      <c r="F5" s="2642"/>
      <c r="G5" s="2642"/>
      <c r="H5" s="2642"/>
      <c r="I5" s="2642"/>
      <c r="J5" s="2642"/>
      <c r="K5" s="2642"/>
      <c r="L5" s="2642"/>
      <c r="M5" s="2642"/>
      <c r="N5" s="11"/>
      <c r="O5" s="2644" t="s">
        <v>9</v>
      </c>
      <c r="P5" s="2644"/>
      <c r="Q5" s="2644"/>
      <c r="R5" s="2644"/>
      <c r="S5" s="2644"/>
      <c r="T5" s="2644"/>
      <c r="U5" s="2644"/>
      <c r="V5" s="2644"/>
      <c r="W5" s="2644"/>
      <c r="X5" s="2644"/>
      <c r="Y5" s="2644"/>
      <c r="Z5" s="2644"/>
      <c r="AA5" s="2644"/>
      <c r="AB5" s="2644"/>
      <c r="AC5" s="2644"/>
      <c r="AD5" s="2644"/>
      <c r="AE5" s="2644"/>
      <c r="AF5" s="2644"/>
      <c r="AG5" s="2644"/>
      <c r="AH5" s="2644"/>
      <c r="AI5" s="2644"/>
      <c r="AJ5" s="2644"/>
      <c r="AK5" s="2644"/>
      <c r="AL5" s="2644"/>
      <c r="AM5" s="2644"/>
      <c r="AN5" s="2644"/>
      <c r="AO5" s="2644"/>
      <c r="AP5" s="2644"/>
      <c r="AQ5" s="2644"/>
      <c r="AR5" s="2644"/>
      <c r="AS5" s="2644"/>
      <c r="AT5" s="2644"/>
      <c r="AU5" s="2644"/>
      <c r="AV5" s="2644"/>
      <c r="AW5" s="2644"/>
      <c r="AX5" s="2644"/>
      <c r="AY5" s="2644"/>
      <c r="AZ5" s="2644"/>
      <c r="BA5" s="2644"/>
      <c r="BB5" s="2644"/>
      <c r="BC5" s="2644"/>
      <c r="BD5" s="2644"/>
      <c r="BE5" s="2644"/>
      <c r="BF5" s="2644"/>
      <c r="BG5" s="2644"/>
      <c r="BH5" s="2644"/>
      <c r="BI5" s="2644"/>
      <c r="BJ5" s="2644"/>
      <c r="BK5" s="2644"/>
      <c r="BL5" s="2644"/>
      <c r="BM5" s="2644"/>
      <c r="BN5" s="2644"/>
      <c r="BO5" s="2644"/>
      <c r="BP5" s="2644"/>
      <c r="BQ5" s="2644"/>
      <c r="BR5" s="2644"/>
    </row>
    <row r="6" spans="1:71" ht="31.5" customHeight="1" thickBot="1" x14ac:dyDescent="0.25">
      <c r="A6" s="2643"/>
      <c r="B6" s="2643"/>
      <c r="C6" s="2643"/>
      <c r="D6" s="2643"/>
      <c r="E6" s="2643"/>
      <c r="F6" s="2643"/>
      <c r="G6" s="2643"/>
      <c r="H6" s="2643"/>
      <c r="I6" s="2643"/>
      <c r="J6" s="2643"/>
      <c r="K6" s="2643"/>
      <c r="L6" s="2643"/>
      <c r="M6" s="2643"/>
      <c r="N6" s="13"/>
      <c r="O6" s="499"/>
      <c r="P6" s="500"/>
      <c r="Q6" s="500"/>
      <c r="R6" s="501"/>
      <c r="S6" s="500"/>
      <c r="T6" s="500"/>
      <c r="U6" s="500"/>
      <c r="V6" s="500"/>
      <c r="W6" s="502"/>
      <c r="X6" s="502"/>
      <c r="Y6" s="502"/>
      <c r="Z6" s="502"/>
      <c r="AA6" s="502"/>
      <c r="AB6" s="2645" t="s">
        <v>449</v>
      </c>
      <c r="AC6" s="2643"/>
      <c r="AD6" s="2643"/>
      <c r="AE6" s="2643"/>
      <c r="AF6" s="2643"/>
      <c r="AG6" s="2643"/>
      <c r="AH6" s="2643"/>
      <c r="AI6" s="2643"/>
      <c r="AJ6" s="2643"/>
      <c r="AK6" s="2643"/>
      <c r="AL6" s="2643"/>
      <c r="AM6" s="2643"/>
      <c r="AN6" s="2643"/>
      <c r="AO6" s="2643"/>
      <c r="AP6" s="2643"/>
      <c r="AQ6" s="2643"/>
      <c r="AR6" s="2643"/>
      <c r="AS6" s="2643"/>
      <c r="AT6" s="2643"/>
      <c r="AU6" s="2643"/>
      <c r="AV6" s="2643"/>
      <c r="AW6" s="2643"/>
      <c r="AX6" s="2643"/>
      <c r="AY6" s="2643"/>
      <c r="AZ6" s="2643"/>
      <c r="BA6" s="2643"/>
      <c r="BB6" s="2643"/>
      <c r="BC6" s="2643"/>
      <c r="BD6" s="2646"/>
      <c r="BE6" s="13"/>
      <c r="BF6" s="13"/>
      <c r="BG6" s="13"/>
      <c r="BH6" s="13"/>
      <c r="BI6" s="13"/>
      <c r="BJ6" s="13"/>
      <c r="BK6" s="503"/>
      <c r="BL6" s="13"/>
      <c r="BM6" s="13"/>
      <c r="BN6" s="502"/>
      <c r="BO6" s="502"/>
      <c r="BP6" s="502"/>
      <c r="BQ6" s="502"/>
      <c r="BR6" s="504"/>
    </row>
    <row r="7" spans="1:71" ht="30.75" customHeight="1" x14ac:dyDescent="0.2">
      <c r="A7" s="2647" t="s">
        <v>10</v>
      </c>
      <c r="B7" s="2649" t="s">
        <v>11</v>
      </c>
      <c r="C7" s="2650"/>
      <c r="D7" s="2650" t="s">
        <v>10</v>
      </c>
      <c r="E7" s="2649" t="s">
        <v>12</v>
      </c>
      <c r="F7" s="2650"/>
      <c r="G7" s="2650" t="s">
        <v>10</v>
      </c>
      <c r="H7" s="2649" t="s">
        <v>13</v>
      </c>
      <c r="I7" s="2650"/>
      <c r="J7" s="2650" t="s">
        <v>10</v>
      </c>
      <c r="K7" s="2649" t="s">
        <v>14</v>
      </c>
      <c r="L7" s="2653" t="s">
        <v>15</v>
      </c>
      <c r="M7" s="2659" t="s">
        <v>16</v>
      </c>
      <c r="N7" s="2659"/>
      <c r="O7" s="2653" t="s">
        <v>17</v>
      </c>
      <c r="P7" s="2653" t="s">
        <v>108</v>
      </c>
      <c r="Q7" s="2653" t="s">
        <v>9</v>
      </c>
      <c r="R7" s="2655" t="s">
        <v>19</v>
      </c>
      <c r="S7" s="2657" t="s">
        <v>20</v>
      </c>
      <c r="T7" s="2653" t="s">
        <v>21</v>
      </c>
      <c r="U7" s="2653" t="s">
        <v>22</v>
      </c>
      <c r="V7" s="2653" t="s">
        <v>23</v>
      </c>
      <c r="W7" s="2661" t="s">
        <v>20</v>
      </c>
      <c r="X7" s="2662"/>
      <c r="Y7" s="2663"/>
      <c r="Z7" s="505"/>
      <c r="AA7" s="2653" t="s">
        <v>24</v>
      </c>
      <c r="AB7" s="2667" t="s">
        <v>25</v>
      </c>
      <c r="AC7" s="2668"/>
      <c r="AD7" s="2668"/>
      <c r="AE7" s="2669"/>
      <c r="AF7" s="2670" t="s">
        <v>26</v>
      </c>
      <c r="AG7" s="2671"/>
      <c r="AH7" s="2671"/>
      <c r="AI7" s="2671"/>
      <c r="AJ7" s="2671"/>
      <c r="AK7" s="2671"/>
      <c r="AL7" s="2671"/>
      <c r="AM7" s="2672"/>
      <c r="AN7" s="2695" t="s">
        <v>27</v>
      </c>
      <c r="AO7" s="2696"/>
      <c r="AP7" s="2696"/>
      <c r="AQ7" s="2696"/>
      <c r="AR7" s="2696"/>
      <c r="AS7" s="2696"/>
      <c r="AT7" s="2696"/>
      <c r="AU7" s="2696"/>
      <c r="AV7" s="2696"/>
      <c r="AW7" s="2696"/>
      <c r="AX7" s="2696"/>
      <c r="AY7" s="2697"/>
      <c r="AZ7" s="2670" t="s">
        <v>28</v>
      </c>
      <c r="BA7" s="2671"/>
      <c r="BB7" s="2671"/>
      <c r="BC7" s="2671"/>
      <c r="BD7" s="2671"/>
      <c r="BE7" s="2672"/>
      <c r="BF7" s="2670" t="s">
        <v>29</v>
      </c>
      <c r="BG7" s="2672"/>
      <c r="BH7" s="2673" t="s">
        <v>30</v>
      </c>
      <c r="BI7" s="2674"/>
      <c r="BJ7" s="2674"/>
      <c r="BK7" s="2674"/>
      <c r="BL7" s="2674"/>
      <c r="BM7" s="2675"/>
      <c r="BN7" s="2676" t="s">
        <v>31</v>
      </c>
      <c r="BO7" s="2677"/>
      <c r="BP7" s="2676" t="s">
        <v>32</v>
      </c>
      <c r="BQ7" s="2677"/>
      <c r="BR7" s="2693" t="s">
        <v>33</v>
      </c>
    </row>
    <row r="8" spans="1:71" ht="63.75" customHeight="1" x14ac:dyDescent="0.2">
      <c r="A8" s="2648"/>
      <c r="B8" s="2651"/>
      <c r="C8" s="2652"/>
      <c r="D8" s="2652"/>
      <c r="E8" s="2651"/>
      <c r="F8" s="2652"/>
      <c r="G8" s="2652"/>
      <c r="H8" s="2651"/>
      <c r="I8" s="2652"/>
      <c r="J8" s="2652"/>
      <c r="K8" s="2651"/>
      <c r="L8" s="2654"/>
      <c r="M8" s="2659"/>
      <c r="N8" s="2659"/>
      <c r="O8" s="2654"/>
      <c r="P8" s="2654"/>
      <c r="Q8" s="2654"/>
      <c r="R8" s="2656"/>
      <c r="S8" s="2658"/>
      <c r="T8" s="2654"/>
      <c r="U8" s="2654"/>
      <c r="V8" s="2654"/>
      <c r="W8" s="2664"/>
      <c r="X8" s="2665"/>
      <c r="Y8" s="2666"/>
      <c r="Z8" s="2660" t="s">
        <v>10</v>
      </c>
      <c r="AA8" s="2654"/>
      <c r="AB8" s="2632" t="s">
        <v>37</v>
      </c>
      <c r="AC8" s="2632"/>
      <c r="AD8" s="506" t="s">
        <v>38</v>
      </c>
      <c r="AE8" s="506"/>
      <c r="AF8" s="2632" t="s">
        <v>39</v>
      </c>
      <c r="AG8" s="2632"/>
      <c r="AH8" s="2632" t="s">
        <v>40</v>
      </c>
      <c r="AI8" s="2632"/>
      <c r="AJ8" s="2632" t="s">
        <v>450</v>
      </c>
      <c r="AK8" s="2632"/>
      <c r="AL8" s="2632" t="s">
        <v>42</v>
      </c>
      <c r="AM8" s="2632"/>
      <c r="AN8" s="2632" t="s">
        <v>43</v>
      </c>
      <c r="AO8" s="2632"/>
      <c r="AP8" s="2632" t="s">
        <v>44</v>
      </c>
      <c r="AQ8" s="2632"/>
      <c r="AR8" s="2632" t="s">
        <v>45</v>
      </c>
      <c r="AS8" s="2632"/>
      <c r="AT8" s="2632" t="s">
        <v>46</v>
      </c>
      <c r="AU8" s="2632"/>
      <c r="AV8" s="2632" t="s">
        <v>47</v>
      </c>
      <c r="AW8" s="2632"/>
      <c r="AX8" s="2632" t="s">
        <v>48</v>
      </c>
      <c r="AY8" s="2632"/>
      <c r="AZ8" s="2632" t="s">
        <v>49</v>
      </c>
      <c r="BA8" s="2632"/>
      <c r="BB8" s="2632" t="s">
        <v>50</v>
      </c>
      <c r="BC8" s="2632"/>
      <c r="BD8" s="2632" t="s">
        <v>51</v>
      </c>
      <c r="BE8" s="2632"/>
      <c r="BF8" s="2632" t="s">
        <v>29</v>
      </c>
      <c r="BG8" s="2632"/>
      <c r="BH8" s="2700" t="s">
        <v>52</v>
      </c>
      <c r="BI8" s="2701" t="s">
        <v>53</v>
      </c>
      <c r="BJ8" s="2700" t="s">
        <v>54</v>
      </c>
      <c r="BK8" s="2702" t="s">
        <v>55</v>
      </c>
      <c r="BL8" s="2700" t="s">
        <v>56</v>
      </c>
      <c r="BM8" s="2698" t="s">
        <v>57</v>
      </c>
      <c r="BN8" s="2678"/>
      <c r="BO8" s="2679"/>
      <c r="BP8" s="2678"/>
      <c r="BQ8" s="2679"/>
      <c r="BR8" s="2694"/>
    </row>
    <row r="9" spans="1:71" ht="15" customHeight="1" x14ac:dyDescent="0.2">
      <c r="A9" s="2648"/>
      <c r="B9" s="2651"/>
      <c r="C9" s="2652"/>
      <c r="D9" s="2652"/>
      <c r="E9" s="2651"/>
      <c r="F9" s="2652"/>
      <c r="G9" s="2652"/>
      <c r="H9" s="2651"/>
      <c r="I9" s="2652"/>
      <c r="J9" s="2652"/>
      <c r="K9" s="2651"/>
      <c r="L9" s="2654"/>
      <c r="M9" s="2689" t="s">
        <v>58</v>
      </c>
      <c r="N9" s="2689" t="s">
        <v>59</v>
      </c>
      <c r="O9" s="2654"/>
      <c r="P9" s="2654"/>
      <c r="Q9" s="2654"/>
      <c r="R9" s="2656"/>
      <c r="S9" s="2658"/>
      <c r="T9" s="2654"/>
      <c r="U9" s="2654"/>
      <c r="V9" s="2654"/>
      <c r="W9" s="2690" t="s">
        <v>34</v>
      </c>
      <c r="X9" s="2690" t="s">
        <v>35</v>
      </c>
      <c r="Y9" s="2690" t="s">
        <v>36</v>
      </c>
      <c r="Z9" s="2660"/>
      <c r="AA9" s="2654"/>
      <c r="AB9" s="2633" t="s">
        <v>58</v>
      </c>
      <c r="AC9" s="2633" t="s">
        <v>59</v>
      </c>
      <c r="AD9" s="2633" t="s">
        <v>58</v>
      </c>
      <c r="AE9" s="2633" t="s">
        <v>59</v>
      </c>
      <c r="AF9" s="2633" t="s">
        <v>58</v>
      </c>
      <c r="AG9" s="2633" t="s">
        <v>59</v>
      </c>
      <c r="AH9" s="2633" t="s">
        <v>58</v>
      </c>
      <c r="AI9" s="2633" t="s">
        <v>59</v>
      </c>
      <c r="AJ9" s="2633" t="s">
        <v>58</v>
      </c>
      <c r="AK9" s="2633" t="s">
        <v>59</v>
      </c>
      <c r="AL9" s="2633" t="s">
        <v>58</v>
      </c>
      <c r="AM9" s="2633" t="s">
        <v>59</v>
      </c>
      <c r="AN9" s="2633" t="s">
        <v>58</v>
      </c>
      <c r="AO9" s="2633" t="s">
        <v>59</v>
      </c>
      <c r="AP9" s="2633" t="s">
        <v>58</v>
      </c>
      <c r="AQ9" s="2633" t="s">
        <v>59</v>
      </c>
      <c r="AR9" s="2633" t="s">
        <v>58</v>
      </c>
      <c r="AS9" s="2633" t="s">
        <v>59</v>
      </c>
      <c r="AT9" s="2633" t="s">
        <v>58</v>
      </c>
      <c r="AU9" s="2633" t="s">
        <v>59</v>
      </c>
      <c r="AV9" s="2633" t="s">
        <v>58</v>
      </c>
      <c r="AW9" s="2633" t="s">
        <v>59</v>
      </c>
      <c r="AX9" s="2633" t="s">
        <v>58</v>
      </c>
      <c r="AY9" s="2633" t="s">
        <v>59</v>
      </c>
      <c r="AZ9" s="2633" t="s">
        <v>58</v>
      </c>
      <c r="BA9" s="2633" t="s">
        <v>59</v>
      </c>
      <c r="BB9" s="2633" t="s">
        <v>58</v>
      </c>
      <c r="BC9" s="2633" t="s">
        <v>59</v>
      </c>
      <c r="BD9" s="2633" t="s">
        <v>58</v>
      </c>
      <c r="BE9" s="2633" t="s">
        <v>59</v>
      </c>
      <c r="BF9" s="2633" t="s">
        <v>58</v>
      </c>
      <c r="BG9" s="2633" t="s">
        <v>59</v>
      </c>
      <c r="BH9" s="2700"/>
      <c r="BI9" s="2701"/>
      <c r="BJ9" s="2700"/>
      <c r="BK9" s="2702"/>
      <c r="BL9" s="2700"/>
      <c r="BM9" s="2699"/>
      <c r="BN9" s="2680" t="s">
        <v>58</v>
      </c>
      <c r="BO9" s="2680" t="s">
        <v>59</v>
      </c>
      <c r="BP9" s="2680" t="s">
        <v>58</v>
      </c>
      <c r="BQ9" s="2680" t="s">
        <v>59</v>
      </c>
      <c r="BR9" s="2694"/>
    </row>
    <row r="10" spans="1:71" ht="15" customHeight="1" x14ac:dyDescent="0.2">
      <c r="A10" s="2648"/>
      <c r="B10" s="2651"/>
      <c r="C10" s="2652"/>
      <c r="D10" s="2652"/>
      <c r="E10" s="2651"/>
      <c r="F10" s="2652"/>
      <c r="G10" s="2652"/>
      <c r="H10" s="2651"/>
      <c r="I10" s="2652"/>
      <c r="J10" s="2652"/>
      <c r="K10" s="2651"/>
      <c r="L10" s="2654"/>
      <c r="M10" s="2689"/>
      <c r="N10" s="2689"/>
      <c r="O10" s="2654"/>
      <c r="P10" s="2654"/>
      <c r="Q10" s="2654"/>
      <c r="R10" s="2656"/>
      <c r="S10" s="2658"/>
      <c r="T10" s="2654"/>
      <c r="U10" s="2654"/>
      <c r="V10" s="2654"/>
      <c r="W10" s="2691"/>
      <c r="X10" s="2691"/>
      <c r="Y10" s="2691"/>
      <c r="Z10" s="2660"/>
      <c r="AA10" s="2654"/>
      <c r="AB10" s="2634"/>
      <c r="AC10" s="2634"/>
      <c r="AD10" s="2634"/>
      <c r="AE10" s="2634"/>
      <c r="AF10" s="2634"/>
      <c r="AG10" s="2634"/>
      <c r="AH10" s="2634"/>
      <c r="AI10" s="2634"/>
      <c r="AJ10" s="2634"/>
      <c r="AK10" s="2634"/>
      <c r="AL10" s="2634"/>
      <c r="AM10" s="2634"/>
      <c r="AN10" s="2634"/>
      <c r="AO10" s="2634"/>
      <c r="AP10" s="2634"/>
      <c r="AQ10" s="2634"/>
      <c r="AR10" s="2634"/>
      <c r="AS10" s="2634"/>
      <c r="AT10" s="2634"/>
      <c r="AU10" s="2634"/>
      <c r="AV10" s="2634"/>
      <c r="AW10" s="2634"/>
      <c r="AX10" s="2634"/>
      <c r="AY10" s="2634"/>
      <c r="AZ10" s="2634"/>
      <c r="BA10" s="2634"/>
      <c r="BB10" s="2634"/>
      <c r="BC10" s="2634"/>
      <c r="BD10" s="2634"/>
      <c r="BE10" s="2634"/>
      <c r="BF10" s="2634"/>
      <c r="BG10" s="2634"/>
      <c r="BH10" s="2683"/>
      <c r="BI10" s="2683"/>
      <c r="BJ10" s="2683"/>
      <c r="BK10" s="2686"/>
      <c r="BL10" s="2683"/>
      <c r="BM10" s="2683"/>
      <c r="BN10" s="2681"/>
      <c r="BO10" s="2681"/>
      <c r="BP10" s="2681"/>
      <c r="BQ10" s="2681"/>
      <c r="BR10" s="2694"/>
    </row>
    <row r="11" spans="1:71" ht="15" customHeight="1" x14ac:dyDescent="0.2">
      <c r="A11" s="2648"/>
      <c r="B11" s="2651"/>
      <c r="C11" s="2652"/>
      <c r="D11" s="2652"/>
      <c r="E11" s="2651"/>
      <c r="F11" s="2652"/>
      <c r="G11" s="2652"/>
      <c r="H11" s="2651"/>
      <c r="I11" s="2652"/>
      <c r="J11" s="2652"/>
      <c r="K11" s="2651"/>
      <c r="L11" s="2654"/>
      <c r="M11" s="2689"/>
      <c r="N11" s="2689"/>
      <c r="O11" s="2654"/>
      <c r="P11" s="2654"/>
      <c r="Q11" s="2654"/>
      <c r="R11" s="2656"/>
      <c r="S11" s="2658"/>
      <c r="T11" s="2654"/>
      <c r="U11" s="2654"/>
      <c r="V11" s="2654"/>
      <c r="W11" s="2691"/>
      <c r="X11" s="2691"/>
      <c r="Y11" s="2691"/>
      <c r="Z11" s="2660"/>
      <c r="AA11" s="2654"/>
      <c r="AB11" s="2634"/>
      <c r="AC11" s="2634"/>
      <c r="AD11" s="2634"/>
      <c r="AE11" s="2634"/>
      <c r="AF11" s="2634"/>
      <c r="AG11" s="2634"/>
      <c r="AH11" s="2634"/>
      <c r="AI11" s="2634"/>
      <c r="AJ11" s="2634"/>
      <c r="AK11" s="2634"/>
      <c r="AL11" s="2634"/>
      <c r="AM11" s="2634"/>
      <c r="AN11" s="2634"/>
      <c r="AO11" s="2634"/>
      <c r="AP11" s="2634"/>
      <c r="AQ11" s="2634"/>
      <c r="AR11" s="2634"/>
      <c r="AS11" s="2634"/>
      <c r="AT11" s="2634"/>
      <c r="AU11" s="2634"/>
      <c r="AV11" s="2634"/>
      <c r="AW11" s="2634"/>
      <c r="AX11" s="2634"/>
      <c r="AY11" s="2634"/>
      <c r="AZ11" s="2634"/>
      <c r="BA11" s="2634"/>
      <c r="BB11" s="2634"/>
      <c r="BC11" s="2634"/>
      <c r="BD11" s="2634"/>
      <c r="BE11" s="2634"/>
      <c r="BF11" s="2634"/>
      <c r="BG11" s="2634"/>
      <c r="BH11" s="2684"/>
      <c r="BI11" s="2684"/>
      <c r="BJ11" s="2684"/>
      <c r="BK11" s="2687"/>
      <c r="BL11" s="2684"/>
      <c r="BM11" s="2684"/>
      <c r="BN11" s="2681"/>
      <c r="BO11" s="2681"/>
      <c r="BP11" s="2681"/>
      <c r="BQ11" s="2681"/>
      <c r="BR11" s="2694"/>
    </row>
    <row r="12" spans="1:71" ht="15" customHeight="1" x14ac:dyDescent="0.2">
      <c r="A12" s="2648"/>
      <c r="B12" s="2651"/>
      <c r="C12" s="2652"/>
      <c r="D12" s="2652"/>
      <c r="E12" s="2651"/>
      <c r="F12" s="2652"/>
      <c r="G12" s="2652"/>
      <c r="H12" s="2651"/>
      <c r="I12" s="2652"/>
      <c r="J12" s="2652"/>
      <c r="K12" s="2651"/>
      <c r="L12" s="2654"/>
      <c r="M12" s="507"/>
      <c r="N12" s="507"/>
      <c r="O12" s="2654"/>
      <c r="P12" s="2654"/>
      <c r="Q12" s="2654"/>
      <c r="R12" s="2656"/>
      <c r="S12" s="2658"/>
      <c r="T12" s="2654"/>
      <c r="U12" s="2654"/>
      <c r="V12" s="2654"/>
      <c r="W12" s="2692"/>
      <c r="X12" s="2692"/>
      <c r="Y12" s="2692"/>
      <c r="Z12" s="2660"/>
      <c r="AA12" s="2654"/>
      <c r="AB12" s="2635"/>
      <c r="AC12" s="2635"/>
      <c r="AD12" s="2635"/>
      <c r="AE12" s="2635"/>
      <c r="AF12" s="2635"/>
      <c r="AG12" s="2635"/>
      <c r="AH12" s="2635"/>
      <c r="AI12" s="2635"/>
      <c r="AJ12" s="2635"/>
      <c r="AK12" s="2635"/>
      <c r="AL12" s="2635"/>
      <c r="AM12" s="2635"/>
      <c r="AN12" s="2635"/>
      <c r="AO12" s="2635"/>
      <c r="AP12" s="2635"/>
      <c r="AQ12" s="2635"/>
      <c r="AR12" s="2635"/>
      <c r="AS12" s="2635"/>
      <c r="AT12" s="2635"/>
      <c r="AU12" s="2635"/>
      <c r="AV12" s="2635"/>
      <c r="AW12" s="2635"/>
      <c r="AX12" s="2635"/>
      <c r="AY12" s="2635"/>
      <c r="AZ12" s="2635"/>
      <c r="BA12" s="2635"/>
      <c r="BB12" s="2635"/>
      <c r="BC12" s="2635"/>
      <c r="BD12" s="2635"/>
      <c r="BE12" s="2635"/>
      <c r="BF12" s="2635"/>
      <c r="BG12" s="2635"/>
      <c r="BH12" s="2685"/>
      <c r="BI12" s="2685"/>
      <c r="BJ12" s="2685"/>
      <c r="BK12" s="2688"/>
      <c r="BL12" s="2685"/>
      <c r="BM12" s="2685"/>
      <c r="BN12" s="2682"/>
      <c r="BO12" s="2682"/>
      <c r="BP12" s="2682"/>
      <c r="BQ12" s="2682"/>
      <c r="BR12" s="2694"/>
    </row>
    <row r="13" spans="1:71" ht="15.75" x14ac:dyDescent="0.2">
      <c r="A13" s="508">
        <v>5</v>
      </c>
      <c r="B13" s="509" t="s">
        <v>60</v>
      </c>
      <c r="C13" s="509"/>
      <c r="D13" s="509"/>
      <c r="E13" s="509"/>
      <c r="F13" s="509"/>
      <c r="G13" s="509"/>
      <c r="H13" s="509"/>
      <c r="I13" s="509"/>
      <c r="J13" s="510"/>
      <c r="K13" s="510"/>
      <c r="L13" s="511"/>
      <c r="M13" s="511"/>
      <c r="N13" s="511"/>
      <c r="O13" s="510"/>
      <c r="P13" s="510"/>
      <c r="Q13" s="510"/>
      <c r="R13" s="512"/>
      <c r="S13" s="513"/>
      <c r="T13" s="510"/>
      <c r="U13" s="510"/>
      <c r="V13" s="510"/>
      <c r="W13" s="510"/>
      <c r="X13" s="510"/>
      <c r="Y13" s="510"/>
      <c r="Z13" s="514"/>
      <c r="AA13" s="511"/>
      <c r="AB13" s="511"/>
      <c r="AC13" s="511"/>
      <c r="AD13" s="511"/>
      <c r="AE13" s="511"/>
      <c r="AF13" s="511"/>
      <c r="AG13" s="511"/>
      <c r="AH13" s="511"/>
      <c r="AI13" s="511"/>
      <c r="AJ13" s="511"/>
      <c r="AK13" s="511"/>
      <c r="AL13" s="511"/>
      <c r="AM13" s="511"/>
      <c r="AN13" s="511"/>
      <c r="AO13" s="511"/>
      <c r="AP13" s="511"/>
      <c r="AQ13" s="511"/>
      <c r="AR13" s="511"/>
      <c r="AS13" s="511"/>
      <c r="AT13" s="511"/>
      <c r="AU13" s="511"/>
      <c r="AV13" s="511"/>
      <c r="AW13" s="511"/>
      <c r="AX13" s="511"/>
      <c r="AY13" s="511"/>
      <c r="AZ13" s="511"/>
      <c r="BA13" s="511"/>
      <c r="BB13" s="511"/>
      <c r="BC13" s="511"/>
      <c r="BD13" s="511"/>
      <c r="BE13" s="511"/>
      <c r="BF13" s="511"/>
      <c r="BG13" s="511"/>
      <c r="BH13" s="511"/>
      <c r="BI13" s="511"/>
      <c r="BJ13" s="511"/>
      <c r="BK13" s="515"/>
      <c r="BL13" s="511"/>
      <c r="BM13" s="511"/>
      <c r="BN13" s="511"/>
      <c r="BO13" s="511"/>
      <c r="BP13" s="511"/>
      <c r="BQ13" s="511"/>
      <c r="BR13" s="516"/>
    </row>
    <row r="14" spans="1:71" ht="15.75" x14ac:dyDescent="0.2">
      <c r="A14" s="517"/>
      <c r="B14" s="518"/>
      <c r="C14" s="519"/>
      <c r="D14" s="520">
        <v>28</v>
      </c>
      <c r="E14" s="521" t="s">
        <v>451</v>
      </c>
      <c r="F14" s="521"/>
      <c r="G14" s="521"/>
      <c r="H14" s="521"/>
      <c r="I14" s="521"/>
      <c r="J14" s="522"/>
      <c r="K14" s="522"/>
      <c r="L14" s="522"/>
      <c r="M14" s="523"/>
      <c r="N14" s="524"/>
      <c r="O14" s="522"/>
      <c r="P14" s="522"/>
      <c r="Q14" s="522"/>
      <c r="R14" s="525"/>
      <c r="S14" s="526"/>
      <c r="T14" s="522"/>
      <c r="U14" s="522"/>
      <c r="V14" s="522"/>
      <c r="W14" s="522"/>
      <c r="X14" s="522"/>
      <c r="Y14" s="522"/>
      <c r="Z14" s="527"/>
      <c r="AA14" s="528"/>
      <c r="AB14" s="529"/>
      <c r="AC14" s="529"/>
      <c r="AD14" s="529"/>
      <c r="AE14" s="529"/>
      <c r="AF14" s="529"/>
      <c r="AG14" s="529"/>
      <c r="AH14" s="529"/>
      <c r="AI14" s="529"/>
      <c r="AJ14" s="529"/>
      <c r="AK14" s="529"/>
      <c r="AL14" s="529"/>
      <c r="AM14" s="529"/>
      <c r="AN14" s="529"/>
      <c r="AO14" s="529"/>
      <c r="AP14" s="529"/>
      <c r="AQ14" s="529"/>
      <c r="AR14" s="529"/>
      <c r="AS14" s="529"/>
      <c r="AT14" s="529"/>
      <c r="AU14" s="529"/>
      <c r="AV14" s="529"/>
      <c r="AW14" s="529"/>
      <c r="AX14" s="529"/>
      <c r="AY14" s="529"/>
      <c r="AZ14" s="529"/>
      <c r="BA14" s="529"/>
      <c r="BB14" s="529"/>
      <c r="BC14" s="529"/>
      <c r="BD14" s="529"/>
      <c r="BE14" s="529"/>
      <c r="BF14" s="529"/>
      <c r="BG14" s="529"/>
      <c r="BH14" s="530"/>
      <c r="BI14" s="530"/>
      <c r="BJ14" s="530"/>
      <c r="BK14" s="531"/>
      <c r="BL14" s="530"/>
      <c r="BM14" s="530"/>
      <c r="BN14" s="532"/>
      <c r="BO14" s="530"/>
      <c r="BP14" s="532"/>
      <c r="BQ14" s="530"/>
      <c r="BR14" s="533"/>
    </row>
    <row r="15" spans="1:71" ht="15.75" x14ac:dyDescent="0.2">
      <c r="A15" s="534"/>
      <c r="B15" s="535"/>
      <c r="C15" s="536"/>
      <c r="D15" s="537"/>
      <c r="E15" s="538"/>
      <c r="F15" s="539"/>
      <c r="G15" s="540">
        <v>89</v>
      </c>
      <c r="H15" s="541" t="s">
        <v>452</v>
      </c>
      <c r="I15" s="541"/>
      <c r="J15" s="542"/>
      <c r="K15" s="542"/>
      <c r="L15" s="542"/>
      <c r="M15" s="542"/>
      <c r="N15" s="542"/>
      <c r="O15" s="542"/>
      <c r="P15" s="542"/>
      <c r="Q15" s="542"/>
      <c r="R15" s="543"/>
      <c r="S15" s="544"/>
      <c r="T15" s="542"/>
      <c r="U15" s="542"/>
      <c r="V15" s="542"/>
      <c r="W15" s="542"/>
      <c r="X15" s="542"/>
      <c r="Y15" s="542"/>
      <c r="Z15" s="545"/>
      <c r="AA15" s="546"/>
      <c r="AB15" s="546"/>
      <c r="AC15" s="546"/>
      <c r="AD15" s="546"/>
      <c r="AE15" s="546"/>
      <c r="AF15" s="546"/>
      <c r="AG15" s="546"/>
      <c r="AH15" s="546"/>
      <c r="AI15" s="546"/>
      <c r="AJ15" s="546"/>
      <c r="AK15" s="546"/>
      <c r="AL15" s="546"/>
      <c r="AM15" s="546"/>
      <c r="AN15" s="546"/>
      <c r="AO15" s="546"/>
      <c r="AP15" s="546"/>
      <c r="AQ15" s="546"/>
      <c r="AR15" s="546"/>
      <c r="AS15" s="546"/>
      <c r="AT15" s="546"/>
      <c r="AU15" s="546"/>
      <c r="AV15" s="546"/>
      <c r="AW15" s="546"/>
      <c r="AX15" s="546"/>
      <c r="AY15" s="546"/>
      <c r="AZ15" s="546"/>
      <c r="BA15" s="546"/>
      <c r="BB15" s="546"/>
      <c r="BC15" s="546"/>
      <c r="BD15" s="546"/>
      <c r="BE15" s="546"/>
      <c r="BF15" s="546"/>
      <c r="BG15" s="546"/>
      <c r="BH15" s="546"/>
      <c r="BI15" s="546"/>
      <c r="BJ15" s="546"/>
      <c r="BK15" s="547"/>
      <c r="BL15" s="546"/>
      <c r="BM15" s="546"/>
      <c r="BN15" s="546"/>
      <c r="BO15" s="546"/>
      <c r="BP15" s="546"/>
      <c r="BQ15" s="546"/>
      <c r="BR15" s="546"/>
    </row>
    <row r="16" spans="1:71" ht="75" x14ac:dyDescent="0.2">
      <c r="A16" s="548"/>
      <c r="B16" s="549"/>
      <c r="C16" s="550"/>
      <c r="D16" s="551"/>
      <c r="E16" s="552"/>
      <c r="F16" s="553"/>
      <c r="G16" s="554"/>
      <c r="H16" s="555"/>
      <c r="I16" s="556"/>
      <c r="J16" s="557">
        <v>282</v>
      </c>
      <c r="K16" s="558" t="s">
        <v>453</v>
      </c>
      <c r="L16" s="558" t="s">
        <v>454</v>
      </c>
      <c r="M16" s="557">
        <v>2</v>
      </c>
      <c r="N16" s="557">
        <v>2</v>
      </c>
      <c r="O16" s="557" t="s">
        <v>455</v>
      </c>
      <c r="P16" s="559" t="s">
        <v>456</v>
      </c>
      <c r="Q16" s="558" t="s">
        <v>457</v>
      </c>
      <c r="R16" s="560">
        <f>+(W16)/S16</f>
        <v>1</v>
      </c>
      <c r="S16" s="561">
        <f>W16</f>
        <v>79103800</v>
      </c>
      <c r="T16" s="562" t="s">
        <v>458</v>
      </c>
      <c r="U16" s="562" t="s">
        <v>459</v>
      </c>
      <c r="V16" s="563" t="s">
        <v>460</v>
      </c>
      <c r="W16" s="564">
        <f>79500000-396200</f>
        <v>79103800</v>
      </c>
      <c r="X16" s="564">
        <v>79103800</v>
      </c>
      <c r="Y16" s="564">
        <v>79103800</v>
      </c>
      <c r="Z16" s="565" t="s">
        <v>356</v>
      </c>
      <c r="AA16" s="566" t="s">
        <v>86</v>
      </c>
      <c r="AB16" s="567">
        <v>292684</v>
      </c>
      <c r="AC16" s="567">
        <v>292684</v>
      </c>
      <c r="AD16" s="567">
        <v>282326</v>
      </c>
      <c r="AE16" s="567">
        <v>282326</v>
      </c>
      <c r="AF16" s="567">
        <v>135912</v>
      </c>
      <c r="AG16" s="567">
        <v>135912</v>
      </c>
      <c r="AH16" s="567">
        <v>45122</v>
      </c>
      <c r="AI16" s="567">
        <v>45122</v>
      </c>
      <c r="AJ16" s="567">
        <v>307101</v>
      </c>
      <c r="AK16" s="567">
        <v>307101</v>
      </c>
      <c r="AL16" s="567">
        <v>86875</v>
      </c>
      <c r="AM16" s="567">
        <v>86875</v>
      </c>
      <c r="AN16" s="567">
        <v>2145</v>
      </c>
      <c r="AO16" s="567">
        <v>2145</v>
      </c>
      <c r="AP16" s="567">
        <v>12718</v>
      </c>
      <c r="AQ16" s="567">
        <v>12718</v>
      </c>
      <c r="AR16" s="567">
        <v>26</v>
      </c>
      <c r="AS16" s="567">
        <v>26</v>
      </c>
      <c r="AT16" s="567">
        <v>37</v>
      </c>
      <c r="AU16" s="567">
        <v>37</v>
      </c>
      <c r="AV16" s="567">
        <v>0</v>
      </c>
      <c r="AW16" s="567">
        <v>0</v>
      </c>
      <c r="AX16" s="567">
        <v>0</v>
      </c>
      <c r="AY16" s="567">
        <v>0</v>
      </c>
      <c r="AZ16" s="567">
        <v>53164</v>
      </c>
      <c r="BA16" s="567">
        <v>53164</v>
      </c>
      <c r="BB16" s="567">
        <v>16982</v>
      </c>
      <c r="BC16" s="567">
        <v>16982</v>
      </c>
      <c r="BD16" s="567">
        <v>60013</v>
      </c>
      <c r="BE16" s="567">
        <v>60013</v>
      </c>
      <c r="BF16" s="567">
        <v>575010</v>
      </c>
      <c r="BG16" s="567">
        <v>575010</v>
      </c>
      <c r="BH16" s="567">
        <v>1</v>
      </c>
      <c r="BI16" s="567">
        <v>79103800</v>
      </c>
      <c r="BJ16" s="567">
        <v>79103800</v>
      </c>
      <c r="BK16" s="86">
        <f>+BJ16/BI16</f>
        <v>1</v>
      </c>
      <c r="BL16" s="566" t="s">
        <v>86</v>
      </c>
      <c r="BM16" s="567" t="s">
        <v>461</v>
      </c>
      <c r="BN16" s="568">
        <v>43467</v>
      </c>
      <c r="BO16" s="568">
        <v>43511</v>
      </c>
      <c r="BP16" s="568">
        <v>43830</v>
      </c>
      <c r="BQ16" s="568">
        <v>43660</v>
      </c>
      <c r="BR16" s="569" t="s">
        <v>462</v>
      </c>
      <c r="BS16" s="570"/>
    </row>
    <row r="17" spans="1:71" ht="60" x14ac:dyDescent="0.2">
      <c r="A17" s="548"/>
      <c r="B17" s="549"/>
      <c r="C17" s="550"/>
      <c r="D17" s="551"/>
      <c r="E17" s="552"/>
      <c r="F17" s="553"/>
      <c r="G17" s="571"/>
      <c r="H17" s="572"/>
      <c r="I17" s="573"/>
      <c r="J17" s="2706">
        <v>283</v>
      </c>
      <c r="K17" s="2707" t="s">
        <v>463</v>
      </c>
      <c r="L17" s="2707" t="s">
        <v>464</v>
      </c>
      <c r="M17" s="2706">
        <v>1</v>
      </c>
      <c r="N17" s="2708">
        <v>0.5</v>
      </c>
      <c r="O17" s="2707" t="s">
        <v>465</v>
      </c>
      <c r="P17" s="2711" t="s">
        <v>466</v>
      </c>
      <c r="Q17" s="2707" t="s">
        <v>467</v>
      </c>
      <c r="R17" s="2712">
        <f>+(W17+W18+W19)/S17</f>
        <v>1</v>
      </c>
      <c r="S17" s="2713">
        <f>SUM(W17:W19)</f>
        <v>39300000</v>
      </c>
      <c r="T17" s="2707" t="s">
        <v>468</v>
      </c>
      <c r="U17" s="88" t="s">
        <v>469</v>
      </c>
      <c r="V17" s="563" t="s">
        <v>470</v>
      </c>
      <c r="W17" s="564">
        <f>30550000+8750000</f>
        <v>39300000</v>
      </c>
      <c r="X17" s="574">
        <v>25757500</v>
      </c>
      <c r="Y17" s="574">
        <v>21835000</v>
      </c>
      <c r="Z17" s="575">
        <v>20</v>
      </c>
      <c r="AA17" s="576" t="s">
        <v>86</v>
      </c>
      <c r="AB17" s="2714">
        <v>850</v>
      </c>
      <c r="AC17" s="2714">
        <v>851</v>
      </c>
      <c r="AD17" s="2703">
        <v>550</v>
      </c>
      <c r="AE17" s="2703">
        <v>551</v>
      </c>
      <c r="AF17" s="2703">
        <v>400</v>
      </c>
      <c r="AG17" s="2703">
        <v>400</v>
      </c>
      <c r="AH17" s="2703">
        <v>0</v>
      </c>
      <c r="AI17" s="2703">
        <v>0</v>
      </c>
      <c r="AJ17" s="2703">
        <v>950</v>
      </c>
      <c r="AK17" s="2703">
        <v>950</v>
      </c>
      <c r="AL17" s="2703">
        <v>50</v>
      </c>
      <c r="AM17" s="2703">
        <v>50</v>
      </c>
      <c r="AN17" s="2703">
        <v>0</v>
      </c>
      <c r="AO17" s="2703">
        <v>0</v>
      </c>
      <c r="AP17" s="2703">
        <v>30</v>
      </c>
      <c r="AQ17" s="2703">
        <v>30</v>
      </c>
      <c r="AR17" s="2703">
        <v>0</v>
      </c>
      <c r="AS17" s="2703">
        <v>0</v>
      </c>
      <c r="AT17" s="2703">
        <v>0</v>
      </c>
      <c r="AU17" s="2703">
        <v>0</v>
      </c>
      <c r="AV17" s="2703">
        <v>0</v>
      </c>
      <c r="AW17" s="2703">
        <v>0</v>
      </c>
      <c r="AX17" s="2703">
        <v>0</v>
      </c>
      <c r="AY17" s="2703">
        <v>0</v>
      </c>
      <c r="AZ17" s="2703">
        <v>0</v>
      </c>
      <c r="BA17" s="2703">
        <v>0</v>
      </c>
      <c r="BB17" s="2703">
        <v>0</v>
      </c>
      <c r="BC17" s="2703">
        <v>0</v>
      </c>
      <c r="BD17" s="2703">
        <v>0</v>
      </c>
      <c r="BE17" s="2703">
        <v>0</v>
      </c>
      <c r="BF17" s="2703">
        <v>1400</v>
      </c>
      <c r="BG17" s="2703">
        <v>1400</v>
      </c>
      <c r="BH17" s="2703">
        <v>2</v>
      </c>
      <c r="BI17" s="2703">
        <v>25757500</v>
      </c>
      <c r="BJ17" s="2703">
        <v>21835000</v>
      </c>
      <c r="BK17" s="2719">
        <f>+BJ17/BI17</f>
        <v>0.84771425798311173</v>
      </c>
      <c r="BL17" s="2703" t="s">
        <v>86</v>
      </c>
      <c r="BM17" s="2732" t="s">
        <v>471</v>
      </c>
      <c r="BN17" s="2715">
        <v>43467</v>
      </c>
      <c r="BO17" s="2715">
        <v>43636</v>
      </c>
      <c r="BP17" s="2715">
        <v>43830</v>
      </c>
      <c r="BQ17" s="2715" t="s">
        <v>472</v>
      </c>
      <c r="BR17" s="2718" t="s">
        <v>473</v>
      </c>
      <c r="BS17" s="570"/>
    </row>
    <row r="18" spans="1:71" ht="60" x14ac:dyDescent="0.2">
      <c r="A18" s="548"/>
      <c r="B18" s="549"/>
      <c r="C18" s="550"/>
      <c r="D18" s="551"/>
      <c r="E18" s="552"/>
      <c r="F18" s="553"/>
      <c r="G18" s="571"/>
      <c r="H18" s="572"/>
      <c r="I18" s="573"/>
      <c r="J18" s="2706"/>
      <c r="K18" s="2707"/>
      <c r="L18" s="2707"/>
      <c r="M18" s="2706"/>
      <c r="N18" s="2709"/>
      <c r="O18" s="2707"/>
      <c r="P18" s="2711"/>
      <c r="Q18" s="2707"/>
      <c r="R18" s="2712"/>
      <c r="S18" s="2713"/>
      <c r="T18" s="2707"/>
      <c r="U18" s="563" t="s">
        <v>474</v>
      </c>
      <c r="V18" s="563" t="s">
        <v>475</v>
      </c>
      <c r="W18" s="564">
        <f>7000000-7000000</f>
        <v>0</v>
      </c>
      <c r="X18" s="564"/>
      <c r="Y18" s="564"/>
      <c r="Z18" s="565">
        <v>20</v>
      </c>
      <c r="AA18" s="566" t="s">
        <v>86</v>
      </c>
      <c r="AB18" s="2714"/>
      <c r="AC18" s="2714"/>
      <c r="AD18" s="2704"/>
      <c r="AE18" s="2704"/>
      <c r="AF18" s="2704"/>
      <c r="AG18" s="2704"/>
      <c r="AH18" s="2704"/>
      <c r="AI18" s="2704"/>
      <c r="AJ18" s="2704"/>
      <c r="AK18" s="2704"/>
      <c r="AL18" s="2704"/>
      <c r="AM18" s="2704"/>
      <c r="AN18" s="2704"/>
      <c r="AO18" s="2704"/>
      <c r="AP18" s="2704"/>
      <c r="AQ18" s="2704"/>
      <c r="AR18" s="2704"/>
      <c r="AS18" s="2704"/>
      <c r="AT18" s="2704"/>
      <c r="AU18" s="2704"/>
      <c r="AV18" s="2704"/>
      <c r="AW18" s="2704"/>
      <c r="AX18" s="2704"/>
      <c r="AY18" s="2704"/>
      <c r="AZ18" s="2704"/>
      <c r="BA18" s="2704"/>
      <c r="BB18" s="2704"/>
      <c r="BC18" s="2704"/>
      <c r="BD18" s="2704"/>
      <c r="BE18" s="2704"/>
      <c r="BF18" s="2704"/>
      <c r="BG18" s="2704"/>
      <c r="BH18" s="2704"/>
      <c r="BI18" s="2704"/>
      <c r="BJ18" s="2704"/>
      <c r="BK18" s="2719"/>
      <c r="BL18" s="2704"/>
      <c r="BM18" s="2733"/>
      <c r="BN18" s="2716"/>
      <c r="BO18" s="2716"/>
      <c r="BP18" s="2716"/>
      <c r="BQ18" s="2716"/>
      <c r="BR18" s="2718"/>
      <c r="BS18" s="570"/>
    </row>
    <row r="19" spans="1:71" ht="45" x14ac:dyDescent="0.2">
      <c r="A19" s="548"/>
      <c r="B19" s="549"/>
      <c r="C19" s="550"/>
      <c r="D19" s="551"/>
      <c r="E19" s="552"/>
      <c r="F19" s="553"/>
      <c r="G19" s="571"/>
      <c r="H19" s="572"/>
      <c r="I19" s="573"/>
      <c r="J19" s="2706"/>
      <c r="K19" s="2707"/>
      <c r="L19" s="2707"/>
      <c r="M19" s="2706"/>
      <c r="N19" s="2710"/>
      <c r="O19" s="2707"/>
      <c r="P19" s="2711"/>
      <c r="Q19" s="2707"/>
      <c r="R19" s="2712"/>
      <c r="S19" s="2713"/>
      <c r="T19" s="2707"/>
      <c r="U19" s="563" t="s">
        <v>476</v>
      </c>
      <c r="V19" s="563" t="s">
        <v>477</v>
      </c>
      <c r="W19" s="564">
        <f>1750000-1750000</f>
        <v>0</v>
      </c>
      <c r="X19" s="564"/>
      <c r="Y19" s="564"/>
      <c r="Z19" s="565">
        <v>20</v>
      </c>
      <c r="AA19" s="566" t="s">
        <v>86</v>
      </c>
      <c r="AB19" s="2714"/>
      <c r="AC19" s="2714"/>
      <c r="AD19" s="2705"/>
      <c r="AE19" s="2705"/>
      <c r="AF19" s="2705"/>
      <c r="AG19" s="2705"/>
      <c r="AH19" s="2705"/>
      <c r="AI19" s="2705"/>
      <c r="AJ19" s="2705"/>
      <c r="AK19" s="2705"/>
      <c r="AL19" s="2705"/>
      <c r="AM19" s="2705"/>
      <c r="AN19" s="2705"/>
      <c r="AO19" s="2705"/>
      <c r="AP19" s="2705"/>
      <c r="AQ19" s="2705"/>
      <c r="AR19" s="2705"/>
      <c r="AS19" s="2705"/>
      <c r="AT19" s="2705"/>
      <c r="AU19" s="2705"/>
      <c r="AV19" s="2705"/>
      <c r="AW19" s="2705"/>
      <c r="AX19" s="2705"/>
      <c r="AY19" s="2705"/>
      <c r="AZ19" s="2705"/>
      <c r="BA19" s="2705"/>
      <c r="BB19" s="2705"/>
      <c r="BC19" s="2705"/>
      <c r="BD19" s="2705"/>
      <c r="BE19" s="2705"/>
      <c r="BF19" s="2705"/>
      <c r="BG19" s="2705"/>
      <c r="BH19" s="2705"/>
      <c r="BI19" s="2705"/>
      <c r="BJ19" s="2705"/>
      <c r="BK19" s="2719"/>
      <c r="BL19" s="2705"/>
      <c r="BM19" s="2734"/>
      <c r="BN19" s="2717"/>
      <c r="BO19" s="2717"/>
      <c r="BP19" s="2717"/>
      <c r="BQ19" s="2717"/>
      <c r="BR19" s="2718"/>
      <c r="BS19" s="570"/>
    </row>
    <row r="20" spans="1:71" ht="90" x14ac:dyDescent="0.2">
      <c r="A20" s="534"/>
      <c r="B20" s="535"/>
      <c r="C20" s="536"/>
      <c r="D20" s="577"/>
      <c r="E20" s="578"/>
      <c r="F20" s="579"/>
      <c r="G20" s="580"/>
      <c r="H20" s="581"/>
      <c r="I20" s="582"/>
      <c r="J20" s="566">
        <v>285</v>
      </c>
      <c r="K20" s="563" t="s">
        <v>478</v>
      </c>
      <c r="L20" s="563" t="s">
        <v>479</v>
      </c>
      <c r="M20" s="566">
        <v>1</v>
      </c>
      <c r="N20" s="557">
        <v>0.3</v>
      </c>
      <c r="O20" s="558" t="s">
        <v>480</v>
      </c>
      <c r="P20" s="566" t="s">
        <v>481</v>
      </c>
      <c r="Q20" s="563" t="s">
        <v>482</v>
      </c>
      <c r="R20" s="583">
        <f>+W20/S20</f>
        <v>1</v>
      </c>
      <c r="S20" s="584">
        <f>W20</f>
        <v>78604667</v>
      </c>
      <c r="T20" s="563" t="s">
        <v>483</v>
      </c>
      <c r="U20" s="563" t="s">
        <v>484</v>
      </c>
      <c r="V20" s="563" t="s">
        <v>485</v>
      </c>
      <c r="W20" s="564">
        <f>89600000-10995333</f>
        <v>78604667</v>
      </c>
      <c r="X20" s="564">
        <v>73568267</v>
      </c>
      <c r="Y20" s="564">
        <v>71217667</v>
      </c>
      <c r="Z20" s="565">
        <v>20</v>
      </c>
      <c r="AA20" s="566" t="s">
        <v>86</v>
      </c>
      <c r="AB20" s="85">
        <v>292684</v>
      </c>
      <c r="AC20" s="85">
        <v>292684</v>
      </c>
      <c r="AD20" s="85">
        <v>282326</v>
      </c>
      <c r="AE20" s="85">
        <v>282326</v>
      </c>
      <c r="AF20" s="85">
        <v>135912</v>
      </c>
      <c r="AG20" s="85">
        <v>135912</v>
      </c>
      <c r="AH20" s="85">
        <v>45122</v>
      </c>
      <c r="AI20" s="85">
        <v>45122</v>
      </c>
      <c r="AJ20" s="85">
        <v>307101</v>
      </c>
      <c r="AK20" s="85">
        <v>307101</v>
      </c>
      <c r="AL20" s="85">
        <v>86875</v>
      </c>
      <c r="AM20" s="85">
        <v>86875</v>
      </c>
      <c r="AN20" s="85">
        <v>2145</v>
      </c>
      <c r="AO20" s="85">
        <v>2145</v>
      </c>
      <c r="AP20" s="85">
        <v>12718</v>
      </c>
      <c r="AQ20" s="85">
        <v>12718</v>
      </c>
      <c r="AR20" s="85">
        <v>26</v>
      </c>
      <c r="AS20" s="85">
        <v>26</v>
      </c>
      <c r="AT20" s="85">
        <v>37</v>
      </c>
      <c r="AU20" s="85">
        <v>37</v>
      </c>
      <c r="AV20" s="85">
        <v>0</v>
      </c>
      <c r="AW20" s="85">
        <v>0</v>
      </c>
      <c r="AX20" s="85">
        <v>0</v>
      </c>
      <c r="AY20" s="85">
        <v>0</v>
      </c>
      <c r="AZ20" s="85">
        <v>53164</v>
      </c>
      <c r="BA20" s="85">
        <v>53164</v>
      </c>
      <c r="BB20" s="85">
        <v>16982</v>
      </c>
      <c r="BC20" s="85">
        <v>16982</v>
      </c>
      <c r="BD20" s="85">
        <v>60013</v>
      </c>
      <c r="BE20" s="85">
        <v>60013</v>
      </c>
      <c r="BF20" s="85">
        <v>575010</v>
      </c>
      <c r="BG20" s="85">
        <v>575010</v>
      </c>
      <c r="BH20" s="85">
        <v>7</v>
      </c>
      <c r="BI20" s="85">
        <v>73568267</v>
      </c>
      <c r="BJ20" s="85">
        <v>71217667</v>
      </c>
      <c r="BK20" s="86">
        <f>+BJ20/BI20</f>
        <v>0.96804872405109121</v>
      </c>
      <c r="BL20" s="566" t="s">
        <v>86</v>
      </c>
      <c r="BM20" s="87" t="s">
        <v>486</v>
      </c>
      <c r="BN20" s="585">
        <v>43467</v>
      </c>
      <c r="BO20" s="585">
        <v>43481</v>
      </c>
      <c r="BP20" s="585">
        <v>43830</v>
      </c>
      <c r="BQ20" s="586">
        <v>42921</v>
      </c>
      <c r="BR20" s="587" t="s">
        <v>487</v>
      </c>
      <c r="BS20" s="570"/>
    </row>
    <row r="21" spans="1:71" ht="105" x14ac:dyDescent="0.2">
      <c r="A21" s="534"/>
      <c r="B21" s="535"/>
      <c r="C21" s="536"/>
      <c r="D21" s="577"/>
      <c r="E21" s="578"/>
      <c r="F21" s="579"/>
      <c r="G21" s="580"/>
      <c r="H21" s="581"/>
      <c r="I21" s="582"/>
      <c r="J21" s="566">
        <v>280</v>
      </c>
      <c r="K21" s="563" t="s">
        <v>488</v>
      </c>
      <c r="L21" s="563" t="s">
        <v>489</v>
      </c>
      <c r="M21" s="588">
        <v>1</v>
      </c>
      <c r="N21" s="566">
        <v>0</v>
      </c>
      <c r="O21" s="589"/>
      <c r="P21" s="2720" t="s">
        <v>490</v>
      </c>
      <c r="Q21" s="2723" t="s">
        <v>491</v>
      </c>
      <c r="R21" s="590">
        <f>+(W21)/S21</f>
        <v>4.7634108705444855E-3</v>
      </c>
      <c r="S21" s="2726">
        <f>SUM(W21:W25)</f>
        <v>5216850000</v>
      </c>
      <c r="T21" s="2720" t="s">
        <v>492</v>
      </c>
      <c r="U21" s="563" t="s">
        <v>493</v>
      </c>
      <c r="V21" s="563" t="s">
        <v>494</v>
      </c>
      <c r="W21" s="591">
        <v>24850000</v>
      </c>
      <c r="X21" s="591"/>
      <c r="Y21" s="591"/>
      <c r="Z21" s="592">
        <v>20</v>
      </c>
      <c r="AA21" s="593" t="s">
        <v>86</v>
      </c>
      <c r="AB21" s="2703">
        <v>292684</v>
      </c>
      <c r="AC21" s="2703">
        <v>292685</v>
      </c>
      <c r="AD21" s="2703">
        <v>282326</v>
      </c>
      <c r="AE21" s="2703">
        <v>282327</v>
      </c>
      <c r="AF21" s="2703">
        <v>135912</v>
      </c>
      <c r="AG21" s="2703">
        <v>135913</v>
      </c>
      <c r="AH21" s="2703">
        <v>45122</v>
      </c>
      <c r="AI21" s="2703">
        <v>45123</v>
      </c>
      <c r="AJ21" s="2703">
        <v>307101</v>
      </c>
      <c r="AK21" s="2703">
        <v>307102</v>
      </c>
      <c r="AL21" s="2703">
        <v>86875</v>
      </c>
      <c r="AM21" s="2703">
        <v>86876</v>
      </c>
      <c r="AN21" s="2703">
        <v>2145</v>
      </c>
      <c r="AO21" s="2703">
        <v>2146</v>
      </c>
      <c r="AP21" s="2703">
        <v>12718</v>
      </c>
      <c r="AQ21" s="2703">
        <v>12719</v>
      </c>
      <c r="AR21" s="2703">
        <v>26</v>
      </c>
      <c r="AS21" s="2703">
        <v>26</v>
      </c>
      <c r="AT21" s="2703">
        <v>37</v>
      </c>
      <c r="AU21" s="2703">
        <v>37</v>
      </c>
      <c r="AV21" s="2703">
        <v>0</v>
      </c>
      <c r="AW21" s="2703">
        <v>0</v>
      </c>
      <c r="AX21" s="2703">
        <v>0</v>
      </c>
      <c r="AY21" s="2703">
        <v>0</v>
      </c>
      <c r="AZ21" s="2703">
        <v>53164</v>
      </c>
      <c r="BA21" s="2703">
        <v>53.164000000000001</v>
      </c>
      <c r="BB21" s="2703">
        <v>16982</v>
      </c>
      <c r="BC21" s="2703">
        <v>16.981999999999999</v>
      </c>
      <c r="BD21" s="2703">
        <v>60013</v>
      </c>
      <c r="BE21" s="2703">
        <v>60.012999999999998</v>
      </c>
      <c r="BF21" s="2703">
        <v>575010</v>
      </c>
      <c r="BG21" s="2703">
        <v>575010</v>
      </c>
      <c r="BH21" s="2703">
        <v>6</v>
      </c>
      <c r="BI21" s="2703">
        <v>888019579</v>
      </c>
      <c r="BJ21" s="2703">
        <v>879519579</v>
      </c>
      <c r="BK21" s="2719">
        <f>+BJ21/BI21</f>
        <v>0.99042813897237281</v>
      </c>
      <c r="BL21" s="2742" t="s">
        <v>495</v>
      </c>
      <c r="BM21" s="2742" t="s">
        <v>496</v>
      </c>
      <c r="BN21" s="2737">
        <v>43101</v>
      </c>
      <c r="BO21" s="2737">
        <v>43636</v>
      </c>
      <c r="BP21" s="2737">
        <v>43465</v>
      </c>
      <c r="BQ21" s="2737">
        <v>43809</v>
      </c>
      <c r="BR21" s="587" t="s">
        <v>497</v>
      </c>
    </row>
    <row r="22" spans="1:71" ht="45" customHeight="1" x14ac:dyDescent="0.2">
      <c r="A22" s="534"/>
      <c r="B22" s="535"/>
      <c r="C22" s="536"/>
      <c r="D22" s="577"/>
      <c r="E22" s="578"/>
      <c r="F22" s="579"/>
      <c r="G22" s="580"/>
      <c r="H22" s="581"/>
      <c r="I22" s="582"/>
      <c r="J22" s="2706">
        <v>281</v>
      </c>
      <c r="K22" s="2708" t="s">
        <v>498</v>
      </c>
      <c r="L22" s="2707" t="s">
        <v>499</v>
      </c>
      <c r="M22" s="2740">
        <v>1</v>
      </c>
      <c r="N22" s="2706">
        <v>0</v>
      </c>
      <c r="O22" s="2721" t="s">
        <v>500</v>
      </c>
      <c r="P22" s="2721"/>
      <c r="Q22" s="2724"/>
      <c r="R22" s="2730">
        <f>+(W22+W23)/S21</f>
        <v>1.6005827271246057E-2</v>
      </c>
      <c r="S22" s="2727"/>
      <c r="T22" s="2721"/>
      <c r="U22" s="2707" t="s">
        <v>501</v>
      </c>
      <c r="V22" s="563" t="s">
        <v>502</v>
      </c>
      <c r="W22" s="594">
        <f>83500000-83500000</f>
        <v>0</v>
      </c>
      <c r="X22" s="595"/>
      <c r="Y22" s="595"/>
      <c r="Z22" s="592">
        <v>20</v>
      </c>
      <c r="AA22" s="593" t="s">
        <v>87</v>
      </c>
      <c r="AB22" s="2704"/>
      <c r="AC22" s="2704"/>
      <c r="AD22" s="2704"/>
      <c r="AE22" s="2704"/>
      <c r="AF22" s="2704"/>
      <c r="AG22" s="2704"/>
      <c r="AH22" s="2704"/>
      <c r="AI22" s="2704"/>
      <c r="AJ22" s="2704"/>
      <c r="AK22" s="2704"/>
      <c r="AL22" s="2704"/>
      <c r="AM22" s="2704"/>
      <c r="AN22" s="2704"/>
      <c r="AO22" s="2704"/>
      <c r="AP22" s="2704"/>
      <c r="AQ22" s="2704"/>
      <c r="AR22" s="2704"/>
      <c r="AS22" s="2704"/>
      <c r="AT22" s="2704"/>
      <c r="AU22" s="2704"/>
      <c r="AV22" s="2704"/>
      <c r="AW22" s="2704"/>
      <c r="AX22" s="2704"/>
      <c r="AY22" s="2704"/>
      <c r="AZ22" s="2704"/>
      <c r="BA22" s="2704"/>
      <c r="BB22" s="2704"/>
      <c r="BC22" s="2704"/>
      <c r="BD22" s="2704"/>
      <c r="BE22" s="2704"/>
      <c r="BF22" s="2704"/>
      <c r="BG22" s="2704"/>
      <c r="BH22" s="2704"/>
      <c r="BI22" s="2704"/>
      <c r="BJ22" s="2704"/>
      <c r="BK22" s="2719"/>
      <c r="BL22" s="2743"/>
      <c r="BM22" s="2743"/>
      <c r="BN22" s="2738"/>
      <c r="BO22" s="2738"/>
      <c r="BP22" s="2738"/>
      <c r="BQ22" s="2738"/>
      <c r="BR22" s="2718" t="s">
        <v>503</v>
      </c>
    </row>
    <row r="23" spans="1:71" ht="30" x14ac:dyDescent="0.2">
      <c r="A23" s="534"/>
      <c r="B23" s="535"/>
      <c r="C23" s="536"/>
      <c r="D23" s="577"/>
      <c r="E23" s="578"/>
      <c r="F23" s="579"/>
      <c r="G23" s="580"/>
      <c r="H23" s="581"/>
      <c r="I23" s="582"/>
      <c r="J23" s="2706"/>
      <c r="K23" s="2710"/>
      <c r="L23" s="2707"/>
      <c r="M23" s="2740"/>
      <c r="N23" s="2706"/>
      <c r="O23" s="2721"/>
      <c r="P23" s="2721"/>
      <c r="Q23" s="2724"/>
      <c r="R23" s="2731"/>
      <c r="S23" s="2727"/>
      <c r="T23" s="2721"/>
      <c r="U23" s="2707"/>
      <c r="V23" s="563" t="s">
        <v>504</v>
      </c>
      <c r="W23" s="594">
        <f>0+83500000</f>
        <v>83500000</v>
      </c>
      <c r="X23" s="595"/>
      <c r="Y23" s="595"/>
      <c r="Z23" s="592">
        <v>20</v>
      </c>
      <c r="AA23" s="593" t="s">
        <v>87</v>
      </c>
      <c r="AB23" s="2704"/>
      <c r="AC23" s="2704"/>
      <c r="AD23" s="2704"/>
      <c r="AE23" s="2704"/>
      <c r="AF23" s="2704"/>
      <c r="AG23" s="2704"/>
      <c r="AH23" s="2704"/>
      <c r="AI23" s="2704"/>
      <c r="AJ23" s="2704"/>
      <c r="AK23" s="2704"/>
      <c r="AL23" s="2704"/>
      <c r="AM23" s="2704"/>
      <c r="AN23" s="2704"/>
      <c r="AO23" s="2704"/>
      <c r="AP23" s="2704"/>
      <c r="AQ23" s="2704"/>
      <c r="AR23" s="2704"/>
      <c r="AS23" s="2704"/>
      <c r="AT23" s="2704"/>
      <c r="AU23" s="2704"/>
      <c r="AV23" s="2704"/>
      <c r="AW23" s="2704"/>
      <c r="AX23" s="2704"/>
      <c r="AY23" s="2704"/>
      <c r="AZ23" s="2704"/>
      <c r="BA23" s="2704"/>
      <c r="BB23" s="2704"/>
      <c r="BC23" s="2704"/>
      <c r="BD23" s="2704"/>
      <c r="BE23" s="2704"/>
      <c r="BF23" s="2704"/>
      <c r="BG23" s="2704"/>
      <c r="BH23" s="2704"/>
      <c r="BI23" s="2704"/>
      <c r="BJ23" s="2704"/>
      <c r="BK23" s="2719"/>
      <c r="BL23" s="2743"/>
      <c r="BM23" s="2743"/>
      <c r="BN23" s="2738"/>
      <c r="BO23" s="2738"/>
      <c r="BP23" s="2738"/>
      <c r="BQ23" s="2738"/>
      <c r="BR23" s="2718"/>
    </row>
    <row r="24" spans="1:71" ht="75" x14ac:dyDescent="0.2">
      <c r="A24" s="534"/>
      <c r="B24" s="535"/>
      <c r="C24" s="536"/>
      <c r="D24" s="577"/>
      <c r="E24" s="578"/>
      <c r="F24" s="579"/>
      <c r="G24" s="580"/>
      <c r="H24" s="581"/>
      <c r="I24" s="582"/>
      <c r="J24" s="566">
        <v>287</v>
      </c>
      <c r="K24" s="563" t="s">
        <v>505</v>
      </c>
      <c r="L24" s="563" t="s">
        <v>506</v>
      </c>
      <c r="M24" s="588">
        <v>1</v>
      </c>
      <c r="N24" s="566">
        <v>0.5</v>
      </c>
      <c r="O24" s="596"/>
      <c r="P24" s="2721"/>
      <c r="Q24" s="2724"/>
      <c r="R24" s="590">
        <f>+W24/S21</f>
        <v>2.0797991124912544E-2</v>
      </c>
      <c r="S24" s="2727"/>
      <c r="T24" s="2721"/>
      <c r="U24" s="563" t="s">
        <v>507</v>
      </c>
      <c r="V24" s="597" t="s">
        <v>508</v>
      </c>
      <c r="W24" s="591">
        <v>108500000</v>
      </c>
      <c r="X24" s="591">
        <v>67145000</v>
      </c>
      <c r="Y24" s="591">
        <v>58645000</v>
      </c>
      <c r="Z24" s="592">
        <v>20</v>
      </c>
      <c r="AA24" s="593" t="s">
        <v>87</v>
      </c>
      <c r="AB24" s="2704"/>
      <c r="AC24" s="2704"/>
      <c r="AD24" s="2704"/>
      <c r="AE24" s="2704"/>
      <c r="AF24" s="2704"/>
      <c r="AG24" s="2704"/>
      <c r="AH24" s="2704"/>
      <c r="AI24" s="2704"/>
      <c r="AJ24" s="2704"/>
      <c r="AK24" s="2704"/>
      <c r="AL24" s="2704"/>
      <c r="AM24" s="2704"/>
      <c r="AN24" s="2704"/>
      <c r="AO24" s="2704"/>
      <c r="AP24" s="2704"/>
      <c r="AQ24" s="2704"/>
      <c r="AR24" s="2704"/>
      <c r="AS24" s="2704"/>
      <c r="AT24" s="2704"/>
      <c r="AU24" s="2704"/>
      <c r="AV24" s="2704"/>
      <c r="AW24" s="2704"/>
      <c r="AX24" s="2704"/>
      <c r="AY24" s="2704"/>
      <c r="AZ24" s="2704"/>
      <c r="BA24" s="2704"/>
      <c r="BB24" s="2704"/>
      <c r="BC24" s="2704"/>
      <c r="BD24" s="2704"/>
      <c r="BE24" s="2704"/>
      <c r="BF24" s="2704"/>
      <c r="BG24" s="2704"/>
      <c r="BH24" s="2704"/>
      <c r="BI24" s="2704"/>
      <c r="BJ24" s="2704"/>
      <c r="BK24" s="2719"/>
      <c r="BL24" s="2743"/>
      <c r="BM24" s="2743"/>
      <c r="BN24" s="2738"/>
      <c r="BO24" s="2738"/>
      <c r="BP24" s="2738"/>
      <c r="BQ24" s="2738"/>
      <c r="BR24" s="587"/>
    </row>
    <row r="25" spans="1:71" ht="75.75" thickBot="1" x14ac:dyDescent="0.25">
      <c r="A25" s="598"/>
      <c r="B25" s="599"/>
      <c r="C25" s="600"/>
      <c r="D25" s="601"/>
      <c r="E25" s="602"/>
      <c r="F25" s="603"/>
      <c r="G25" s="604"/>
      <c r="H25" s="605"/>
      <c r="I25" s="606"/>
      <c r="J25" s="557">
        <v>289</v>
      </c>
      <c r="K25" s="558" t="s">
        <v>509</v>
      </c>
      <c r="L25" s="558" t="s">
        <v>510</v>
      </c>
      <c r="M25" s="607">
        <v>1</v>
      </c>
      <c r="N25" s="608">
        <v>0.6</v>
      </c>
      <c r="O25" s="596"/>
      <c r="P25" s="2722"/>
      <c r="Q25" s="2725"/>
      <c r="R25" s="609">
        <f>+W25/S21</f>
        <v>0.95843277073329691</v>
      </c>
      <c r="S25" s="2728"/>
      <c r="T25" s="2722"/>
      <c r="U25" s="558" t="s">
        <v>511</v>
      </c>
      <c r="V25" s="563" t="s">
        <v>512</v>
      </c>
      <c r="W25" s="610">
        <v>5000000000</v>
      </c>
      <c r="X25" s="611">
        <v>820874579</v>
      </c>
      <c r="Y25" s="611">
        <v>820874579</v>
      </c>
      <c r="Z25" s="612">
        <v>46</v>
      </c>
      <c r="AA25" s="613" t="s">
        <v>513</v>
      </c>
      <c r="AB25" s="2729"/>
      <c r="AC25" s="2729"/>
      <c r="AD25" s="2729"/>
      <c r="AE25" s="2729"/>
      <c r="AF25" s="2729"/>
      <c r="AG25" s="2729"/>
      <c r="AH25" s="2729"/>
      <c r="AI25" s="2729"/>
      <c r="AJ25" s="2729"/>
      <c r="AK25" s="2729"/>
      <c r="AL25" s="2729"/>
      <c r="AM25" s="2729"/>
      <c r="AN25" s="2729"/>
      <c r="AO25" s="2729"/>
      <c r="AP25" s="2729"/>
      <c r="AQ25" s="2729"/>
      <c r="AR25" s="2729"/>
      <c r="AS25" s="2729"/>
      <c r="AT25" s="2729"/>
      <c r="AU25" s="2729"/>
      <c r="AV25" s="2729"/>
      <c r="AW25" s="2729"/>
      <c r="AX25" s="2729"/>
      <c r="AY25" s="2729"/>
      <c r="AZ25" s="2729"/>
      <c r="BA25" s="2729"/>
      <c r="BB25" s="2729"/>
      <c r="BC25" s="2729"/>
      <c r="BD25" s="2729"/>
      <c r="BE25" s="2729"/>
      <c r="BF25" s="2729"/>
      <c r="BG25" s="2729"/>
      <c r="BH25" s="2729"/>
      <c r="BI25" s="2729"/>
      <c r="BJ25" s="2729"/>
      <c r="BK25" s="2741"/>
      <c r="BL25" s="2744"/>
      <c r="BM25" s="2744"/>
      <c r="BN25" s="2739"/>
      <c r="BO25" s="2739"/>
      <c r="BP25" s="2739"/>
      <c r="BQ25" s="2739"/>
      <c r="BR25" s="614" t="s">
        <v>514</v>
      </c>
    </row>
    <row r="26" spans="1:71" ht="29.25" customHeight="1" thickBot="1" x14ac:dyDescent="0.3">
      <c r="A26" s="615" t="s">
        <v>515</v>
      </c>
      <c r="B26" s="616"/>
      <c r="C26" s="616"/>
      <c r="D26" s="616"/>
      <c r="E26" s="616"/>
      <c r="F26" s="616"/>
      <c r="G26" s="616"/>
      <c r="H26" s="616"/>
      <c r="I26" s="616"/>
      <c r="J26" s="617"/>
      <c r="K26" s="618"/>
      <c r="L26" s="619"/>
      <c r="M26" s="620"/>
      <c r="N26" s="621"/>
      <c r="O26" s="618"/>
      <c r="P26" s="619"/>
      <c r="Q26" s="619"/>
      <c r="R26" s="622"/>
      <c r="S26" s="623">
        <f>SUM(S16:S25)</f>
        <v>5413858467</v>
      </c>
      <c r="T26" s="624"/>
      <c r="U26" s="618"/>
      <c r="V26" s="625"/>
      <c r="W26" s="626">
        <f>SUM(W16:W25)</f>
        <v>5413858467</v>
      </c>
      <c r="X26" s="626">
        <f>SUM(X16:X25)</f>
        <v>1066449146</v>
      </c>
      <c r="Y26" s="626">
        <f>SUM(Y16:Y25)</f>
        <v>1051676046</v>
      </c>
      <c r="Z26" s="627"/>
      <c r="AA26" s="628"/>
      <c r="AB26" s="629"/>
      <c r="AC26" s="629"/>
      <c r="AD26" s="629"/>
      <c r="AE26" s="629"/>
      <c r="AF26" s="629"/>
      <c r="AG26" s="629"/>
      <c r="AH26" s="629"/>
      <c r="AI26" s="629"/>
      <c r="AJ26" s="629"/>
      <c r="AK26" s="629"/>
      <c r="AL26" s="629"/>
      <c r="AM26" s="629"/>
      <c r="AN26" s="628"/>
      <c r="AO26" s="628"/>
      <c r="AP26" s="628"/>
      <c r="AQ26" s="628"/>
      <c r="AR26" s="628"/>
      <c r="AS26" s="628"/>
      <c r="AT26" s="628"/>
      <c r="AU26" s="628"/>
      <c r="AV26" s="628"/>
      <c r="AW26" s="628"/>
      <c r="AX26" s="628"/>
      <c r="AY26" s="628"/>
      <c r="AZ26" s="628"/>
      <c r="BA26" s="628"/>
      <c r="BB26" s="628"/>
      <c r="BC26" s="628"/>
      <c r="BD26" s="628"/>
      <c r="BE26" s="628"/>
      <c r="BF26" s="628"/>
      <c r="BG26" s="628"/>
      <c r="BH26" s="628"/>
      <c r="BI26" s="630">
        <f>SUM(BI16:BI25)</f>
        <v>1066449146</v>
      </c>
      <c r="BJ26" s="630">
        <f>SUM(BJ16:BJ25)</f>
        <v>1051676046</v>
      </c>
      <c r="BK26" s="631"/>
      <c r="BL26" s="628"/>
      <c r="BM26" s="628"/>
      <c r="BN26" s="632"/>
      <c r="BO26" s="632"/>
      <c r="BP26" s="632"/>
      <c r="BQ26" s="632"/>
      <c r="BR26" s="633"/>
    </row>
    <row r="27" spans="1:71" x14ac:dyDescent="0.2">
      <c r="A27" s="634"/>
      <c r="B27" s="634"/>
      <c r="C27" s="634"/>
      <c r="D27" s="634"/>
      <c r="E27" s="634"/>
      <c r="F27" s="634"/>
      <c r="G27" s="634"/>
      <c r="H27" s="634"/>
      <c r="I27" s="634"/>
      <c r="J27" s="635"/>
      <c r="K27" s="636"/>
      <c r="L27" s="635"/>
      <c r="M27" s="635"/>
      <c r="N27" s="635"/>
      <c r="O27" s="635"/>
      <c r="P27" s="635"/>
      <c r="Q27" s="636"/>
      <c r="R27" s="637"/>
      <c r="S27" s="638"/>
      <c r="T27" s="636"/>
      <c r="U27" s="636"/>
      <c r="V27" s="636"/>
      <c r="W27" s="639"/>
      <c r="X27" s="639"/>
      <c r="Y27" s="639"/>
      <c r="Z27" s="640"/>
      <c r="AA27" s="641"/>
      <c r="AB27" s="642"/>
      <c r="AC27" s="642"/>
      <c r="AD27" s="642"/>
      <c r="AE27" s="642"/>
      <c r="AF27" s="642"/>
      <c r="AG27" s="642"/>
      <c r="AH27" s="642"/>
      <c r="AI27" s="642"/>
      <c r="AJ27" s="642"/>
      <c r="AK27" s="642"/>
      <c r="AL27" s="642"/>
      <c r="AM27" s="642"/>
      <c r="AN27" s="642"/>
      <c r="AO27" s="642"/>
      <c r="AP27" s="642"/>
      <c r="AQ27" s="642"/>
      <c r="AR27" s="642"/>
      <c r="AS27" s="642"/>
      <c r="AT27" s="642"/>
      <c r="AU27" s="642"/>
      <c r="AV27" s="642"/>
      <c r="AW27" s="642"/>
      <c r="AX27" s="642"/>
      <c r="AY27" s="642"/>
      <c r="AZ27" s="642"/>
      <c r="BA27" s="642"/>
      <c r="BB27" s="642"/>
      <c r="BC27" s="642"/>
      <c r="BD27" s="642"/>
      <c r="BE27" s="642"/>
      <c r="BF27" s="642"/>
      <c r="BG27" s="642"/>
      <c r="BH27" s="642"/>
      <c r="BI27" s="642"/>
      <c r="BJ27" s="642"/>
      <c r="BK27" s="643"/>
      <c r="BL27" s="642"/>
      <c r="BM27" s="642"/>
      <c r="BN27" s="642"/>
      <c r="BO27" s="642"/>
      <c r="BP27" s="642"/>
      <c r="BQ27" s="642"/>
      <c r="BR27" s="642"/>
    </row>
    <row r="28" spans="1:71" x14ac:dyDescent="0.2">
      <c r="A28" s="634"/>
      <c r="B28" s="634"/>
      <c r="C28" s="634"/>
      <c r="D28" s="634"/>
      <c r="E28" s="634"/>
      <c r="F28" s="634"/>
      <c r="G28" s="634"/>
      <c r="H28" s="634"/>
      <c r="I28" s="634"/>
      <c r="J28" s="635"/>
      <c r="K28" s="636"/>
      <c r="L28" s="635"/>
      <c r="M28" s="635"/>
      <c r="N28" s="635"/>
      <c r="O28" s="635"/>
      <c r="P28" s="635"/>
      <c r="Q28" s="636"/>
      <c r="R28" s="637"/>
      <c r="S28" s="644"/>
      <c r="T28" s="636"/>
      <c r="U28" s="636"/>
      <c r="V28" s="636"/>
      <c r="W28" s="645"/>
      <c r="X28" s="645"/>
      <c r="Y28" s="645"/>
      <c r="Z28" s="640"/>
      <c r="AA28" s="641"/>
      <c r="AB28" s="642"/>
      <c r="AC28" s="642"/>
      <c r="AD28" s="642"/>
      <c r="AE28" s="642"/>
      <c r="AF28" s="642"/>
      <c r="AG28" s="642"/>
      <c r="AH28" s="642"/>
      <c r="AI28" s="642"/>
      <c r="AJ28" s="642"/>
      <c r="AK28" s="642"/>
      <c r="AL28" s="642"/>
      <c r="AM28" s="642"/>
      <c r="AN28" s="642"/>
      <c r="AO28" s="642"/>
      <c r="AP28" s="642"/>
      <c r="AQ28" s="642"/>
      <c r="AR28" s="642"/>
      <c r="AS28" s="642"/>
      <c r="AT28" s="642"/>
      <c r="AU28" s="642"/>
      <c r="AV28" s="642"/>
      <c r="AW28" s="642"/>
      <c r="AX28" s="642"/>
      <c r="AY28" s="642"/>
      <c r="AZ28" s="642"/>
      <c r="BA28" s="642"/>
      <c r="BB28" s="642"/>
      <c r="BC28" s="642"/>
      <c r="BD28" s="642"/>
      <c r="BE28" s="642"/>
      <c r="BF28" s="642"/>
      <c r="BG28" s="642"/>
      <c r="BH28" s="642"/>
      <c r="BI28" s="642"/>
      <c r="BJ28" s="642"/>
      <c r="BK28" s="643"/>
      <c r="BL28" s="642"/>
      <c r="BM28" s="642"/>
      <c r="BN28" s="642"/>
      <c r="BO28" s="642"/>
      <c r="BP28" s="642"/>
      <c r="BQ28" s="642"/>
      <c r="BR28" s="642"/>
    </row>
    <row r="29" spans="1:71" ht="15.75" x14ac:dyDescent="0.25">
      <c r="A29" s="646"/>
      <c r="B29" s="646" t="s">
        <v>516</v>
      </c>
      <c r="C29" s="646"/>
      <c r="D29" s="646"/>
      <c r="E29" s="646"/>
      <c r="F29" s="634"/>
      <c r="G29" s="634"/>
      <c r="H29" s="634"/>
      <c r="I29" s="634"/>
      <c r="J29" s="635"/>
      <c r="K29" s="636"/>
      <c r="L29" s="635"/>
      <c r="M29" s="635"/>
      <c r="N29" s="635"/>
      <c r="O29" s="635"/>
      <c r="P29" s="635"/>
      <c r="Q29" s="636"/>
      <c r="R29" s="637"/>
      <c r="S29" s="644"/>
      <c r="T29" s="636"/>
      <c r="U29" s="636"/>
      <c r="V29" s="636"/>
      <c r="W29" s="642"/>
      <c r="X29" s="642"/>
      <c r="Y29" s="642"/>
      <c r="Z29" s="640"/>
      <c r="AA29" s="641"/>
      <c r="AB29" s="642"/>
      <c r="AC29" s="642"/>
      <c r="AD29" s="642"/>
      <c r="AE29" s="642"/>
      <c r="AF29" s="642"/>
      <c r="AG29" s="642"/>
      <c r="AH29" s="642"/>
      <c r="AI29" s="642"/>
      <c r="AJ29" s="642"/>
      <c r="AK29" s="642"/>
      <c r="AL29" s="642"/>
      <c r="AM29" s="642"/>
      <c r="AN29" s="642"/>
      <c r="AO29" s="642"/>
      <c r="AP29" s="642"/>
      <c r="AQ29" s="642"/>
      <c r="AR29" s="642"/>
      <c r="AS29" s="642"/>
      <c r="AT29" s="642"/>
      <c r="AU29" s="642"/>
      <c r="AV29" s="642"/>
      <c r="AW29" s="642"/>
      <c r="AX29" s="642"/>
      <c r="AY29" s="642"/>
      <c r="AZ29" s="642"/>
      <c r="BA29" s="642"/>
      <c r="BB29" s="642"/>
      <c r="BC29" s="642"/>
      <c r="BD29" s="642"/>
      <c r="BE29" s="642"/>
      <c r="BF29" s="642"/>
      <c r="BG29" s="642"/>
      <c r="BH29" s="642"/>
      <c r="BI29" s="642"/>
      <c r="BJ29" s="642"/>
      <c r="BK29" s="643"/>
      <c r="BL29" s="642"/>
      <c r="BM29" s="642"/>
      <c r="BN29" s="642"/>
      <c r="BO29" s="642"/>
      <c r="BP29" s="642"/>
      <c r="BQ29" s="642"/>
      <c r="BR29" s="642"/>
    </row>
    <row r="30" spans="1:71" x14ac:dyDescent="0.2">
      <c r="B30" s="2" t="s">
        <v>517</v>
      </c>
      <c r="W30" s="649"/>
      <c r="X30" s="649"/>
      <c r="Y30" s="649"/>
    </row>
    <row r="32" spans="1:71" ht="15.75" x14ac:dyDescent="0.25">
      <c r="M32" s="2735" t="s">
        <v>516</v>
      </c>
      <c r="N32" s="2735"/>
      <c r="O32" s="2735"/>
      <c r="P32" s="2735"/>
    </row>
    <row r="33" spans="13:16" x14ac:dyDescent="0.2">
      <c r="M33" s="2736" t="s">
        <v>517</v>
      </c>
      <c r="N33" s="2736"/>
      <c r="O33" s="2736"/>
      <c r="P33" s="2736"/>
    </row>
  </sheetData>
  <sheetProtection password="CBEB" sheet="1" objects="1" scenarios="1"/>
  <mergeCells count="213">
    <mergeCell ref="BR22:BR23"/>
    <mergeCell ref="M32:P32"/>
    <mergeCell ref="M33:P33"/>
    <mergeCell ref="BN21:BN25"/>
    <mergeCell ref="BO21:BO25"/>
    <mergeCell ref="BP21:BP25"/>
    <mergeCell ref="BQ21:BQ25"/>
    <mergeCell ref="J22:J23"/>
    <mergeCell ref="K22:K23"/>
    <mergeCell ref="L22:L23"/>
    <mergeCell ref="M22:M23"/>
    <mergeCell ref="N22:N23"/>
    <mergeCell ref="O22:O23"/>
    <mergeCell ref="BH21:BH25"/>
    <mergeCell ref="BI21:BI25"/>
    <mergeCell ref="BJ21:BJ25"/>
    <mergeCell ref="BK21:BK25"/>
    <mergeCell ref="BL21:BL25"/>
    <mergeCell ref="BM21:BM25"/>
    <mergeCell ref="BB21:BB25"/>
    <mergeCell ref="BC21:BC25"/>
    <mergeCell ref="BD21:BD25"/>
    <mergeCell ref="BE21:BE25"/>
    <mergeCell ref="BF21:BF25"/>
    <mergeCell ref="BG21:BG25"/>
    <mergeCell ref="AV21:AV25"/>
    <mergeCell ref="AW21:AW25"/>
    <mergeCell ref="AX21:AX25"/>
    <mergeCell ref="AY21:AY25"/>
    <mergeCell ref="AZ21:AZ25"/>
    <mergeCell ref="BA21:BA25"/>
    <mergeCell ref="AP21:AP25"/>
    <mergeCell ref="AQ21:AQ25"/>
    <mergeCell ref="AR21:AR25"/>
    <mergeCell ref="AS21:AS25"/>
    <mergeCell ref="AT21:AT25"/>
    <mergeCell ref="AU21:AU25"/>
    <mergeCell ref="AJ21:AJ25"/>
    <mergeCell ref="AK21:AK25"/>
    <mergeCell ref="AL21:AL25"/>
    <mergeCell ref="AM21:AM25"/>
    <mergeCell ref="AN21:AN25"/>
    <mergeCell ref="AO21:AO25"/>
    <mergeCell ref="AD21:AD25"/>
    <mergeCell ref="AE21:AE25"/>
    <mergeCell ref="AF21:AF25"/>
    <mergeCell ref="AG21:AG25"/>
    <mergeCell ref="AH21:AH25"/>
    <mergeCell ref="AI21:AI25"/>
    <mergeCell ref="P21:P25"/>
    <mergeCell ref="Q21:Q25"/>
    <mergeCell ref="S21:S25"/>
    <mergeCell ref="T21:T25"/>
    <mergeCell ref="AB21:AB25"/>
    <mergeCell ref="AC21:AC25"/>
    <mergeCell ref="R22:R23"/>
    <mergeCell ref="U22:U23"/>
    <mergeCell ref="BM17:BM19"/>
    <mergeCell ref="BA17:BA19"/>
    <mergeCell ref="BB17:BB19"/>
    <mergeCell ref="BC17:BC19"/>
    <mergeCell ref="BD17:BD19"/>
    <mergeCell ref="BE17:BE19"/>
    <mergeCell ref="BF17:BF19"/>
    <mergeCell ref="AU17:AU19"/>
    <mergeCell ref="AV17:AV19"/>
    <mergeCell ref="AW17:AW19"/>
    <mergeCell ref="AX17:AX19"/>
    <mergeCell ref="AY17:AY19"/>
    <mergeCell ref="AZ17:AZ19"/>
    <mergeCell ref="AO17:AO19"/>
    <mergeCell ref="AP17:AP19"/>
    <mergeCell ref="AQ17:AQ19"/>
    <mergeCell ref="AC9:AC12"/>
    <mergeCell ref="AD9:AD12"/>
    <mergeCell ref="BN17:BN19"/>
    <mergeCell ref="BO17:BO19"/>
    <mergeCell ref="BP17:BP19"/>
    <mergeCell ref="BQ17:BQ19"/>
    <mergeCell ref="BR17:BR19"/>
    <mergeCell ref="BG17:BG19"/>
    <mergeCell ref="BH17:BH19"/>
    <mergeCell ref="BI17:BI19"/>
    <mergeCell ref="BJ17:BJ19"/>
    <mergeCell ref="BK17:BK19"/>
    <mergeCell ref="BL17:BL19"/>
    <mergeCell ref="AC17:AC19"/>
    <mergeCell ref="AD17:AD19"/>
    <mergeCell ref="AE17:AE19"/>
    <mergeCell ref="AF17:AF19"/>
    <mergeCell ref="AG17:AG19"/>
    <mergeCell ref="AH17:AH19"/>
    <mergeCell ref="AR17:AR19"/>
    <mergeCell ref="AS17:AS19"/>
    <mergeCell ref="AT17:AT19"/>
    <mergeCell ref="AI17:AI19"/>
    <mergeCell ref="AJ17:AJ19"/>
    <mergeCell ref="AK17:AK19"/>
    <mergeCell ref="AL17:AL19"/>
    <mergeCell ref="AM17:AM19"/>
    <mergeCell ref="AN17:AN19"/>
    <mergeCell ref="J17:J19"/>
    <mergeCell ref="K17:K19"/>
    <mergeCell ref="L17:L19"/>
    <mergeCell ref="M17:M19"/>
    <mergeCell ref="N17:N19"/>
    <mergeCell ref="O17:O19"/>
    <mergeCell ref="P17:P19"/>
    <mergeCell ref="Q17:Q19"/>
    <mergeCell ref="R17:R19"/>
    <mergeCell ref="S17:S19"/>
    <mergeCell ref="T17:T19"/>
    <mergeCell ref="AB17:AB19"/>
    <mergeCell ref="M9:M11"/>
    <mergeCell ref="N9:N11"/>
    <mergeCell ref="W9:W12"/>
    <mergeCell ref="X9:X12"/>
    <mergeCell ref="Y9:Y12"/>
    <mergeCell ref="AB9:AB12"/>
    <mergeCell ref="BR7:BR12"/>
    <mergeCell ref="AN7:AY7"/>
    <mergeCell ref="AZ7:BE7"/>
    <mergeCell ref="AN8:AO8"/>
    <mergeCell ref="AP8:AQ8"/>
    <mergeCell ref="AR8:AS8"/>
    <mergeCell ref="BM8:BM9"/>
    <mergeCell ref="BF8:BG8"/>
    <mergeCell ref="BH8:BH9"/>
    <mergeCell ref="BI8:BI9"/>
    <mergeCell ref="BJ8:BJ9"/>
    <mergeCell ref="BK8:BK9"/>
    <mergeCell ref="BL8:BL9"/>
    <mergeCell ref="AT8:AU8"/>
    <mergeCell ref="AV8:AW8"/>
    <mergeCell ref="BB9:BB12"/>
    <mergeCell ref="BP9:BP12"/>
    <mergeCell ref="BQ9:BQ12"/>
    <mergeCell ref="AM9:AM12"/>
    <mergeCell ref="AE9:AE12"/>
    <mergeCell ref="AZ8:BA8"/>
    <mergeCell ref="BB8:BC8"/>
    <mergeCell ref="BD8:BE8"/>
    <mergeCell ref="AX9:AX12"/>
    <mergeCell ref="AY9:AY12"/>
    <mergeCell ref="AZ9:AZ12"/>
    <mergeCell ref="BA9:BA12"/>
    <mergeCell ref="AO9:AO12"/>
    <mergeCell ref="AP9:AP12"/>
    <mergeCell ref="AQ9:AQ12"/>
    <mergeCell ref="BF7:BG7"/>
    <mergeCell ref="BH7:BM7"/>
    <mergeCell ref="BN7:BO8"/>
    <mergeCell ref="BP7:BQ8"/>
    <mergeCell ref="BD9:BD12"/>
    <mergeCell ref="BE9:BE12"/>
    <mergeCell ref="BF9:BF12"/>
    <mergeCell ref="BG9:BG12"/>
    <mergeCell ref="BN9:BN12"/>
    <mergeCell ref="BO9:BO12"/>
    <mergeCell ref="BH10:BH12"/>
    <mergeCell ref="BI10:BI12"/>
    <mergeCell ref="BJ10:BJ12"/>
    <mergeCell ref="BK10:BK12"/>
    <mergeCell ref="BL10:BL12"/>
    <mergeCell ref="BM10:BM12"/>
    <mergeCell ref="Z8:Z12"/>
    <mergeCell ref="BC9:BC12"/>
    <mergeCell ref="AF8:AG8"/>
    <mergeCell ref="AH8:AI8"/>
    <mergeCell ref="AJ8:AK8"/>
    <mergeCell ref="W7:Y8"/>
    <mergeCell ref="AA7:AA12"/>
    <mergeCell ref="AB7:AE7"/>
    <mergeCell ref="AF7:AM7"/>
    <mergeCell ref="AL8:AM8"/>
    <mergeCell ref="AX8:AY8"/>
    <mergeCell ref="AF9:AF12"/>
    <mergeCell ref="AG9:AG12"/>
    <mergeCell ref="AH9:AH12"/>
    <mergeCell ref="AI9:AI12"/>
    <mergeCell ref="AJ9:AJ12"/>
    <mergeCell ref="AK9:AK12"/>
    <mergeCell ref="AR9:AR12"/>
    <mergeCell ref="AS9:AS12"/>
    <mergeCell ref="AT9:AT12"/>
    <mergeCell ref="AU9:AU12"/>
    <mergeCell ref="AV9:AV12"/>
    <mergeCell ref="AW9:AW12"/>
    <mergeCell ref="AL9:AL12"/>
    <mergeCell ref="AB8:AC8"/>
    <mergeCell ref="AN9:AN12"/>
    <mergeCell ref="A1:BP4"/>
    <mergeCell ref="A5:M6"/>
    <mergeCell ref="O5:BR5"/>
    <mergeCell ref="AB6:BD6"/>
    <mergeCell ref="A7:A12"/>
    <mergeCell ref="B7:C12"/>
    <mergeCell ref="D7:D12"/>
    <mergeCell ref="E7:F12"/>
    <mergeCell ref="G7:G12"/>
    <mergeCell ref="H7:I12"/>
    <mergeCell ref="Q7:Q12"/>
    <mergeCell ref="R7:R12"/>
    <mergeCell ref="S7:S12"/>
    <mergeCell ref="T7:T12"/>
    <mergeCell ref="U7:U12"/>
    <mergeCell ref="V7:V12"/>
    <mergeCell ref="J7:J12"/>
    <mergeCell ref="K7:K12"/>
    <mergeCell ref="L7:L12"/>
    <mergeCell ref="M7:N8"/>
    <mergeCell ref="O7:O12"/>
    <mergeCell ref="P7:P12"/>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CL135"/>
  <sheetViews>
    <sheetView showGridLines="0" zoomScale="60" zoomScaleNormal="60" workbookViewId="0">
      <selection sqref="A1:BP4"/>
    </sheetView>
  </sheetViews>
  <sheetFormatPr baseColWidth="10" defaultColWidth="11.42578125" defaultRowHeight="15" x14ac:dyDescent="0.2"/>
  <cols>
    <col min="1" max="1" width="14.28515625" style="136" customWidth="1"/>
    <col min="2" max="2" width="6.140625" style="136" customWidth="1"/>
    <col min="3" max="3" width="15.140625" style="136" customWidth="1"/>
    <col min="4" max="4" width="16.28515625" style="136" customWidth="1"/>
    <col min="5" max="5" width="6.28515625" style="136" customWidth="1"/>
    <col min="6" max="6" width="12" style="136" customWidth="1"/>
    <col min="7" max="7" width="17.7109375" style="136" customWidth="1"/>
    <col min="8" max="8" width="5.7109375" style="136" customWidth="1"/>
    <col min="9" max="9" width="20.7109375" style="136" customWidth="1"/>
    <col min="10" max="10" width="20" style="136" customWidth="1"/>
    <col min="11" max="11" width="44.28515625" style="136" customWidth="1"/>
    <col min="12" max="12" width="36.5703125" style="136" customWidth="1"/>
    <col min="13" max="14" width="14.7109375" style="136" customWidth="1"/>
    <col min="15" max="15" width="40" style="485" customWidth="1"/>
    <col min="16" max="16" width="27.5703125" style="136" customWidth="1"/>
    <col min="17" max="17" width="35" style="136" customWidth="1"/>
    <col min="18" max="18" width="14.42578125" style="136" customWidth="1"/>
    <col min="19" max="19" width="30.85546875" style="136" customWidth="1"/>
    <col min="20" max="20" width="38.42578125" style="136" customWidth="1"/>
    <col min="21" max="21" width="44" style="136" customWidth="1"/>
    <col min="22" max="22" width="37" style="136" customWidth="1"/>
    <col min="23" max="23" width="30.28515625" style="136" customWidth="1"/>
    <col min="24" max="25" width="29.42578125" style="136" customWidth="1"/>
    <col min="26" max="26" width="13.5703125" style="485" customWidth="1"/>
    <col min="27" max="27" width="24.140625" style="489" customWidth="1"/>
    <col min="28" max="28" width="11.5703125" style="136" customWidth="1"/>
    <col min="29" max="31" width="9" style="136" customWidth="1"/>
    <col min="32" max="33" width="13.42578125" style="136" customWidth="1"/>
    <col min="34" max="39" width="8.140625" style="136" customWidth="1"/>
    <col min="40" max="43" width="8" style="136" customWidth="1"/>
    <col min="44" max="51" width="7.42578125" style="136" customWidth="1"/>
    <col min="52" max="57" width="7.5703125" style="136" customWidth="1"/>
    <col min="58" max="59" width="9" style="136" customWidth="1"/>
    <col min="60" max="60" width="21.28515625" style="136" customWidth="1"/>
    <col min="61" max="61" width="39.85546875" style="136" customWidth="1"/>
    <col min="62" max="62" width="31.85546875" style="136" customWidth="1"/>
    <col min="63" max="63" width="21.28515625" style="136" customWidth="1"/>
    <col min="64" max="64" width="27.28515625" style="136" customWidth="1"/>
    <col min="65" max="65" width="23.5703125" style="136" customWidth="1"/>
    <col min="66" max="66" width="15" style="136" customWidth="1"/>
    <col min="67" max="67" width="14.7109375" style="136" customWidth="1"/>
    <col min="68" max="69" width="20.28515625" style="136" customWidth="1"/>
    <col min="70" max="70" width="24.42578125" style="136" customWidth="1"/>
    <col min="71" max="83" width="14.85546875" style="136" customWidth="1"/>
    <col min="84" max="16384" width="11.42578125" style="136"/>
  </cols>
  <sheetData>
    <row r="1" spans="1:90" ht="25.5" customHeight="1" x14ac:dyDescent="0.25">
      <c r="A1" s="3969" t="s">
        <v>107</v>
      </c>
      <c r="B1" s="3969"/>
      <c r="C1" s="3969"/>
      <c r="D1" s="3969"/>
      <c r="E1" s="3969"/>
      <c r="F1" s="3969"/>
      <c r="G1" s="3969"/>
      <c r="H1" s="3969"/>
      <c r="I1" s="3969"/>
      <c r="J1" s="3969"/>
      <c r="K1" s="3969"/>
      <c r="L1" s="3969"/>
      <c r="M1" s="3969"/>
      <c r="N1" s="3969"/>
      <c r="O1" s="3969"/>
      <c r="P1" s="3969"/>
      <c r="Q1" s="3969"/>
      <c r="R1" s="3969"/>
      <c r="S1" s="3969"/>
      <c r="T1" s="3969"/>
      <c r="U1" s="3969"/>
      <c r="V1" s="3969"/>
      <c r="W1" s="3969"/>
      <c r="X1" s="3969"/>
      <c r="Y1" s="3969"/>
      <c r="Z1" s="3969"/>
      <c r="AA1" s="3969"/>
      <c r="AB1" s="3969"/>
      <c r="AC1" s="3969"/>
      <c r="AD1" s="3969"/>
      <c r="AE1" s="3969"/>
      <c r="AF1" s="3969"/>
      <c r="AG1" s="3969"/>
      <c r="AH1" s="3969"/>
      <c r="AI1" s="3969"/>
      <c r="AJ1" s="3969"/>
      <c r="AK1" s="3969"/>
      <c r="AL1" s="3969"/>
      <c r="AM1" s="3969"/>
      <c r="AN1" s="3969"/>
      <c r="AO1" s="3969"/>
      <c r="AP1" s="3969"/>
      <c r="AQ1" s="3969"/>
      <c r="AR1" s="3969"/>
      <c r="AS1" s="3969"/>
      <c r="AT1" s="3969"/>
      <c r="AU1" s="3969"/>
      <c r="AV1" s="3969"/>
      <c r="AW1" s="3969"/>
      <c r="AX1" s="3969"/>
      <c r="AY1" s="3969"/>
      <c r="AZ1" s="3969"/>
      <c r="BA1" s="3969"/>
      <c r="BB1" s="3969"/>
      <c r="BC1" s="3969"/>
      <c r="BD1" s="3969"/>
      <c r="BE1" s="3969"/>
      <c r="BF1" s="3969"/>
      <c r="BG1" s="3969"/>
      <c r="BH1" s="3969"/>
      <c r="BI1" s="3969"/>
      <c r="BJ1" s="3969"/>
      <c r="BK1" s="3969"/>
      <c r="BL1" s="3969"/>
      <c r="BM1" s="3969"/>
      <c r="BN1" s="3969"/>
      <c r="BO1" s="3969"/>
      <c r="BP1" s="3970"/>
      <c r="BQ1" s="135" t="s">
        <v>1</v>
      </c>
      <c r="BR1" s="135" t="s">
        <v>2</v>
      </c>
    </row>
    <row r="2" spans="1:90" ht="22.5" customHeight="1" x14ac:dyDescent="0.25">
      <c r="A2" s="3969"/>
      <c r="B2" s="3969"/>
      <c r="C2" s="3969"/>
      <c r="D2" s="3969"/>
      <c r="E2" s="3969"/>
      <c r="F2" s="3969"/>
      <c r="G2" s="3969"/>
      <c r="H2" s="3969"/>
      <c r="I2" s="3969"/>
      <c r="J2" s="3969"/>
      <c r="K2" s="3969"/>
      <c r="L2" s="3969"/>
      <c r="M2" s="3969"/>
      <c r="N2" s="3969"/>
      <c r="O2" s="3969"/>
      <c r="P2" s="3969"/>
      <c r="Q2" s="3969"/>
      <c r="R2" s="3969"/>
      <c r="S2" s="3969"/>
      <c r="T2" s="3969"/>
      <c r="U2" s="3969"/>
      <c r="V2" s="3969"/>
      <c r="W2" s="3969"/>
      <c r="X2" s="3969"/>
      <c r="Y2" s="3969"/>
      <c r="Z2" s="3969"/>
      <c r="AA2" s="3969"/>
      <c r="AB2" s="3969"/>
      <c r="AC2" s="3969"/>
      <c r="AD2" s="3969"/>
      <c r="AE2" s="3969"/>
      <c r="AF2" s="3969"/>
      <c r="AG2" s="3969"/>
      <c r="AH2" s="3969"/>
      <c r="AI2" s="3969"/>
      <c r="AJ2" s="3969"/>
      <c r="AK2" s="3969"/>
      <c r="AL2" s="3969"/>
      <c r="AM2" s="3969"/>
      <c r="AN2" s="3969"/>
      <c r="AO2" s="3969"/>
      <c r="AP2" s="3969"/>
      <c r="AQ2" s="3969"/>
      <c r="AR2" s="3969"/>
      <c r="AS2" s="3969"/>
      <c r="AT2" s="3969"/>
      <c r="AU2" s="3969"/>
      <c r="AV2" s="3969"/>
      <c r="AW2" s="3969"/>
      <c r="AX2" s="3969"/>
      <c r="AY2" s="3969"/>
      <c r="AZ2" s="3969"/>
      <c r="BA2" s="3969"/>
      <c r="BB2" s="3969"/>
      <c r="BC2" s="3969"/>
      <c r="BD2" s="3969"/>
      <c r="BE2" s="3969"/>
      <c r="BF2" s="3969"/>
      <c r="BG2" s="3969"/>
      <c r="BH2" s="3969"/>
      <c r="BI2" s="3969"/>
      <c r="BJ2" s="3969"/>
      <c r="BK2" s="3969"/>
      <c r="BL2" s="3969"/>
      <c r="BM2" s="3969"/>
      <c r="BN2" s="3969"/>
      <c r="BO2" s="3969"/>
      <c r="BP2" s="3970"/>
      <c r="BQ2" s="137" t="s">
        <v>3</v>
      </c>
      <c r="BR2" s="138">
        <v>6</v>
      </c>
    </row>
    <row r="3" spans="1:90" ht="16.5" customHeight="1" x14ac:dyDescent="0.25">
      <c r="A3" s="3969"/>
      <c r="B3" s="3969"/>
      <c r="C3" s="3969"/>
      <c r="D3" s="3969"/>
      <c r="E3" s="3969"/>
      <c r="F3" s="3969"/>
      <c r="G3" s="3969"/>
      <c r="H3" s="3969"/>
      <c r="I3" s="3969"/>
      <c r="J3" s="3969"/>
      <c r="K3" s="3969"/>
      <c r="L3" s="3969"/>
      <c r="M3" s="3969"/>
      <c r="N3" s="3969"/>
      <c r="O3" s="3969"/>
      <c r="P3" s="3969"/>
      <c r="Q3" s="3969"/>
      <c r="R3" s="3969"/>
      <c r="S3" s="3969"/>
      <c r="T3" s="3969"/>
      <c r="U3" s="3969"/>
      <c r="V3" s="3969"/>
      <c r="W3" s="3969"/>
      <c r="X3" s="3969"/>
      <c r="Y3" s="3969"/>
      <c r="Z3" s="3969"/>
      <c r="AA3" s="3969"/>
      <c r="AB3" s="3969"/>
      <c r="AC3" s="3969"/>
      <c r="AD3" s="3969"/>
      <c r="AE3" s="3969"/>
      <c r="AF3" s="3969"/>
      <c r="AG3" s="3969"/>
      <c r="AH3" s="3969"/>
      <c r="AI3" s="3969"/>
      <c r="AJ3" s="3969"/>
      <c r="AK3" s="3969"/>
      <c r="AL3" s="3969"/>
      <c r="AM3" s="3969"/>
      <c r="AN3" s="3969"/>
      <c r="AO3" s="3969"/>
      <c r="AP3" s="3969"/>
      <c r="AQ3" s="3969"/>
      <c r="AR3" s="3969"/>
      <c r="AS3" s="3969"/>
      <c r="AT3" s="3969"/>
      <c r="AU3" s="3969"/>
      <c r="AV3" s="3969"/>
      <c r="AW3" s="3969"/>
      <c r="AX3" s="3969"/>
      <c r="AY3" s="3969"/>
      <c r="AZ3" s="3969"/>
      <c r="BA3" s="3969"/>
      <c r="BB3" s="3969"/>
      <c r="BC3" s="3969"/>
      <c r="BD3" s="3969"/>
      <c r="BE3" s="3969"/>
      <c r="BF3" s="3969"/>
      <c r="BG3" s="3969"/>
      <c r="BH3" s="3969"/>
      <c r="BI3" s="3969"/>
      <c r="BJ3" s="3969"/>
      <c r="BK3" s="3969"/>
      <c r="BL3" s="3969"/>
      <c r="BM3" s="3969"/>
      <c r="BN3" s="3969"/>
      <c r="BO3" s="3969"/>
      <c r="BP3" s="3970"/>
      <c r="BQ3" s="135" t="s">
        <v>4</v>
      </c>
      <c r="BR3" s="139" t="s">
        <v>5</v>
      </c>
    </row>
    <row r="4" spans="1:90" s="142" customFormat="1" ht="30" customHeight="1" x14ac:dyDescent="0.2">
      <c r="A4" s="3971"/>
      <c r="B4" s="3971"/>
      <c r="C4" s="3971"/>
      <c r="D4" s="3971"/>
      <c r="E4" s="3971"/>
      <c r="F4" s="3971"/>
      <c r="G4" s="3971"/>
      <c r="H4" s="3971"/>
      <c r="I4" s="3971"/>
      <c r="J4" s="3971"/>
      <c r="K4" s="3971"/>
      <c r="L4" s="3971"/>
      <c r="M4" s="3971"/>
      <c r="N4" s="3971"/>
      <c r="O4" s="3971"/>
      <c r="P4" s="3971"/>
      <c r="Q4" s="3971"/>
      <c r="R4" s="3971"/>
      <c r="S4" s="3971"/>
      <c r="T4" s="3971"/>
      <c r="U4" s="3971"/>
      <c r="V4" s="3971"/>
      <c r="W4" s="3971"/>
      <c r="X4" s="3971"/>
      <c r="Y4" s="3971"/>
      <c r="Z4" s="3971"/>
      <c r="AA4" s="3971"/>
      <c r="AB4" s="3971"/>
      <c r="AC4" s="3971"/>
      <c r="AD4" s="3971"/>
      <c r="AE4" s="3971"/>
      <c r="AF4" s="3971"/>
      <c r="AG4" s="3971"/>
      <c r="AH4" s="3971"/>
      <c r="AI4" s="3971"/>
      <c r="AJ4" s="3971"/>
      <c r="AK4" s="3971"/>
      <c r="AL4" s="3971"/>
      <c r="AM4" s="3971"/>
      <c r="AN4" s="3971"/>
      <c r="AO4" s="3971"/>
      <c r="AP4" s="3971"/>
      <c r="AQ4" s="3971"/>
      <c r="AR4" s="3971"/>
      <c r="AS4" s="3971"/>
      <c r="AT4" s="3971"/>
      <c r="AU4" s="3971"/>
      <c r="AV4" s="3971"/>
      <c r="AW4" s="3971"/>
      <c r="AX4" s="3971"/>
      <c r="AY4" s="3971"/>
      <c r="AZ4" s="3971"/>
      <c r="BA4" s="3971"/>
      <c r="BB4" s="3971"/>
      <c r="BC4" s="3971"/>
      <c r="BD4" s="3971"/>
      <c r="BE4" s="3971"/>
      <c r="BF4" s="3971"/>
      <c r="BG4" s="3971"/>
      <c r="BH4" s="3971"/>
      <c r="BI4" s="3971"/>
      <c r="BJ4" s="3971"/>
      <c r="BK4" s="3971"/>
      <c r="BL4" s="3971"/>
      <c r="BM4" s="3971"/>
      <c r="BN4" s="3971"/>
      <c r="BO4" s="3971"/>
      <c r="BP4" s="3972"/>
      <c r="BQ4" s="140" t="s">
        <v>6</v>
      </c>
      <c r="BR4" s="141" t="s">
        <v>7</v>
      </c>
    </row>
    <row r="5" spans="1:90" ht="29.25" customHeight="1" x14ac:dyDescent="0.2">
      <c r="A5" s="3973" t="s">
        <v>8</v>
      </c>
      <c r="B5" s="3974"/>
      <c r="C5" s="3974"/>
      <c r="D5" s="3974"/>
      <c r="E5" s="3974"/>
      <c r="F5" s="3974"/>
      <c r="G5" s="3974"/>
      <c r="H5" s="3974"/>
      <c r="I5" s="3974"/>
      <c r="J5" s="3974"/>
      <c r="K5" s="3974"/>
      <c r="L5" s="3975"/>
      <c r="M5" s="143"/>
      <c r="N5" s="144"/>
      <c r="O5" s="144"/>
      <c r="P5" s="144"/>
      <c r="Q5" s="3976" t="s">
        <v>9</v>
      </c>
      <c r="R5" s="3976"/>
      <c r="S5" s="3976"/>
      <c r="T5" s="3976"/>
      <c r="U5" s="3976"/>
      <c r="V5" s="3976"/>
      <c r="W5" s="3976"/>
      <c r="X5" s="3976"/>
      <c r="Y5" s="3976"/>
      <c r="Z5" s="3976"/>
      <c r="AA5" s="3976"/>
      <c r="AB5" s="3976"/>
      <c r="AC5" s="3976"/>
      <c r="AD5" s="3976"/>
      <c r="AE5" s="3976"/>
      <c r="AF5" s="3976"/>
      <c r="AG5" s="3976"/>
      <c r="AH5" s="3976"/>
      <c r="AI5" s="3976"/>
      <c r="AJ5" s="3976"/>
      <c r="AK5" s="3976"/>
      <c r="AL5" s="3976"/>
      <c r="AM5" s="3976"/>
      <c r="AN5" s="3976"/>
      <c r="AO5" s="3976"/>
      <c r="AP5" s="3976"/>
      <c r="AQ5" s="3976"/>
      <c r="AR5" s="3976"/>
      <c r="AS5" s="3976"/>
      <c r="AT5" s="3976"/>
      <c r="AU5" s="3976"/>
      <c r="AV5" s="3976"/>
      <c r="AW5" s="3976"/>
      <c r="AX5" s="3976"/>
      <c r="AY5" s="3976"/>
      <c r="AZ5" s="3976"/>
      <c r="BA5" s="3976"/>
      <c r="BB5" s="3976"/>
      <c r="BC5" s="3976"/>
      <c r="BD5" s="3976"/>
      <c r="BE5" s="3976"/>
      <c r="BF5" s="3976"/>
      <c r="BG5" s="3976"/>
      <c r="BH5" s="3976"/>
      <c r="BI5" s="3976"/>
      <c r="BJ5" s="3976"/>
      <c r="BK5" s="3976"/>
      <c r="BL5" s="3976"/>
      <c r="BM5" s="3976"/>
      <c r="BN5" s="3976"/>
      <c r="BO5" s="3976"/>
      <c r="BP5" s="3976"/>
      <c r="BQ5" s="3976"/>
      <c r="BR5" s="3976"/>
    </row>
    <row r="6" spans="1:90" ht="34.5" customHeight="1" x14ac:dyDescent="0.2">
      <c r="A6" s="3977" t="s">
        <v>10</v>
      </c>
      <c r="B6" s="3964" t="s">
        <v>11</v>
      </c>
      <c r="C6" s="3964"/>
      <c r="D6" s="3964" t="s">
        <v>10</v>
      </c>
      <c r="E6" s="3964" t="s">
        <v>12</v>
      </c>
      <c r="F6" s="3964"/>
      <c r="G6" s="3964" t="s">
        <v>10</v>
      </c>
      <c r="H6" s="3964" t="s">
        <v>13</v>
      </c>
      <c r="I6" s="3964"/>
      <c r="J6" s="3964" t="s">
        <v>10</v>
      </c>
      <c r="K6" s="3964" t="s">
        <v>14</v>
      </c>
      <c r="L6" s="3964" t="s">
        <v>15</v>
      </c>
      <c r="M6" s="3965" t="s">
        <v>16</v>
      </c>
      <c r="N6" s="3966"/>
      <c r="O6" s="3964" t="s">
        <v>17</v>
      </c>
      <c r="P6" s="3964" t="s">
        <v>108</v>
      </c>
      <c r="Q6" s="3964" t="s">
        <v>9</v>
      </c>
      <c r="R6" s="3984" t="s">
        <v>19</v>
      </c>
      <c r="S6" s="3984" t="s">
        <v>20</v>
      </c>
      <c r="T6" s="3984" t="s">
        <v>21</v>
      </c>
      <c r="U6" s="3984" t="s">
        <v>22</v>
      </c>
      <c r="V6" s="3984" t="s">
        <v>23</v>
      </c>
      <c r="W6" s="3996" t="s">
        <v>20</v>
      </c>
      <c r="X6" s="3997"/>
      <c r="Y6" s="3998"/>
      <c r="Z6" s="3977" t="s">
        <v>10</v>
      </c>
      <c r="AA6" s="3964" t="s">
        <v>24</v>
      </c>
      <c r="AB6" s="3990" t="s">
        <v>25</v>
      </c>
      <c r="AC6" s="3990"/>
      <c r="AD6" s="3990"/>
      <c r="AE6" s="145"/>
      <c r="AF6" s="3991" t="s">
        <v>26</v>
      </c>
      <c r="AG6" s="3992"/>
      <c r="AH6" s="3992"/>
      <c r="AI6" s="3992"/>
      <c r="AJ6" s="3992"/>
      <c r="AK6" s="3992"/>
      <c r="AL6" s="3992"/>
      <c r="AM6" s="146"/>
      <c r="AN6" s="3993" t="s">
        <v>27</v>
      </c>
      <c r="AO6" s="3994"/>
      <c r="AP6" s="3994"/>
      <c r="AQ6" s="3994"/>
      <c r="AR6" s="3994"/>
      <c r="AS6" s="3994"/>
      <c r="AT6" s="3994"/>
      <c r="AU6" s="3994"/>
      <c r="AV6" s="3994"/>
      <c r="AW6" s="3994"/>
      <c r="AX6" s="3994"/>
      <c r="AY6" s="147"/>
      <c r="AZ6" s="3995" t="s">
        <v>28</v>
      </c>
      <c r="BA6" s="3995"/>
      <c r="BB6" s="3995"/>
      <c r="BC6" s="3995"/>
      <c r="BD6" s="3995"/>
      <c r="BE6" s="3995"/>
      <c r="BF6" s="4008" t="s">
        <v>29</v>
      </c>
      <c r="BG6" s="4009"/>
      <c r="BH6" s="3993" t="s">
        <v>30</v>
      </c>
      <c r="BI6" s="3994"/>
      <c r="BJ6" s="3994"/>
      <c r="BK6" s="3994"/>
      <c r="BL6" s="3994"/>
      <c r="BM6" s="4012"/>
      <c r="BN6" s="3978" t="s">
        <v>31</v>
      </c>
      <c r="BO6" s="3979"/>
      <c r="BP6" s="3978" t="s">
        <v>32</v>
      </c>
      <c r="BQ6" s="3979"/>
      <c r="BR6" s="3982" t="s">
        <v>33</v>
      </c>
      <c r="BS6" s="148"/>
      <c r="BT6" s="148"/>
      <c r="BU6" s="148"/>
      <c r="BV6" s="148"/>
      <c r="BW6" s="148"/>
      <c r="BX6" s="148"/>
      <c r="BY6" s="148"/>
      <c r="BZ6" s="148"/>
      <c r="CA6" s="148"/>
      <c r="CB6" s="148"/>
      <c r="CC6" s="148"/>
      <c r="CD6" s="148"/>
      <c r="CE6" s="148"/>
      <c r="CF6" s="148"/>
      <c r="CG6" s="148"/>
      <c r="CH6" s="148"/>
      <c r="CI6" s="148"/>
      <c r="CJ6" s="148"/>
      <c r="CK6" s="148"/>
      <c r="CL6" s="148"/>
    </row>
    <row r="7" spans="1:90" ht="129" customHeight="1" x14ac:dyDescent="0.2">
      <c r="A7" s="3977"/>
      <c r="B7" s="3964"/>
      <c r="C7" s="3964"/>
      <c r="D7" s="3964"/>
      <c r="E7" s="3964"/>
      <c r="F7" s="3964"/>
      <c r="G7" s="3964"/>
      <c r="H7" s="3964"/>
      <c r="I7" s="3964"/>
      <c r="J7" s="3964"/>
      <c r="K7" s="3964"/>
      <c r="L7" s="3964"/>
      <c r="M7" s="3967"/>
      <c r="N7" s="3968"/>
      <c r="O7" s="3964"/>
      <c r="P7" s="3964"/>
      <c r="Q7" s="3964"/>
      <c r="R7" s="3984"/>
      <c r="S7" s="3984"/>
      <c r="T7" s="3984"/>
      <c r="U7" s="3984"/>
      <c r="V7" s="3984"/>
      <c r="W7" s="3984" t="s">
        <v>34</v>
      </c>
      <c r="X7" s="3985" t="s">
        <v>109</v>
      </c>
      <c r="Y7" s="3985" t="s">
        <v>110</v>
      </c>
      <c r="Z7" s="3977"/>
      <c r="AA7" s="3964"/>
      <c r="AB7" s="3986" t="s">
        <v>37</v>
      </c>
      <c r="AC7" s="3987"/>
      <c r="AD7" s="3988" t="s">
        <v>38</v>
      </c>
      <c r="AE7" s="3989"/>
      <c r="AF7" s="3986" t="s">
        <v>39</v>
      </c>
      <c r="AG7" s="3987"/>
      <c r="AH7" s="3986" t="s">
        <v>40</v>
      </c>
      <c r="AI7" s="3987"/>
      <c r="AJ7" s="3986" t="s">
        <v>111</v>
      </c>
      <c r="AK7" s="3987"/>
      <c r="AL7" s="3986" t="s">
        <v>42</v>
      </c>
      <c r="AM7" s="3987"/>
      <c r="AN7" s="3986" t="s">
        <v>43</v>
      </c>
      <c r="AO7" s="3987"/>
      <c r="AP7" s="3986" t="s">
        <v>44</v>
      </c>
      <c r="AQ7" s="3987"/>
      <c r="AR7" s="3986" t="s">
        <v>45</v>
      </c>
      <c r="AS7" s="3987"/>
      <c r="AT7" s="3986" t="s">
        <v>46</v>
      </c>
      <c r="AU7" s="3987"/>
      <c r="AV7" s="3986" t="s">
        <v>47</v>
      </c>
      <c r="AW7" s="3987"/>
      <c r="AX7" s="3986" t="s">
        <v>48</v>
      </c>
      <c r="AY7" s="3987"/>
      <c r="AZ7" s="3986" t="s">
        <v>49</v>
      </c>
      <c r="BA7" s="3987"/>
      <c r="BB7" s="3986" t="s">
        <v>50</v>
      </c>
      <c r="BC7" s="3987"/>
      <c r="BD7" s="3986" t="s">
        <v>51</v>
      </c>
      <c r="BE7" s="3987"/>
      <c r="BF7" s="4010"/>
      <c r="BG7" s="4011"/>
      <c r="BH7" s="3999" t="s">
        <v>112</v>
      </c>
      <c r="BI7" s="3999" t="s">
        <v>53</v>
      </c>
      <c r="BJ7" s="3999" t="s">
        <v>54</v>
      </c>
      <c r="BK7" s="3999" t="s">
        <v>113</v>
      </c>
      <c r="BL7" s="3999" t="s">
        <v>114</v>
      </c>
      <c r="BM7" s="3999" t="s">
        <v>57</v>
      </c>
      <c r="BN7" s="3980"/>
      <c r="BO7" s="3981"/>
      <c r="BP7" s="3980"/>
      <c r="BQ7" s="3981"/>
      <c r="BR7" s="3983"/>
      <c r="BS7" s="148"/>
      <c r="BT7" s="148"/>
      <c r="BU7" s="148"/>
      <c r="BV7" s="148"/>
      <c r="BW7" s="148"/>
      <c r="BX7" s="148"/>
      <c r="BY7" s="148"/>
      <c r="BZ7" s="148"/>
      <c r="CA7" s="148"/>
      <c r="CB7" s="148"/>
      <c r="CC7" s="148"/>
      <c r="CD7" s="148"/>
      <c r="CE7" s="148"/>
      <c r="CF7" s="148"/>
      <c r="CG7" s="148"/>
      <c r="CH7" s="148"/>
      <c r="CI7" s="148"/>
      <c r="CJ7" s="148"/>
      <c r="CK7" s="148"/>
      <c r="CL7" s="148"/>
    </row>
    <row r="8" spans="1:90" ht="27" customHeight="1" x14ac:dyDescent="0.2">
      <c r="A8" s="3977"/>
      <c r="B8" s="3964"/>
      <c r="C8" s="3964"/>
      <c r="D8" s="3964"/>
      <c r="E8" s="3964"/>
      <c r="F8" s="3964"/>
      <c r="G8" s="3964"/>
      <c r="H8" s="3964"/>
      <c r="I8" s="3964"/>
      <c r="J8" s="3964"/>
      <c r="K8" s="3964"/>
      <c r="L8" s="3964"/>
      <c r="M8" s="149" t="s">
        <v>58</v>
      </c>
      <c r="N8" s="149" t="s">
        <v>59</v>
      </c>
      <c r="O8" s="3964"/>
      <c r="P8" s="3964"/>
      <c r="Q8" s="3964"/>
      <c r="R8" s="3984"/>
      <c r="S8" s="3984"/>
      <c r="T8" s="3984"/>
      <c r="U8" s="3984"/>
      <c r="V8" s="3984"/>
      <c r="W8" s="3984"/>
      <c r="X8" s="3985"/>
      <c r="Y8" s="3985"/>
      <c r="Z8" s="3977"/>
      <c r="AA8" s="3964"/>
      <c r="AB8" s="150" t="s">
        <v>58</v>
      </c>
      <c r="AC8" s="150" t="s">
        <v>59</v>
      </c>
      <c r="AD8" s="151" t="s">
        <v>58</v>
      </c>
      <c r="AE8" s="151" t="s">
        <v>59</v>
      </c>
      <c r="AF8" s="150" t="s">
        <v>58</v>
      </c>
      <c r="AG8" s="150" t="s">
        <v>59</v>
      </c>
      <c r="AH8" s="150" t="s">
        <v>58</v>
      </c>
      <c r="AI8" s="150" t="s">
        <v>59</v>
      </c>
      <c r="AJ8" s="150" t="s">
        <v>58</v>
      </c>
      <c r="AK8" s="150" t="s">
        <v>59</v>
      </c>
      <c r="AL8" s="150" t="s">
        <v>58</v>
      </c>
      <c r="AM8" s="150" t="s">
        <v>59</v>
      </c>
      <c r="AN8" s="150" t="s">
        <v>58</v>
      </c>
      <c r="AO8" s="150" t="s">
        <v>59</v>
      </c>
      <c r="AP8" s="150" t="s">
        <v>58</v>
      </c>
      <c r="AQ8" s="150" t="s">
        <v>59</v>
      </c>
      <c r="AR8" s="150" t="s">
        <v>58</v>
      </c>
      <c r="AS8" s="150" t="s">
        <v>59</v>
      </c>
      <c r="AT8" s="150" t="s">
        <v>58</v>
      </c>
      <c r="AU8" s="150" t="s">
        <v>59</v>
      </c>
      <c r="AV8" s="150" t="s">
        <v>58</v>
      </c>
      <c r="AW8" s="150" t="s">
        <v>59</v>
      </c>
      <c r="AX8" s="150" t="s">
        <v>58</v>
      </c>
      <c r="AY8" s="150" t="s">
        <v>59</v>
      </c>
      <c r="AZ8" s="150" t="s">
        <v>58</v>
      </c>
      <c r="BA8" s="150" t="s">
        <v>59</v>
      </c>
      <c r="BB8" s="150" t="s">
        <v>58</v>
      </c>
      <c r="BC8" s="150" t="s">
        <v>59</v>
      </c>
      <c r="BD8" s="150" t="s">
        <v>58</v>
      </c>
      <c r="BE8" s="150" t="s">
        <v>59</v>
      </c>
      <c r="BF8" s="150" t="s">
        <v>58</v>
      </c>
      <c r="BG8" s="150" t="s">
        <v>59</v>
      </c>
      <c r="BH8" s="3999"/>
      <c r="BI8" s="3999"/>
      <c r="BJ8" s="3999"/>
      <c r="BK8" s="3999"/>
      <c r="BL8" s="3999"/>
      <c r="BM8" s="3999"/>
      <c r="BN8" s="149" t="s">
        <v>58</v>
      </c>
      <c r="BO8" s="149" t="s">
        <v>59</v>
      </c>
      <c r="BP8" s="149" t="s">
        <v>58</v>
      </c>
      <c r="BQ8" s="149" t="s">
        <v>59</v>
      </c>
      <c r="BR8" s="152"/>
      <c r="BS8" s="148"/>
      <c r="BT8" s="148"/>
      <c r="BU8" s="148"/>
      <c r="BV8" s="148"/>
      <c r="BW8" s="148"/>
      <c r="BX8" s="148"/>
      <c r="BY8" s="148"/>
      <c r="BZ8" s="148"/>
      <c r="CA8" s="148"/>
      <c r="CB8" s="148"/>
      <c r="CC8" s="148"/>
      <c r="CD8" s="148"/>
      <c r="CE8" s="148"/>
      <c r="CF8" s="148"/>
      <c r="CG8" s="148"/>
      <c r="CH8" s="148"/>
      <c r="CI8" s="148"/>
      <c r="CJ8" s="148"/>
      <c r="CK8" s="148"/>
      <c r="CL8" s="148"/>
    </row>
    <row r="9" spans="1:90" s="162" customFormat="1" ht="15.75" x14ac:dyDescent="0.25">
      <c r="A9" s="153">
        <v>3</v>
      </c>
      <c r="B9" s="154"/>
      <c r="C9" s="154" t="s">
        <v>115</v>
      </c>
      <c r="D9" s="154"/>
      <c r="E9" s="154"/>
      <c r="F9" s="154"/>
      <c r="G9" s="154"/>
      <c r="H9" s="154"/>
      <c r="I9" s="154"/>
      <c r="J9" s="154"/>
      <c r="K9" s="155"/>
      <c r="L9" s="155"/>
      <c r="M9" s="154"/>
      <c r="N9" s="154"/>
      <c r="O9" s="156"/>
      <c r="P9" s="154"/>
      <c r="Q9" s="155"/>
      <c r="R9" s="157"/>
      <c r="S9" s="158"/>
      <c r="T9" s="155"/>
      <c r="U9" s="155"/>
      <c r="V9" s="155"/>
      <c r="W9" s="155"/>
      <c r="X9" s="155"/>
      <c r="Y9" s="155"/>
      <c r="Z9" s="156"/>
      <c r="AA9" s="154"/>
      <c r="AB9" s="154"/>
      <c r="AC9" s="154"/>
      <c r="AD9" s="154"/>
      <c r="AE9" s="154"/>
      <c r="AF9" s="154"/>
      <c r="AG9" s="154"/>
      <c r="AH9" s="154"/>
      <c r="AI9" s="154"/>
      <c r="AJ9" s="154"/>
      <c r="AK9" s="154"/>
      <c r="AL9" s="154"/>
      <c r="AM9" s="154"/>
      <c r="AN9" s="154"/>
      <c r="AO9" s="154"/>
      <c r="AP9" s="154"/>
      <c r="AQ9" s="154"/>
      <c r="AR9" s="154"/>
      <c r="AS9" s="154"/>
      <c r="AT9" s="159"/>
      <c r="AU9" s="159"/>
      <c r="AV9" s="155"/>
      <c r="AW9" s="155"/>
      <c r="AX9" s="160"/>
      <c r="AY9" s="160"/>
      <c r="AZ9" s="160"/>
      <c r="BA9" s="160"/>
      <c r="BB9" s="160"/>
      <c r="BC9" s="160"/>
      <c r="BD9" s="160"/>
      <c r="BE9" s="160"/>
      <c r="BF9" s="160"/>
      <c r="BG9" s="160"/>
      <c r="BH9" s="160"/>
      <c r="BI9" s="160"/>
      <c r="BJ9" s="160"/>
      <c r="BK9" s="160"/>
      <c r="BL9" s="160"/>
      <c r="BM9" s="160"/>
      <c r="BN9" s="160"/>
      <c r="BO9" s="160"/>
      <c r="BP9" s="160"/>
      <c r="BQ9" s="160"/>
      <c r="BR9" s="161"/>
    </row>
    <row r="10" spans="1:90" s="162" customFormat="1" ht="15.75" x14ac:dyDescent="0.25">
      <c r="A10" s="163"/>
      <c r="B10" s="164"/>
      <c r="C10" s="165"/>
      <c r="D10" s="166">
        <v>5</v>
      </c>
      <c r="E10" s="167" t="s">
        <v>116</v>
      </c>
      <c r="F10" s="167"/>
      <c r="G10" s="167"/>
      <c r="H10" s="167"/>
      <c r="I10" s="167"/>
      <c r="J10" s="167"/>
      <c r="K10" s="168"/>
      <c r="L10" s="168"/>
      <c r="M10" s="167"/>
      <c r="N10" s="167"/>
      <c r="O10" s="169"/>
      <c r="P10" s="167"/>
      <c r="Q10" s="168"/>
      <c r="R10" s="170"/>
      <c r="S10" s="171"/>
      <c r="T10" s="168"/>
      <c r="U10" s="168"/>
      <c r="V10" s="168"/>
      <c r="W10" s="168"/>
      <c r="X10" s="168"/>
      <c r="Y10" s="168"/>
      <c r="Z10" s="169"/>
      <c r="AA10" s="167"/>
      <c r="AB10" s="167"/>
      <c r="AC10" s="167"/>
      <c r="AD10" s="167"/>
      <c r="AE10" s="167"/>
      <c r="AF10" s="167"/>
      <c r="AG10" s="167"/>
      <c r="AH10" s="167"/>
      <c r="AI10" s="167"/>
      <c r="AJ10" s="167"/>
      <c r="AK10" s="167"/>
      <c r="AL10" s="167"/>
      <c r="AM10" s="167"/>
      <c r="AN10" s="167"/>
      <c r="AO10" s="167"/>
      <c r="AP10" s="167"/>
      <c r="AQ10" s="167"/>
      <c r="AR10" s="167"/>
      <c r="AS10" s="167"/>
      <c r="AT10" s="172"/>
      <c r="AU10" s="172"/>
      <c r="AV10" s="168"/>
      <c r="AW10" s="168"/>
      <c r="AX10" s="173"/>
      <c r="AY10" s="173"/>
      <c r="AZ10" s="173"/>
      <c r="BA10" s="173"/>
      <c r="BB10" s="173"/>
      <c r="BC10" s="173"/>
      <c r="BD10" s="173"/>
      <c r="BE10" s="173"/>
      <c r="BF10" s="173"/>
      <c r="BG10" s="173"/>
      <c r="BH10" s="173"/>
      <c r="BI10" s="173"/>
      <c r="BJ10" s="173"/>
      <c r="BK10" s="173"/>
      <c r="BL10" s="173"/>
      <c r="BM10" s="173"/>
      <c r="BN10" s="173"/>
      <c r="BO10" s="173"/>
      <c r="BP10" s="173"/>
      <c r="BQ10" s="173"/>
      <c r="BR10" s="174"/>
    </row>
    <row r="11" spans="1:90" s="162" customFormat="1" ht="15.75" x14ac:dyDescent="0.25">
      <c r="A11" s="175"/>
      <c r="B11" s="176"/>
      <c r="C11" s="176"/>
      <c r="D11" s="177"/>
      <c r="E11" s="178"/>
      <c r="F11" s="179"/>
      <c r="G11" s="180">
        <v>16</v>
      </c>
      <c r="H11" s="181" t="s">
        <v>117</v>
      </c>
      <c r="I11" s="181"/>
      <c r="J11" s="181"/>
      <c r="K11" s="182"/>
      <c r="L11" s="182"/>
      <c r="M11" s="181"/>
      <c r="N11" s="183"/>
      <c r="O11" s="184"/>
      <c r="P11" s="181"/>
      <c r="Q11" s="182"/>
      <c r="R11" s="185"/>
      <c r="S11" s="186"/>
      <c r="T11" s="182"/>
      <c r="U11" s="187"/>
      <c r="V11" s="187"/>
      <c r="W11" s="187"/>
      <c r="X11" s="187"/>
      <c r="Y11" s="187"/>
      <c r="Z11" s="188"/>
      <c r="AA11" s="189"/>
      <c r="AB11" s="181"/>
      <c r="AC11" s="181"/>
      <c r="AD11" s="181"/>
      <c r="AE11" s="181"/>
      <c r="AF11" s="181"/>
      <c r="AG11" s="181"/>
      <c r="AH11" s="181"/>
      <c r="AI11" s="181"/>
      <c r="AJ11" s="181"/>
      <c r="AK11" s="181"/>
      <c r="AL11" s="181"/>
      <c r="AM11" s="181"/>
      <c r="AN11" s="190"/>
      <c r="AO11" s="190"/>
      <c r="AP11" s="181"/>
      <c r="AQ11" s="181"/>
      <c r="AR11" s="181"/>
      <c r="AS11" s="181"/>
      <c r="AT11" s="191"/>
      <c r="AU11" s="191"/>
      <c r="AV11" s="182"/>
      <c r="AW11" s="182"/>
      <c r="AX11" s="192"/>
      <c r="AY11" s="192"/>
      <c r="AZ11" s="192"/>
      <c r="BA11" s="192"/>
      <c r="BB11" s="192"/>
      <c r="BC11" s="192"/>
      <c r="BD11" s="192"/>
      <c r="BE11" s="192"/>
      <c r="BF11" s="192"/>
      <c r="BG11" s="192"/>
      <c r="BH11" s="192"/>
      <c r="BI11" s="192"/>
      <c r="BJ11" s="192"/>
      <c r="BK11" s="192"/>
      <c r="BL11" s="192"/>
      <c r="BM11" s="192"/>
      <c r="BN11" s="192"/>
      <c r="BO11" s="192"/>
      <c r="BP11" s="192"/>
      <c r="BQ11" s="192"/>
      <c r="BR11" s="193"/>
    </row>
    <row r="12" spans="1:90" s="162" customFormat="1" ht="15.75" customHeight="1" x14ac:dyDescent="0.25">
      <c r="A12" s="175"/>
      <c r="B12" s="176"/>
      <c r="C12" s="176"/>
      <c r="D12" s="194"/>
      <c r="E12" s="195"/>
      <c r="F12" s="196"/>
      <c r="G12" s="197"/>
      <c r="H12" s="197"/>
      <c r="I12" s="198"/>
      <c r="J12" s="4000">
        <v>65</v>
      </c>
      <c r="K12" s="4002" t="s">
        <v>118</v>
      </c>
      <c r="L12" s="4002" t="s">
        <v>119</v>
      </c>
      <c r="M12" s="4004">
        <v>1</v>
      </c>
      <c r="N12" s="4004">
        <v>0.6</v>
      </c>
      <c r="O12" s="4006" t="s">
        <v>120</v>
      </c>
      <c r="P12" s="4007" t="s">
        <v>121</v>
      </c>
      <c r="Q12" s="4048" t="s">
        <v>122</v>
      </c>
      <c r="R12" s="4045">
        <f>SUM(W12:W16)/$S$12</f>
        <v>0.34333822549207033</v>
      </c>
      <c r="S12" s="4013">
        <f>SUM(W12:W24)</f>
        <v>18750985512.239998</v>
      </c>
      <c r="T12" s="4014" t="s">
        <v>123</v>
      </c>
      <c r="U12" s="4015" t="s">
        <v>124</v>
      </c>
      <c r="V12" s="4015" t="s">
        <v>125</v>
      </c>
      <c r="W12" s="4022">
        <v>2166498979</v>
      </c>
      <c r="X12" s="4023">
        <v>2116228777</v>
      </c>
      <c r="Y12" s="4023">
        <v>1019867497</v>
      </c>
      <c r="Z12" s="4025">
        <v>35</v>
      </c>
      <c r="AA12" s="4027" t="s">
        <v>126</v>
      </c>
      <c r="AB12" s="4028">
        <v>20555</v>
      </c>
      <c r="AC12" s="4018">
        <v>20555</v>
      </c>
      <c r="AD12" s="4019">
        <v>21361</v>
      </c>
      <c r="AE12" s="4020">
        <v>21361</v>
      </c>
      <c r="AF12" s="4019">
        <v>30460</v>
      </c>
      <c r="AG12" s="4020">
        <v>30460</v>
      </c>
      <c r="AH12" s="4019">
        <v>9593</v>
      </c>
      <c r="AI12" s="4020">
        <v>9593</v>
      </c>
      <c r="AJ12" s="4019">
        <v>1762</v>
      </c>
      <c r="AK12" s="4020">
        <v>1762</v>
      </c>
      <c r="AL12" s="4019">
        <v>101</v>
      </c>
      <c r="AM12" s="4020">
        <v>101</v>
      </c>
      <c r="AN12" s="4019">
        <v>308</v>
      </c>
      <c r="AO12" s="4020">
        <v>308</v>
      </c>
      <c r="AP12" s="4019">
        <v>277</v>
      </c>
      <c r="AQ12" s="4020">
        <v>277</v>
      </c>
      <c r="AR12" s="4019">
        <v>0</v>
      </c>
      <c r="AS12" s="4020">
        <v>0</v>
      </c>
      <c r="AT12" s="4019">
        <v>0</v>
      </c>
      <c r="AU12" s="4020">
        <v>0</v>
      </c>
      <c r="AV12" s="4019">
        <v>0</v>
      </c>
      <c r="AW12" s="4020">
        <v>0</v>
      </c>
      <c r="AX12" s="4019">
        <v>0</v>
      </c>
      <c r="AY12" s="4020">
        <v>0</v>
      </c>
      <c r="AZ12" s="4019">
        <v>2907</v>
      </c>
      <c r="BA12" s="4020">
        <v>2907</v>
      </c>
      <c r="BB12" s="4019">
        <v>2589</v>
      </c>
      <c r="BC12" s="4020">
        <v>2589</v>
      </c>
      <c r="BD12" s="4019">
        <v>2589</v>
      </c>
      <c r="BE12" s="4020">
        <v>2589</v>
      </c>
      <c r="BF12" s="4019">
        <f>+AB12+AD12</f>
        <v>41916</v>
      </c>
      <c r="BG12" s="4020">
        <v>41916</v>
      </c>
      <c r="BH12" s="4020">
        <v>7</v>
      </c>
      <c r="BI12" s="4036">
        <f>SUM(X12:X24)</f>
        <v>14240117462</v>
      </c>
      <c r="BJ12" s="4036">
        <f>SUM(Y12:Y24)</f>
        <v>4780917560</v>
      </c>
      <c r="BK12" s="4037">
        <f>BJ12/BI12</f>
        <v>0.33573582330047214</v>
      </c>
      <c r="BL12" s="4018" t="s">
        <v>127</v>
      </c>
      <c r="BM12" s="4029" t="s">
        <v>128</v>
      </c>
      <c r="BN12" s="4032">
        <v>43497</v>
      </c>
      <c r="BO12" s="4032">
        <v>43497</v>
      </c>
      <c r="BP12" s="4032">
        <v>43829</v>
      </c>
      <c r="BQ12" s="4032">
        <v>43829</v>
      </c>
      <c r="BR12" s="4035" t="s">
        <v>129</v>
      </c>
    </row>
    <row r="13" spans="1:90" s="162" customFormat="1" ht="22.5" customHeight="1" x14ac:dyDescent="0.25">
      <c r="A13" s="175"/>
      <c r="B13" s="176"/>
      <c r="C13" s="176"/>
      <c r="D13" s="194"/>
      <c r="E13" s="195"/>
      <c r="F13" s="196"/>
      <c r="G13" s="197"/>
      <c r="H13" s="197"/>
      <c r="I13" s="198"/>
      <c r="J13" s="4000"/>
      <c r="K13" s="4002"/>
      <c r="L13" s="4002"/>
      <c r="M13" s="4004"/>
      <c r="N13" s="4004"/>
      <c r="O13" s="4004"/>
      <c r="P13" s="4007"/>
      <c r="Q13" s="4049"/>
      <c r="R13" s="4046"/>
      <c r="S13" s="4013"/>
      <c r="T13" s="4014"/>
      <c r="U13" s="4015"/>
      <c r="V13" s="4015"/>
      <c r="W13" s="4022"/>
      <c r="X13" s="4024"/>
      <c r="Y13" s="4024"/>
      <c r="Z13" s="4026"/>
      <c r="AA13" s="4027"/>
      <c r="AB13" s="4028"/>
      <c r="AC13" s="4000"/>
      <c r="AD13" s="4019"/>
      <c r="AE13" s="4019"/>
      <c r="AF13" s="4019"/>
      <c r="AG13" s="4019"/>
      <c r="AH13" s="4019"/>
      <c r="AI13" s="4019"/>
      <c r="AJ13" s="4019"/>
      <c r="AK13" s="4019"/>
      <c r="AL13" s="4019"/>
      <c r="AM13" s="4019"/>
      <c r="AN13" s="4019"/>
      <c r="AO13" s="4019"/>
      <c r="AP13" s="4019"/>
      <c r="AQ13" s="4019"/>
      <c r="AR13" s="4019"/>
      <c r="AS13" s="4019"/>
      <c r="AT13" s="4019"/>
      <c r="AU13" s="4019"/>
      <c r="AV13" s="4019"/>
      <c r="AW13" s="4019"/>
      <c r="AX13" s="4019"/>
      <c r="AY13" s="4019"/>
      <c r="AZ13" s="4019"/>
      <c r="BA13" s="4019"/>
      <c r="BB13" s="4019"/>
      <c r="BC13" s="4019"/>
      <c r="BD13" s="4019"/>
      <c r="BE13" s="4019"/>
      <c r="BF13" s="4019"/>
      <c r="BG13" s="4019"/>
      <c r="BH13" s="4019"/>
      <c r="BI13" s="4019"/>
      <c r="BJ13" s="4019"/>
      <c r="BK13" s="4038"/>
      <c r="BL13" s="4019"/>
      <c r="BM13" s="4030"/>
      <c r="BN13" s="4033"/>
      <c r="BO13" s="4033"/>
      <c r="BP13" s="4033"/>
      <c r="BQ13" s="4033"/>
      <c r="BR13" s="4035"/>
    </row>
    <row r="14" spans="1:90" s="162" customFormat="1" ht="28.5" customHeight="1" x14ac:dyDescent="0.25">
      <c r="A14" s="175"/>
      <c r="B14" s="176"/>
      <c r="C14" s="176"/>
      <c r="D14" s="194"/>
      <c r="E14" s="195"/>
      <c r="F14" s="196"/>
      <c r="G14" s="197"/>
      <c r="H14" s="197"/>
      <c r="I14" s="198"/>
      <c r="J14" s="4000"/>
      <c r="K14" s="4002"/>
      <c r="L14" s="4002"/>
      <c r="M14" s="4004"/>
      <c r="N14" s="4004"/>
      <c r="O14" s="4004"/>
      <c r="P14" s="4007"/>
      <c r="Q14" s="4049"/>
      <c r="R14" s="4046"/>
      <c r="S14" s="4013"/>
      <c r="T14" s="4014"/>
      <c r="U14" s="4015"/>
      <c r="V14" s="4015"/>
      <c r="W14" s="199">
        <f>1142155795+241355304</f>
        <v>1383511099</v>
      </c>
      <c r="X14" s="200">
        <v>579511061</v>
      </c>
      <c r="Y14" s="200">
        <v>241355304</v>
      </c>
      <c r="Z14" s="201">
        <v>20</v>
      </c>
      <c r="AA14" s="202" t="s">
        <v>86</v>
      </c>
      <c r="AB14" s="4028"/>
      <c r="AC14" s="4000"/>
      <c r="AD14" s="4019"/>
      <c r="AE14" s="4019"/>
      <c r="AF14" s="4019"/>
      <c r="AG14" s="4019"/>
      <c r="AH14" s="4019"/>
      <c r="AI14" s="4019"/>
      <c r="AJ14" s="4019"/>
      <c r="AK14" s="4019"/>
      <c r="AL14" s="4019"/>
      <c r="AM14" s="4019"/>
      <c r="AN14" s="4019"/>
      <c r="AO14" s="4019"/>
      <c r="AP14" s="4019"/>
      <c r="AQ14" s="4019"/>
      <c r="AR14" s="4019"/>
      <c r="AS14" s="4019"/>
      <c r="AT14" s="4019"/>
      <c r="AU14" s="4019"/>
      <c r="AV14" s="4019"/>
      <c r="AW14" s="4019"/>
      <c r="AX14" s="4019"/>
      <c r="AY14" s="4019"/>
      <c r="AZ14" s="4019"/>
      <c r="BA14" s="4019"/>
      <c r="BB14" s="4019"/>
      <c r="BC14" s="4019"/>
      <c r="BD14" s="4019"/>
      <c r="BE14" s="4019"/>
      <c r="BF14" s="4019"/>
      <c r="BG14" s="4019"/>
      <c r="BH14" s="4019"/>
      <c r="BI14" s="4019"/>
      <c r="BJ14" s="4019"/>
      <c r="BK14" s="4038"/>
      <c r="BL14" s="4019"/>
      <c r="BM14" s="4030"/>
      <c r="BN14" s="4033"/>
      <c r="BO14" s="4033"/>
      <c r="BP14" s="4033"/>
      <c r="BQ14" s="4033"/>
      <c r="BR14" s="4035"/>
    </row>
    <row r="15" spans="1:90" s="162" customFormat="1" ht="28.5" customHeight="1" x14ac:dyDescent="0.25">
      <c r="A15" s="175"/>
      <c r="B15" s="176"/>
      <c r="C15" s="176"/>
      <c r="D15" s="194"/>
      <c r="E15" s="195"/>
      <c r="F15" s="196"/>
      <c r="G15" s="197"/>
      <c r="H15" s="197"/>
      <c r="I15" s="198"/>
      <c r="J15" s="4000"/>
      <c r="K15" s="4002"/>
      <c r="L15" s="4002"/>
      <c r="M15" s="4004"/>
      <c r="N15" s="4004"/>
      <c r="O15" s="4004"/>
      <c r="P15" s="4007"/>
      <c r="Q15" s="4049"/>
      <c r="R15" s="4046"/>
      <c r="S15" s="4013"/>
      <c r="T15" s="4014"/>
      <c r="U15" s="4015"/>
      <c r="V15" s="4015"/>
      <c r="W15" s="199">
        <v>43958033</v>
      </c>
      <c r="X15" s="200"/>
      <c r="Y15" s="200"/>
      <c r="Z15" s="201">
        <v>91</v>
      </c>
      <c r="AA15" s="202" t="s">
        <v>130</v>
      </c>
      <c r="AB15" s="4028"/>
      <c r="AC15" s="4000"/>
      <c r="AD15" s="4019"/>
      <c r="AE15" s="4019"/>
      <c r="AF15" s="4019"/>
      <c r="AG15" s="4019"/>
      <c r="AH15" s="4019"/>
      <c r="AI15" s="4019"/>
      <c r="AJ15" s="4019"/>
      <c r="AK15" s="4019"/>
      <c r="AL15" s="4019"/>
      <c r="AM15" s="4019"/>
      <c r="AN15" s="4019"/>
      <c r="AO15" s="4019"/>
      <c r="AP15" s="4019"/>
      <c r="AQ15" s="4019"/>
      <c r="AR15" s="4019"/>
      <c r="AS15" s="4019"/>
      <c r="AT15" s="4019"/>
      <c r="AU15" s="4019"/>
      <c r="AV15" s="4019"/>
      <c r="AW15" s="4019"/>
      <c r="AX15" s="4019"/>
      <c r="AY15" s="4019"/>
      <c r="AZ15" s="4019"/>
      <c r="BA15" s="4019"/>
      <c r="BB15" s="4019"/>
      <c r="BC15" s="4019"/>
      <c r="BD15" s="4019"/>
      <c r="BE15" s="4019"/>
      <c r="BF15" s="4019"/>
      <c r="BG15" s="4019"/>
      <c r="BH15" s="4019"/>
      <c r="BI15" s="4019"/>
      <c r="BJ15" s="4019"/>
      <c r="BK15" s="4038"/>
      <c r="BL15" s="4019"/>
      <c r="BM15" s="4030"/>
      <c r="BN15" s="4033"/>
      <c r="BO15" s="4033"/>
      <c r="BP15" s="4033"/>
      <c r="BQ15" s="4033"/>
      <c r="BR15" s="4035"/>
    </row>
    <row r="16" spans="1:90" s="162" customFormat="1" ht="31.5" customHeight="1" x14ac:dyDescent="0.25">
      <c r="A16" s="175"/>
      <c r="B16" s="176"/>
      <c r="C16" s="176"/>
      <c r="D16" s="194"/>
      <c r="E16" s="195"/>
      <c r="F16" s="196"/>
      <c r="G16" s="197"/>
      <c r="H16" s="197"/>
      <c r="I16" s="198"/>
      <c r="J16" s="4001"/>
      <c r="K16" s="4003"/>
      <c r="L16" s="4003"/>
      <c r="M16" s="4005"/>
      <c r="N16" s="4005"/>
      <c r="O16" s="4004"/>
      <c r="P16" s="4007"/>
      <c r="Q16" s="4049"/>
      <c r="R16" s="4047"/>
      <c r="S16" s="4013"/>
      <c r="T16" s="4014"/>
      <c r="U16" s="4015"/>
      <c r="V16" s="4015"/>
      <c r="W16" s="203">
        <f>2321723335+522238646</f>
        <v>2843961981</v>
      </c>
      <c r="X16" s="204">
        <v>2321723335</v>
      </c>
      <c r="Y16" s="204">
        <v>242390330</v>
      </c>
      <c r="Z16" s="201">
        <v>88</v>
      </c>
      <c r="AA16" s="205" t="s">
        <v>131</v>
      </c>
      <c r="AB16" s="4028"/>
      <c r="AC16" s="4000"/>
      <c r="AD16" s="4019"/>
      <c r="AE16" s="4019"/>
      <c r="AF16" s="4019"/>
      <c r="AG16" s="4019"/>
      <c r="AH16" s="4019"/>
      <c r="AI16" s="4019"/>
      <c r="AJ16" s="4019"/>
      <c r="AK16" s="4019"/>
      <c r="AL16" s="4019"/>
      <c r="AM16" s="4019"/>
      <c r="AN16" s="4019"/>
      <c r="AO16" s="4019"/>
      <c r="AP16" s="4019"/>
      <c r="AQ16" s="4019"/>
      <c r="AR16" s="4019"/>
      <c r="AS16" s="4019"/>
      <c r="AT16" s="4019"/>
      <c r="AU16" s="4019"/>
      <c r="AV16" s="4019"/>
      <c r="AW16" s="4019"/>
      <c r="AX16" s="4019"/>
      <c r="AY16" s="4019"/>
      <c r="AZ16" s="4019"/>
      <c r="BA16" s="4019"/>
      <c r="BB16" s="4019"/>
      <c r="BC16" s="4019"/>
      <c r="BD16" s="4019"/>
      <c r="BE16" s="4019"/>
      <c r="BF16" s="4019"/>
      <c r="BG16" s="4019"/>
      <c r="BH16" s="4019"/>
      <c r="BI16" s="4019"/>
      <c r="BJ16" s="4019"/>
      <c r="BK16" s="4038"/>
      <c r="BL16" s="4019"/>
      <c r="BM16" s="4030"/>
      <c r="BN16" s="4033"/>
      <c r="BO16" s="4033"/>
      <c r="BP16" s="4033"/>
      <c r="BQ16" s="4033"/>
      <c r="BR16" s="4035"/>
    </row>
    <row r="17" spans="1:70" s="162" customFormat="1" ht="35.25" customHeight="1" x14ac:dyDescent="0.25">
      <c r="A17" s="175"/>
      <c r="B17" s="176"/>
      <c r="C17" s="176"/>
      <c r="D17" s="194"/>
      <c r="E17" s="195"/>
      <c r="F17" s="196"/>
      <c r="G17" s="197"/>
      <c r="H17" s="197"/>
      <c r="I17" s="198"/>
      <c r="J17" s="4018">
        <v>66</v>
      </c>
      <c r="K17" s="4040" t="s">
        <v>132</v>
      </c>
      <c r="L17" s="4040" t="s">
        <v>133</v>
      </c>
      <c r="M17" s="4006">
        <v>1</v>
      </c>
      <c r="N17" s="4044">
        <v>0.5</v>
      </c>
      <c r="O17" s="4004"/>
      <c r="P17" s="4007"/>
      <c r="Q17" s="4049"/>
      <c r="R17" s="4045">
        <f>SUM(W17:W20)/$S$12</f>
        <v>0.58733208518832547</v>
      </c>
      <c r="S17" s="4013"/>
      <c r="T17" s="4014"/>
      <c r="U17" s="4016" t="s">
        <v>134</v>
      </c>
      <c r="V17" s="4017" t="s">
        <v>135</v>
      </c>
      <c r="W17" s="206">
        <v>9000000000</v>
      </c>
      <c r="X17" s="206">
        <v>7836582313</v>
      </c>
      <c r="Y17" s="206">
        <v>3183539798</v>
      </c>
      <c r="Z17" s="201">
        <v>81</v>
      </c>
      <c r="AA17" s="207" t="s">
        <v>136</v>
      </c>
      <c r="AB17" s="4028"/>
      <c r="AC17" s="4000"/>
      <c r="AD17" s="4019"/>
      <c r="AE17" s="4019"/>
      <c r="AF17" s="4019"/>
      <c r="AG17" s="4019"/>
      <c r="AH17" s="4019"/>
      <c r="AI17" s="4019"/>
      <c r="AJ17" s="4019"/>
      <c r="AK17" s="4019"/>
      <c r="AL17" s="4019"/>
      <c r="AM17" s="4019"/>
      <c r="AN17" s="4019"/>
      <c r="AO17" s="4019"/>
      <c r="AP17" s="4019"/>
      <c r="AQ17" s="4019"/>
      <c r="AR17" s="4019"/>
      <c r="AS17" s="4019"/>
      <c r="AT17" s="4019"/>
      <c r="AU17" s="4019"/>
      <c r="AV17" s="4019"/>
      <c r="AW17" s="4019"/>
      <c r="AX17" s="4019"/>
      <c r="AY17" s="4019"/>
      <c r="AZ17" s="4019"/>
      <c r="BA17" s="4019"/>
      <c r="BB17" s="4019"/>
      <c r="BC17" s="4019"/>
      <c r="BD17" s="4019"/>
      <c r="BE17" s="4019"/>
      <c r="BF17" s="4019"/>
      <c r="BG17" s="4019"/>
      <c r="BH17" s="4019"/>
      <c r="BI17" s="4019"/>
      <c r="BJ17" s="4019"/>
      <c r="BK17" s="4038"/>
      <c r="BL17" s="4019"/>
      <c r="BM17" s="4030"/>
      <c r="BN17" s="4033"/>
      <c r="BO17" s="4033"/>
      <c r="BP17" s="4033"/>
      <c r="BQ17" s="4033"/>
      <c r="BR17" s="4035"/>
    </row>
    <row r="18" spans="1:70" s="162" customFormat="1" ht="40.5" customHeight="1" x14ac:dyDescent="0.25">
      <c r="A18" s="175"/>
      <c r="B18" s="176"/>
      <c r="C18" s="176"/>
      <c r="D18" s="194"/>
      <c r="E18" s="195"/>
      <c r="F18" s="196"/>
      <c r="G18" s="197"/>
      <c r="H18" s="197"/>
      <c r="I18" s="198"/>
      <c r="J18" s="4000"/>
      <c r="K18" s="4002"/>
      <c r="L18" s="4002"/>
      <c r="M18" s="4004"/>
      <c r="N18" s="4044"/>
      <c r="O18" s="4004"/>
      <c r="P18" s="4007"/>
      <c r="Q18" s="4049"/>
      <c r="R18" s="4046"/>
      <c r="S18" s="4013"/>
      <c r="T18" s="4014"/>
      <c r="U18" s="4016"/>
      <c r="V18" s="4017"/>
      <c r="W18" s="206">
        <v>150000000</v>
      </c>
      <c r="X18" s="206">
        <v>0</v>
      </c>
      <c r="Y18" s="206">
        <v>0</v>
      </c>
      <c r="Z18" s="201">
        <v>81</v>
      </c>
      <c r="AA18" s="207" t="s">
        <v>137</v>
      </c>
      <c r="AB18" s="4028"/>
      <c r="AC18" s="4000"/>
      <c r="AD18" s="4019"/>
      <c r="AE18" s="4019"/>
      <c r="AF18" s="4019"/>
      <c r="AG18" s="4019"/>
      <c r="AH18" s="4019"/>
      <c r="AI18" s="4019"/>
      <c r="AJ18" s="4019"/>
      <c r="AK18" s="4019"/>
      <c r="AL18" s="4019"/>
      <c r="AM18" s="4019"/>
      <c r="AN18" s="4019"/>
      <c r="AO18" s="4019"/>
      <c r="AP18" s="4019"/>
      <c r="AQ18" s="4019"/>
      <c r="AR18" s="4019"/>
      <c r="AS18" s="4019"/>
      <c r="AT18" s="4019"/>
      <c r="AU18" s="4019"/>
      <c r="AV18" s="4019"/>
      <c r="AW18" s="4019"/>
      <c r="AX18" s="4019"/>
      <c r="AY18" s="4019"/>
      <c r="AZ18" s="4019"/>
      <c r="BA18" s="4019"/>
      <c r="BB18" s="4019"/>
      <c r="BC18" s="4019"/>
      <c r="BD18" s="4019"/>
      <c r="BE18" s="4019"/>
      <c r="BF18" s="4019"/>
      <c r="BG18" s="4019"/>
      <c r="BH18" s="4019"/>
      <c r="BI18" s="4019"/>
      <c r="BJ18" s="4019"/>
      <c r="BK18" s="4038"/>
      <c r="BL18" s="4019"/>
      <c r="BM18" s="4030"/>
      <c r="BN18" s="4033"/>
      <c r="BO18" s="4033"/>
      <c r="BP18" s="4033"/>
      <c r="BQ18" s="4033"/>
      <c r="BR18" s="4035"/>
    </row>
    <row r="19" spans="1:70" s="162" customFormat="1" ht="57" customHeight="1" x14ac:dyDescent="0.25">
      <c r="A19" s="175"/>
      <c r="B19" s="176"/>
      <c r="C19" s="176"/>
      <c r="D19" s="194"/>
      <c r="E19" s="195"/>
      <c r="F19" s="196"/>
      <c r="G19" s="197"/>
      <c r="H19" s="197"/>
      <c r="I19" s="198"/>
      <c r="J19" s="4000"/>
      <c r="K19" s="4002"/>
      <c r="L19" s="4002"/>
      <c r="M19" s="4004"/>
      <c r="N19" s="4044"/>
      <c r="O19" s="4004"/>
      <c r="P19" s="4007"/>
      <c r="Q19" s="4049"/>
      <c r="R19" s="4046"/>
      <c r="S19" s="4013"/>
      <c r="T19" s="4014"/>
      <c r="U19" s="4016"/>
      <c r="V19" s="4017"/>
      <c r="W19" s="206">
        <v>1577857420.24</v>
      </c>
      <c r="X19" s="206"/>
      <c r="Y19" s="206"/>
      <c r="Z19" s="201">
        <v>137</v>
      </c>
      <c r="AA19" s="207" t="s">
        <v>138</v>
      </c>
      <c r="AB19" s="4028"/>
      <c r="AC19" s="4000"/>
      <c r="AD19" s="4019"/>
      <c r="AE19" s="4019"/>
      <c r="AF19" s="4019"/>
      <c r="AG19" s="4019"/>
      <c r="AH19" s="4019"/>
      <c r="AI19" s="4019"/>
      <c r="AJ19" s="4019"/>
      <c r="AK19" s="4019"/>
      <c r="AL19" s="4019"/>
      <c r="AM19" s="4019"/>
      <c r="AN19" s="4019"/>
      <c r="AO19" s="4019"/>
      <c r="AP19" s="4019"/>
      <c r="AQ19" s="4019"/>
      <c r="AR19" s="4019"/>
      <c r="AS19" s="4019"/>
      <c r="AT19" s="4019"/>
      <c r="AU19" s="4019"/>
      <c r="AV19" s="4019"/>
      <c r="AW19" s="4019"/>
      <c r="AX19" s="4019"/>
      <c r="AY19" s="4019"/>
      <c r="AZ19" s="4019"/>
      <c r="BA19" s="4019"/>
      <c r="BB19" s="4019"/>
      <c r="BC19" s="4019"/>
      <c r="BD19" s="4019"/>
      <c r="BE19" s="4019"/>
      <c r="BF19" s="4019"/>
      <c r="BG19" s="4019"/>
      <c r="BH19" s="4019"/>
      <c r="BI19" s="4019"/>
      <c r="BJ19" s="4019"/>
      <c r="BK19" s="4038"/>
      <c r="BL19" s="4019"/>
      <c r="BM19" s="4030"/>
      <c r="BN19" s="4033"/>
      <c r="BO19" s="4033"/>
      <c r="BP19" s="4033"/>
      <c r="BQ19" s="4033"/>
      <c r="BR19" s="4035"/>
    </row>
    <row r="20" spans="1:70" s="162" customFormat="1" ht="70.5" customHeight="1" x14ac:dyDescent="0.25">
      <c r="A20" s="175"/>
      <c r="B20" s="176"/>
      <c r="C20" s="176"/>
      <c r="D20" s="194"/>
      <c r="E20" s="195"/>
      <c r="F20" s="196"/>
      <c r="G20" s="197"/>
      <c r="H20" s="197"/>
      <c r="I20" s="198"/>
      <c r="J20" s="4001"/>
      <c r="K20" s="4003"/>
      <c r="L20" s="4003"/>
      <c r="M20" s="4005"/>
      <c r="N20" s="4044"/>
      <c r="O20" s="4004"/>
      <c r="P20" s="4007"/>
      <c r="Q20" s="4049"/>
      <c r="R20" s="4047"/>
      <c r="S20" s="4013"/>
      <c r="T20" s="4014"/>
      <c r="U20" s="4016"/>
      <c r="V20" s="208" t="s">
        <v>139</v>
      </c>
      <c r="W20" s="209">
        <v>285198000</v>
      </c>
      <c r="X20" s="206">
        <f>174729976+11342000</f>
        <v>186071976</v>
      </c>
      <c r="Y20" s="206">
        <v>93764631</v>
      </c>
      <c r="Z20" s="201">
        <v>20</v>
      </c>
      <c r="AA20" s="207" t="s">
        <v>86</v>
      </c>
      <c r="AB20" s="4028"/>
      <c r="AC20" s="4000"/>
      <c r="AD20" s="4019"/>
      <c r="AE20" s="4019"/>
      <c r="AF20" s="4019"/>
      <c r="AG20" s="4019"/>
      <c r="AH20" s="4019"/>
      <c r="AI20" s="4019"/>
      <c r="AJ20" s="4019"/>
      <c r="AK20" s="4019"/>
      <c r="AL20" s="4019"/>
      <c r="AM20" s="4019"/>
      <c r="AN20" s="4019"/>
      <c r="AO20" s="4019"/>
      <c r="AP20" s="4019"/>
      <c r="AQ20" s="4019"/>
      <c r="AR20" s="4019"/>
      <c r="AS20" s="4019"/>
      <c r="AT20" s="4019"/>
      <c r="AU20" s="4019"/>
      <c r="AV20" s="4019"/>
      <c r="AW20" s="4019"/>
      <c r="AX20" s="4019"/>
      <c r="AY20" s="4019"/>
      <c r="AZ20" s="4019"/>
      <c r="BA20" s="4019"/>
      <c r="BB20" s="4019"/>
      <c r="BC20" s="4019"/>
      <c r="BD20" s="4019"/>
      <c r="BE20" s="4019"/>
      <c r="BF20" s="4019"/>
      <c r="BG20" s="4019"/>
      <c r="BH20" s="4019"/>
      <c r="BI20" s="4019"/>
      <c r="BJ20" s="4019"/>
      <c r="BK20" s="4038"/>
      <c r="BL20" s="4019"/>
      <c r="BM20" s="4030"/>
      <c r="BN20" s="4033"/>
      <c r="BO20" s="4033"/>
      <c r="BP20" s="4033"/>
      <c r="BQ20" s="4033"/>
      <c r="BR20" s="4035"/>
    </row>
    <row r="21" spans="1:70" s="212" customFormat="1" ht="48.75" customHeight="1" x14ac:dyDescent="0.25">
      <c r="A21" s="175"/>
      <c r="B21" s="176"/>
      <c r="C21" s="176"/>
      <c r="D21" s="194"/>
      <c r="E21" s="195"/>
      <c r="F21" s="196"/>
      <c r="G21" s="197"/>
      <c r="H21" s="197"/>
      <c r="I21" s="198"/>
      <c r="J21" s="4018">
        <v>67</v>
      </c>
      <c r="K21" s="4040" t="s">
        <v>140</v>
      </c>
      <c r="L21" s="4040" t="s">
        <v>141</v>
      </c>
      <c r="M21" s="4006">
        <v>1</v>
      </c>
      <c r="N21" s="4006">
        <v>0.5</v>
      </c>
      <c r="O21" s="4004"/>
      <c r="P21" s="4007"/>
      <c r="Q21" s="4049"/>
      <c r="R21" s="4041">
        <f>SUM(W21:W24)/$S$12</f>
        <v>6.9329689319604287E-2</v>
      </c>
      <c r="S21" s="4013"/>
      <c r="T21" s="4014"/>
      <c r="U21" s="4016" t="s">
        <v>142</v>
      </c>
      <c r="V21" s="4016" t="s">
        <v>143</v>
      </c>
      <c r="W21" s="210">
        <f>860000000-241355304</f>
        <v>618644696</v>
      </c>
      <c r="X21" s="211">
        <v>618644696</v>
      </c>
      <c r="Y21" s="211"/>
      <c r="Z21" s="201">
        <v>20</v>
      </c>
      <c r="AA21" s="207" t="s">
        <v>86</v>
      </c>
      <c r="AB21" s="4028"/>
      <c r="AC21" s="4000"/>
      <c r="AD21" s="4019"/>
      <c r="AE21" s="4019"/>
      <c r="AF21" s="4019"/>
      <c r="AG21" s="4019"/>
      <c r="AH21" s="4019"/>
      <c r="AI21" s="4019"/>
      <c r="AJ21" s="4019"/>
      <c r="AK21" s="4019"/>
      <c r="AL21" s="4019"/>
      <c r="AM21" s="4019"/>
      <c r="AN21" s="4019"/>
      <c r="AO21" s="4019"/>
      <c r="AP21" s="4019"/>
      <c r="AQ21" s="4019"/>
      <c r="AR21" s="4019"/>
      <c r="AS21" s="4019"/>
      <c r="AT21" s="4019"/>
      <c r="AU21" s="4019"/>
      <c r="AV21" s="4019"/>
      <c r="AW21" s="4019"/>
      <c r="AX21" s="4019"/>
      <c r="AY21" s="4019"/>
      <c r="AZ21" s="4019"/>
      <c r="BA21" s="4019"/>
      <c r="BB21" s="4019"/>
      <c r="BC21" s="4019"/>
      <c r="BD21" s="4019"/>
      <c r="BE21" s="4019"/>
      <c r="BF21" s="4019"/>
      <c r="BG21" s="4019"/>
      <c r="BH21" s="4019"/>
      <c r="BI21" s="4019"/>
      <c r="BJ21" s="4019"/>
      <c r="BK21" s="4038"/>
      <c r="BL21" s="4019"/>
      <c r="BM21" s="4030"/>
      <c r="BN21" s="4033"/>
      <c r="BO21" s="4033"/>
      <c r="BP21" s="4033"/>
      <c r="BQ21" s="4033"/>
      <c r="BR21" s="4035"/>
    </row>
    <row r="22" spans="1:70" s="212" customFormat="1" ht="48.75" customHeight="1" x14ac:dyDescent="0.25">
      <c r="A22" s="175"/>
      <c r="B22" s="176"/>
      <c r="C22" s="176"/>
      <c r="D22" s="194"/>
      <c r="E22" s="195"/>
      <c r="F22" s="196"/>
      <c r="G22" s="197"/>
      <c r="H22" s="197"/>
      <c r="I22" s="198"/>
      <c r="J22" s="4000"/>
      <c r="K22" s="4002"/>
      <c r="L22" s="4002"/>
      <c r="M22" s="4004"/>
      <c r="N22" s="4004"/>
      <c r="O22" s="4004"/>
      <c r="P22" s="4007"/>
      <c r="Q22" s="4049"/>
      <c r="R22" s="4042"/>
      <c r="S22" s="4013"/>
      <c r="T22" s="4014"/>
      <c r="U22" s="4016"/>
      <c r="V22" s="4016"/>
      <c r="W22" s="210">
        <v>241355304</v>
      </c>
      <c r="X22" s="211">
        <v>241355304</v>
      </c>
      <c r="Y22" s="211"/>
      <c r="Z22" s="201">
        <v>91</v>
      </c>
      <c r="AA22" s="207" t="s">
        <v>130</v>
      </c>
      <c r="AB22" s="4028"/>
      <c r="AC22" s="4000"/>
      <c r="AD22" s="4019"/>
      <c r="AE22" s="4019"/>
      <c r="AF22" s="4019"/>
      <c r="AG22" s="4019"/>
      <c r="AH22" s="4019"/>
      <c r="AI22" s="4019"/>
      <c r="AJ22" s="4019"/>
      <c r="AK22" s="4019"/>
      <c r="AL22" s="4019"/>
      <c r="AM22" s="4019"/>
      <c r="AN22" s="4019"/>
      <c r="AO22" s="4019"/>
      <c r="AP22" s="4019"/>
      <c r="AQ22" s="4019"/>
      <c r="AR22" s="4019"/>
      <c r="AS22" s="4019"/>
      <c r="AT22" s="4019"/>
      <c r="AU22" s="4019"/>
      <c r="AV22" s="4019"/>
      <c r="AW22" s="4019"/>
      <c r="AX22" s="4019"/>
      <c r="AY22" s="4019"/>
      <c r="AZ22" s="4019"/>
      <c r="BA22" s="4019"/>
      <c r="BB22" s="4019"/>
      <c r="BC22" s="4019"/>
      <c r="BD22" s="4019"/>
      <c r="BE22" s="4019"/>
      <c r="BF22" s="4019"/>
      <c r="BG22" s="4019"/>
      <c r="BH22" s="4019"/>
      <c r="BI22" s="4019"/>
      <c r="BJ22" s="4019"/>
      <c r="BK22" s="4038"/>
      <c r="BL22" s="4019"/>
      <c r="BM22" s="4030"/>
      <c r="BN22" s="4033"/>
      <c r="BO22" s="4033"/>
      <c r="BP22" s="4033"/>
      <c r="BQ22" s="4033"/>
      <c r="BR22" s="4035"/>
    </row>
    <row r="23" spans="1:70" s="212" customFormat="1" ht="41.25" customHeight="1" x14ac:dyDescent="0.25">
      <c r="A23" s="175"/>
      <c r="B23" s="176"/>
      <c r="C23" s="176"/>
      <c r="D23" s="194"/>
      <c r="E23" s="195"/>
      <c r="F23" s="196"/>
      <c r="G23" s="197"/>
      <c r="H23" s="197"/>
      <c r="I23" s="198"/>
      <c r="J23" s="4000"/>
      <c r="K23" s="4002"/>
      <c r="L23" s="4002"/>
      <c r="M23" s="4004"/>
      <c r="N23" s="4004"/>
      <c r="O23" s="4004"/>
      <c r="P23" s="4007"/>
      <c r="Q23" s="4049"/>
      <c r="R23" s="4042"/>
      <c r="S23" s="4013"/>
      <c r="T23" s="4014"/>
      <c r="U23" s="4016"/>
      <c r="V23" s="4016"/>
      <c r="W23" s="210">
        <v>200000000</v>
      </c>
      <c r="X23" s="211">
        <v>100000000</v>
      </c>
      <c r="Y23" s="211"/>
      <c r="Z23" s="201">
        <v>35</v>
      </c>
      <c r="AA23" s="213" t="s">
        <v>126</v>
      </c>
      <c r="AB23" s="4028"/>
      <c r="AC23" s="4000"/>
      <c r="AD23" s="4019"/>
      <c r="AE23" s="4019"/>
      <c r="AF23" s="4019"/>
      <c r="AG23" s="4019"/>
      <c r="AH23" s="4019"/>
      <c r="AI23" s="4019"/>
      <c r="AJ23" s="4019"/>
      <c r="AK23" s="4019"/>
      <c r="AL23" s="4019"/>
      <c r="AM23" s="4019"/>
      <c r="AN23" s="4019"/>
      <c r="AO23" s="4019"/>
      <c r="AP23" s="4019"/>
      <c r="AQ23" s="4019"/>
      <c r="AR23" s="4019"/>
      <c r="AS23" s="4019"/>
      <c r="AT23" s="4019"/>
      <c r="AU23" s="4019"/>
      <c r="AV23" s="4019"/>
      <c r="AW23" s="4019"/>
      <c r="AX23" s="4019"/>
      <c r="AY23" s="4019"/>
      <c r="AZ23" s="4019"/>
      <c r="BA23" s="4019"/>
      <c r="BB23" s="4019"/>
      <c r="BC23" s="4019"/>
      <c r="BD23" s="4019"/>
      <c r="BE23" s="4019"/>
      <c r="BF23" s="4019"/>
      <c r="BG23" s="4019"/>
      <c r="BH23" s="4019"/>
      <c r="BI23" s="4019"/>
      <c r="BJ23" s="4019"/>
      <c r="BK23" s="4038"/>
      <c r="BL23" s="4019"/>
      <c r="BM23" s="4030"/>
      <c r="BN23" s="4033"/>
      <c r="BO23" s="4033"/>
      <c r="BP23" s="4033"/>
      <c r="BQ23" s="4033"/>
      <c r="BR23" s="4035"/>
    </row>
    <row r="24" spans="1:70" s="162" customFormat="1" ht="39.75" customHeight="1" x14ac:dyDescent="0.25">
      <c r="A24" s="175"/>
      <c r="B24" s="176"/>
      <c r="C24" s="176"/>
      <c r="D24" s="194"/>
      <c r="E24" s="195"/>
      <c r="F24" s="196"/>
      <c r="G24" s="197"/>
      <c r="H24" s="197"/>
      <c r="I24" s="198"/>
      <c r="J24" s="4000"/>
      <c r="K24" s="4002"/>
      <c r="L24" s="4002"/>
      <c r="M24" s="4004"/>
      <c r="N24" s="4004"/>
      <c r="O24" s="4005"/>
      <c r="P24" s="4007"/>
      <c r="Q24" s="4050"/>
      <c r="R24" s="4043"/>
      <c r="S24" s="4013"/>
      <c r="T24" s="4014"/>
      <c r="U24" s="4016"/>
      <c r="V24" s="4016"/>
      <c r="W24" s="203">
        <f>0+240000000</f>
        <v>240000000</v>
      </c>
      <c r="X24" s="204">
        <v>240000000</v>
      </c>
      <c r="Y24" s="204"/>
      <c r="Z24" s="214">
        <v>88</v>
      </c>
      <c r="AA24" s="215" t="s">
        <v>131</v>
      </c>
      <c r="AB24" s="4028"/>
      <c r="AC24" s="4001"/>
      <c r="AD24" s="4019"/>
      <c r="AE24" s="4021"/>
      <c r="AF24" s="4019"/>
      <c r="AG24" s="4021"/>
      <c r="AH24" s="4019"/>
      <c r="AI24" s="4021"/>
      <c r="AJ24" s="4019"/>
      <c r="AK24" s="4021"/>
      <c r="AL24" s="4019"/>
      <c r="AM24" s="4021"/>
      <c r="AN24" s="4019"/>
      <c r="AO24" s="4021"/>
      <c r="AP24" s="4019"/>
      <c r="AQ24" s="4021"/>
      <c r="AR24" s="4019"/>
      <c r="AS24" s="4021"/>
      <c r="AT24" s="4019"/>
      <c r="AU24" s="4021"/>
      <c r="AV24" s="4019"/>
      <c r="AW24" s="4021"/>
      <c r="AX24" s="4019"/>
      <c r="AY24" s="4021"/>
      <c r="AZ24" s="4019"/>
      <c r="BA24" s="4021"/>
      <c r="BB24" s="4019"/>
      <c r="BC24" s="4021"/>
      <c r="BD24" s="4019"/>
      <c r="BE24" s="4021"/>
      <c r="BF24" s="4019"/>
      <c r="BG24" s="4021"/>
      <c r="BH24" s="4021"/>
      <c r="BI24" s="4021"/>
      <c r="BJ24" s="4021"/>
      <c r="BK24" s="4039"/>
      <c r="BL24" s="4021"/>
      <c r="BM24" s="4031"/>
      <c r="BN24" s="4034"/>
      <c r="BO24" s="4034"/>
      <c r="BP24" s="4034"/>
      <c r="BQ24" s="4034"/>
      <c r="BR24" s="4035"/>
    </row>
    <row r="25" spans="1:70" s="162" customFormat="1" ht="19.5" customHeight="1" thickBot="1" x14ac:dyDescent="0.3">
      <c r="A25" s="216"/>
      <c r="B25" s="217"/>
      <c r="C25" s="217"/>
      <c r="D25" s="216"/>
      <c r="E25" s="217"/>
      <c r="F25" s="218"/>
      <c r="G25" s="219">
        <v>17</v>
      </c>
      <c r="H25" s="220" t="s">
        <v>144</v>
      </c>
      <c r="I25" s="220"/>
      <c r="J25" s="221"/>
      <c r="K25" s="182"/>
      <c r="L25" s="182"/>
      <c r="M25" s="221"/>
      <c r="N25" s="222"/>
      <c r="O25" s="223"/>
      <c r="P25" s="221"/>
      <c r="Q25" s="182"/>
      <c r="R25" s="221"/>
      <c r="S25" s="224"/>
      <c r="T25" s="182"/>
      <c r="U25" s="187"/>
      <c r="V25" s="187"/>
      <c r="W25" s="187"/>
      <c r="X25" s="225"/>
      <c r="Y25" s="225"/>
      <c r="Z25" s="188"/>
      <c r="AA25" s="189"/>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192"/>
      <c r="BG25" s="192"/>
      <c r="BH25" s="192"/>
      <c r="BI25" s="192"/>
      <c r="BJ25" s="192"/>
      <c r="BK25" s="192"/>
      <c r="BL25" s="192"/>
      <c r="BM25" s="192"/>
      <c r="BN25" s="192"/>
      <c r="BO25" s="192"/>
      <c r="BP25" s="192"/>
      <c r="BQ25" s="192"/>
      <c r="BR25" s="192"/>
    </row>
    <row r="26" spans="1:70" s="162" customFormat="1" ht="49.5" customHeight="1" x14ac:dyDescent="0.25">
      <c r="A26" s="226"/>
      <c r="B26" s="227"/>
      <c r="C26" s="227"/>
      <c r="D26" s="228"/>
      <c r="E26" s="229"/>
      <c r="F26" s="229"/>
      <c r="G26" s="230"/>
      <c r="H26" s="231"/>
      <c r="I26" s="232"/>
      <c r="J26" s="4020">
        <v>68</v>
      </c>
      <c r="K26" s="4051" t="s">
        <v>145</v>
      </c>
      <c r="L26" s="4048" t="s">
        <v>146</v>
      </c>
      <c r="M26" s="4053">
        <v>4500</v>
      </c>
      <c r="N26" s="4055">
        <f>2539+643</f>
        <v>3182</v>
      </c>
      <c r="O26" s="4006" t="s">
        <v>147</v>
      </c>
      <c r="P26" s="4081" t="s">
        <v>148</v>
      </c>
      <c r="Q26" s="4048" t="s">
        <v>149</v>
      </c>
      <c r="R26" s="4104">
        <f>(W26+W27)/S26</f>
        <v>1.5602656586198829E-2</v>
      </c>
      <c r="S26" s="4106">
        <f>+W26+W27+W28+W29+W32+W33+W34</f>
        <v>1602291242</v>
      </c>
      <c r="T26" s="4002" t="s">
        <v>150</v>
      </c>
      <c r="U26" s="4109" t="s">
        <v>151</v>
      </c>
      <c r="V26" s="4059" t="s">
        <v>152</v>
      </c>
      <c r="W26" s="233">
        <v>5000000</v>
      </c>
      <c r="X26" s="234">
        <v>4405000</v>
      </c>
      <c r="Y26" s="234">
        <v>4405000</v>
      </c>
      <c r="Z26" s="235">
        <v>20</v>
      </c>
      <c r="AA26" s="236" t="s">
        <v>86</v>
      </c>
      <c r="AB26" s="4061"/>
      <c r="AC26" s="4020"/>
      <c r="AD26" s="4019"/>
      <c r="AE26" s="4020"/>
      <c r="AF26" s="4019"/>
      <c r="AG26" s="4020"/>
      <c r="AH26" s="4019"/>
      <c r="AI26" s="4020"/>
      <c r="AJ26" s="4019"/>
      <c r="AK26" s="4020"/>
      <c r="AL26" s="4019">
        <v>1762</v>
      </c>
      <c r="AM26" s="4020">
        <v>1762</v>
      </c>
      <c r="AN26" s="4020">
        <v>101</v>
      </c>
      <c r="AO26" s="4020">
        <v>101</v>
      </c>
      <c r="AP26" s="4020">
        <v>277</v>
      </c>
      <c r="AQ26" s="4020">
        <v>277</v>
      </c>
      <c r="AR26" s="4019">
        <v>0</v>
      </c>
      <c r="AS26" s="4020"/>
      <c r="AT26" s="4019">
        <v>0</v>
      </c>
      <c r="AU26" s="4020"/>
      <c r="AV26" s="4019">
        <v>0</v>
      </c>
      <c r="AW26" s="4020"/>
      <c r="AX26" s="4019">
        <v>0</v>
      </c>
      <c r="AY26" s="4020"/>
      <c r="AZ26" s="4019">
        <v>2907</v>
      </c>
      <c r="BA26" s="4020">
        <v>2907</v>
      </c>
      <c r="BB26" s="4019">
        <v>2589</v>
      </c>
      <c r="BC26" s="4020">
        <v>2589</v>
      </c>
      <c r="BD26" s="4019">
        <v>2954</v>
      </c>
      <c r="BE26" s="4020">
        <v>2954</v>
      </c>
      <c r="BF26" s="4019">
        <v>10590</v>
      </c>
      <c r="BG26" s="4020">
        <v>10590</v>
      </c>
      <c r="BH26" s="4018">
        <v>3</v>
      </c>
      <c r="BI26" s="4087">
        <f>SUM(X26:X33)</f>
        <v>13207500</v>
      </c>
      <c r="BJ26" s="4087">
        <f>SUM(Y26:Y33)</f>
        <v>11740000</v>
      </c>
      <c r="BK26" s="4084">
        <f>+BJ26/BI26</f>
        <v>0.88888888888888884</v>
      </c>
      <c r="BL26" s="4018" t="s">
        <v>153</v>
      </c>
      <c r="BM26" s="4029" t="s">
        <v>154</v>
      </c>
      <c r="BN26" s="4096" t="s">
        <v>155</v>
      </c>
      <c r="BO26" s="4096" t="s">
        <v>155</v>
      </c>
      <c r="BP26" s="4096" t="s">
        <v>156</v>
      </c>
      <c r="BQ26" s="4096" t="s">
        <v>156</v>
      </c>
      <c r="BR26" s="4035" t="s">
        <v>157</v>
      </c>
    </row>
    <row r="27" spans="1:70" s="162" customFormat="1" ht="51" customHeight="1" x14ac:dyDescent="0.25">
      <c r="A27" s="226"/>
      <c r="B27" s="227"/>
      <c r="C27" s="227"/>
      <c r="D27" s="228"/>
      <c r="E27" s="229"/>
      <c r="F27" s="229"/>
      <c r="G27" s="228"/>
      <c r="H27" s="229"/>
      <c r="I27" s="237"/>
      <c r="J27" s="4021"/>
      <c r="K27" s="4052"/>
      <c r="L27" s="4050"/>
      <c r="M27" s="4054"/>
      <c r="N27" s="4056"/>
      <c r="O27" s="4004"/>
      <c r="P27" s="4082"/>
      <c r="Q27" s="4049"/>
      <c r="R27" s="4105"/>
      <c r="S27" s="4107"/>
      <c r="T27" s="4002"/>
      <c r="U27" s="4049"/>
      <c r="V27" s="4060"/>
      <c r="W27" s="238">
        <f>0+20000000</f>
        <v>20000000</v>
      </c>
      <c r="X27" s="238">
        <v>4402500</v>
      </c>
      <c r="Y27" s="238">
        <v>2935000</v>
      </c>
      <c r="Z27" s="239">
        <v>88</v>
      </c>
      <c r="AA27" s="240" t="s">
        <v>131</v>
      </c>
      <c r="AB27" s="4061"/>
      <c r="AC27" s="4019"/>
      <c r="AD27" s="4019"/>
      <c r="AE27" s="4019"/>
      <c r="AF27" s="4019"/>
      <c r="AG27" s="4019"/>
      <c r="AH27" s="4019"/>
      <c r="AI27" s="4019"/>
      <c r="AJ27" s="4019"/>
      <c r="AK27" s="4019"/>
      <c r="AL27" s="4019"/>
      <c r="AM27" s="4019"/>
      <c r="AN27" s="4019"/>
      <c r="AO27" s="4019"/>
      <c r="AP27" s="4019"/>
      <c r="AQ27" s="4019"/>
      <c r="AR27" s="4019"/>
      <c r="AS27" s="4019"/>
      <c r="AT27" s="4019"/>
      <c r="AU27" s="4019"/>
      <c r="AV27" s="4019"/>
      <c r="AW27" s="4019"/>
      <c r="AX27" s="4019"/>
      <c r="AY27" s="4019"/>
      <c r="AZ27" s="4019"/>
      <c r="BA27" s="4019"/>
      <c r="BB27" s="4019"/>
      <c r="BC27" s="4019"/>
      <c r="BD27" s="4019"/>
      <c r="BE27" s="4019"/>
      <c r="BF27" s="4019"/>
      <c r="BG27" s="4019"/>
      <c r="BH27" s="4000"/>
      <c r="BI27" s="4088"/>
      <c r="BJ27" s="4088"/>
      <c r="BK27" s="4085"/>
      <c r="BL27" s="4000"/>
      <c r="BM27" s="4030"/>
      <c r="BN27" s="4097"/>
      <c r="BO27" s="4097"/>
      <c r="BP27" s="4097"/>
      <c r="BQ27" s="4097"/>
      <c r="BR27" s="4035"/>
    </row>
    <row r="28" spans="1:70" s="162" customFormat="1" ht="75" customHeight="1" x14ac:dyDescent="0.25">
      <c r="A28" s="4062"/>
      <c r="B28" s="4063"/>
      <c r="C28" s="4064"/>
      <c r="D28" s="4071"/>
      <c r="E28" s="4072"/>
      <c r="F28" s="4073"/>
      <c r="G28" s="4044"/>
      <c r="H28" s="4044"/>
      <c r="I28" s="4044"/>
      <c r="J28" s="241">
        <v>69</v>
      </c>
      <c r="K28" s="242" t="s">
        <v>158</v>
      </c>
      <c r="L28" s="243" t="s">
        <v>159</v>
      </c>
      <c r="M28" s="244">
        <v>1</v>
      </c>
      <c r="N28" s="245">
        <v>0.5</v>
      </c>
      <c r="O28" s="4004"/>
      <c r="P28" s="4082"/>
      <c r="Q28" s="4049"/>
      <c r="R28" s="246">
        <f>+W28/S26</f>
        <v>3.1205313172397654E-3</v>
      </c>
      <c r="S28" s="4107"/>
      <c r="T28" s="4002"/>
      <c r="U28" s="4049"/>
      <c r="V28" s="247" t="s">
        <v>160</v>
      </c>
      <c r="W28" s="234">
        <v>5000000</v>
      </c>
      <c r="X28" s="234">
        <v>4400000</v>
      </c>
      <c r="Y28" s="234">
        <v>4400000</v>
      </c>
      <c r="Z28" s="248">
        <v>20</v>
      </c>
      <c r="AA28" s="249" t="s">
        <v>86</v>
      </c>
      <c r="AB28" s="4019"/>
      <c r="AC28" s="4019"/>
      <c r="AD28" s="4019"/>
      <c r="AE28" s="4019"/>
      <c r="AF28" s="4019"/>
      <c r="AG28" s="4019"/>
      <c r="AH28" s="4019"/>
      <c r="AI28" s="4019"/>
      <c r="AJ28" s="4019"/>
      <c r="AK28" s="4019"/>
      <c r="AL28" s="4019"/>
      <c r="AM28" s="4019"/>
      <c r="AN28" s="4019"/>
      <c r="AO28" s="4019"/>
      <c r="AP28" s="4019"/>
      <c r="AQ28" s="4019"/>
      <c r="AR28" s="4019"/>
      <c r="AS28" s="4019"/>
      <c r="AT28" s="4019"/>
      <c r="AU28" s="4019"/>
      <c r="AV28" s="4019"/>
      <c r="AW28" s="4019"/>
      <c r="AX28" s="4019"/>
      <c r="AY28" s="4019"/>
      <c r="AZ28" s="4019"/>
      <c r="BA28" s="4019"/>
      <c r="BB28" s="4019"/>
      <c r="BC28" s="4019"/>
      <c r="BD28" s="4019"/>
      <c r="BE28" s="4019"/>
      <c r="BF28" s="4019"/>
      <c r="BG28" s="4019"/>
      <c r="BH28" s="4000"/>
      <c r="BI28" s="4088"/>
      <c r="BJ28" s="4088"/>
      <c r="BK28" s="4085"/>
      <c r="BL28" s="4000"/>
      <c r="BM28" s="4030"/>
      <c r="BN28" s="4097"/>
      <c r="BO28" s="4097"/>
      <c r="BP28" s="4097"/>
      <c r="BQ28" s="4097"/>
      <c r="BR28" s="4035"/>
    </row>
    <row r="29" spans="1:70" s="162" customFormat="1" ht="58.5" customHeight="1" x14ac:dyDescent="0.25">
      <c r="A29" s="4065"/>
      <c r="B29" s="4066"/>
      <c r="C29" s="4067"/>
      <c r="D29" s="4074"/>
      <c r="E29" s="4075"/>
      <c r="F29" s="4007"/>
      <c r="G29" s="4044"/>
      <c r="H29" s="4044"/>
      <c r="I29" s="4044"/>
      <c r="J29" s="4079">
        <v>70</v>
      </c>
      <c r="K29" s="4040" t="s">
        <v>161</v>
      </c>
      <c r="L29" s="4080" t="s">
        <v>162</v>
      </c>
      <c r="M29" s="4081">
        <v>490</v>
      </c>
      <c r="N29" s="4083">
        <v>609</v>
      </c>
      <c r="O29" s="4004"/>
      <c r="P29" s="4082"/>
      <c r="Q29" s="4049"/>
      <c r="R29" s="4104">
        <f>+(W29+W30)/S26</f>
        <v>6.2410626344795309E-3</v>
      </c>
      <c r="S29" s="4107"/>
      <c r="T29" s="4002"/>
      <c r="U29" s="4049"/>
      <c r="V29" s="250" t="s">
        <v>163</v>
      </c>
      <c r="W29" s="234">
        <v>10000000</v>
      </c>
      <c r="X29" s="234"/>
      <c r="Y29" s="234"/>
      <c r="Z29" s="251">
        <v>20</v>
      </c>
      <c r="AA29" s="252" t="s">
        <v>86</v>
      </c>
      <c r="AB29" s="4019"/>
      <c r="AC29" s="4019"/>
      <c r="AD29" s="4019"/>
      <c r="AE29" s="4019"/>
      <c r="AF29" s="4019"/>
      <c r="AG29" s="4019"/>
      <c r="AH29" s="4019"/>
      <c r="AI29" s="4019"/>
      <c r="AJ29" s="4019"/>
      <c r="AK29" s="4019"/>
      <c r="AL29" s="4019"/>
      <c r="AM29" s="4019"/>
      <c r="AN29" s="4019"/>
      <c r="AO29" s="4019"/>
      <c r="AP29" s="4019"/>
      <c r="AQ29" s="4019"/>
      <c r="AR29" s="4019"/>
      <c r="AS29" s="4019"/>
      <c r="AT29" s="4019"/>
      <c r="AU29" s="4019"/>
      <c r="AV29" s="4019"/>
      <c r="AW29" s="4019"/>
      <c r="AX29" s="4019"/>
      <c r="AY29" s="4019"/>
      <c r="AZ29" s="4019"/>
      <c r="BA29" s="4019"/>
      <c r="BB29" s="4019"/>
      <c r="BC29" s="4019"/>
      <c r="BD29" s="4019"/>
      <c r="BE29" s="4019"/>
      <c r="BF29" s="4019"/>
      <c r="BG29" s="4019"/>
      <c r="BH29" s="4000"/>
      <c r="BI29" s="4088"/>
      <c r="BJ29" s="4088"/>
      <c r="BK29" s="4085"/>
      <c r="BL29" s="4000"/>
      <c r="BM29" s="4030"/>
      <c r="BN29" s="4097"/>
      <c r="BO29" s="4097"/>
      <c r="BP29" s="4097"/>
      <c r="BQ29" s="4097"/>
      <c r="BR29" s="4035"/>
    </row>
    <row r="30" spans="1:70" s="162" customFormat="1" ht="89.25" customHeight="1" x14ac:dyDescent="0.25">
      <c r="A30" s="4065"/>
      <c r="B30" s="4066"/>
      <c r="C30" s="4067"/>
      <c r="D30" s="4074"/>
      <c r="E30" s="4075"/>
      <c r="F30" s="4007"/>
      <c r="G30" s="4044"/>
      <c r="H30" s="4044"/>
      <c r="I30" s="4044"/>
      <c r="J30" s="4061"/>
      <c r="K30" s="4002"/>
      <c r="L30" s="4080"/>
      <c r="M30" s="4082"/>
      <c r="N30" s="4083"/>
      <c r="O30" s="4004"/>
      <c r="P30" s="4082"/>
      <c r="Q30" s="4049"/>
      <c r="R30" s="4110"/>
      <c r="S30" s="4107"/>
      <c r="T30" s="4002"/>
      <c r="U30" s="4049"/>
      <c r="V30" s="253" t="s">
        <v>164</v>
      </c>
      <c r="W30" s="254"/>
      <c r="X30" s="254"/>
      <c r="Y30" s="254"/>
      <c r="Z30" s="251"/>
      <c r="AA30" s="255"/>
      <c r="AB30" s="4019"/>
      <c r="AC30" s="4019"/>
      <c r="AD30" s="4019"/>
      <c r="AE30" s="4019"/>
      <c r="AF30" s="4019"/>
      <c r="AG30" s="4019"/>
      <c r="AH30" s="4019"/>
      <c r="AI30" s="4019"/>
      <c r="AJ30" s="4019"/>
      <c r="AK30" s="4019"/>
      <c r="AL30" s="4019"/>
      <c r="AM30" s="4019"/>
      <c r="AN30" s="4019"/>
      <c r="AO30" s="4019"/>
      <c r="AP30" s="4019"/>
      <c r="AQ30" s="4019"/>
      <c r="AR30" s="4019"/>
      <c r="AS30" s="4019"/>
      <c r="AT30" s="4019"/>
      <c r="AU30" s="4019"/>
      <c r="AV30" s="4019"/>
      <c r="AW30" s="4019"/>
      <c r="AX30" s="4019"/>
      <c r="AY30" s="4019"/>
      <c r="AZ30" s="4019"/>
      <c r="BA30" s="4019"/>
      <c r="BB30" s="4019"/>
      <c r="BC30" s="4019"/>
      <c r="BD30" s="4019"/>
      <c r="BE30" s="4019"/>
      <c r="BF30" s="4019"/>
      <c r="BG30" s="4019"/>
      <c r="BH30" s="4000"/>
      <c r="BI30" s="4088"/>
      <c r="BJ30" s="4088"/>
      <c r="BK30" s="4085"/>
      <c r="BL30" s="4000"/>
      <c r="BM30" s="4030"/>
      <c r="BN30" s="4097"/>
      <c r="BO30" s="4097"/>
      <c r="BP30" s="4097"/>
      <c r="BQ30" s="4097"/>
      <c r="BR30" s="4035"/>
    </row>
    <row r="31" spans="1:70" s="162" customFormat="1" ht="95.25" customHeight="1" x14ac:dyDescent="0.25">
      <c r="A31" s="4065"/>
      <c r="B31" s="4066"/>
      <c r="C31" s="4067"/>
      <c r="D31" s="4074"/>
      <c r="E31" s="4075"/>
      <c r="F31" s="4007"/>
      <c r="G31" s="4044"/>
      <c r="H31" s="4044"/>
      <c r="I31" s="4044"/>
      <c r="J31" s="241">
        <v>71</v>
      </c>
      <c r="K31" s="242" t="s">
        <v>165</v>
      </c>
      <c r="L31" s="242" t="s">
        <v>166</v>
      </c>
      <c r="M31" s="256">
        <v>2570</v>
      </c>
      <c r="N31" s="257">
        <v>3204</v>
      </c>
      <c r="O31" s="4004"/>
      <c r="P31" s="4082"/>
      <c r="Q31" s="4049"/>
      <c r="R31" s="246">
        <f>+W31/S26</f>
        <v>0</v>
      </c>
      <c r="S31" s="4107"/>
      <c r="T31" s="4002"/>
      <c r="U31" s="4049"/>
      <c r="V31" s="250" t="s">
        <v>167</v>
      </c>
      <c r="W31" s="258">
        <v>0</v>
      </c>
      <c r="X31" s="258"/>
      <c r="Y31" s="258"/>
      <c r="Z31" s="251"/>
      <c r="AA31" s="255"/>
      <c r="AB31" s="4019"/>
      <c r="AC31" s="4019"/>
      <c r="AD31" s="4019"/>
      <c r="AE31" s="4019"/>
      <c r="AF31" s="4019"/>
      <c r="AG31" s="4019"/>
      <c r="AH31" s="4019"/>
      <c r="AI31" s="4019"/>
      <c r="AJ31" s="4019"/>
      <c r="AK31" s="4019"/>
      <c r="AL31" s="4019"/>
      <c r="AM31" s="4019"/>
      <c r="AN31" s="4019"/>
      <c r="AO31" s="4019"/>
      <c r="AP31" s="4019"/>
      <c r="AQ31" s="4019"/>
      <c r="AR31" s="4019">
        <v>0</v>
      </c>
      <c r="AS31" s="4019"/>
      <c r="AT31" s="4019"/>
      <c r="AU31" s="4019"/>
      <c r="AV31" s="4019"/>
      <c r="AW31" s="4019"/>
      <c r="AX31" s="4019"/>
      <c r="AY31" s="4019"/>
      <c r="AZ31" s="4019"/>
      <c r="BA31" s="4019"/>
      <c r="BB31" s="4019"/>
      <c r="BC31" s="4019"/>
      <c r="BD31" s="4019"/>
      <c r="BE31" s="4019"/>
      <c r="BF31" s="4019"/>
      <c r="BG31" s="4019"/>
      <c r="BH31" s="4000"/>
      <c r="BI31" s="4088"/>
      <c r="BJ31" s="4088"/>
      <c r="BK31" s="4085"/>
      <c r="BL31" s="4000"/>
      <c r="BM31" s="4030"/>
      <c r="BN31" s="4097"/>
      <c r="BO31" s="4097"/>
      <c r="BP31" s="4097"/>
      <c r="BQ31" s="4097"/>
      <c r="BR31" s="4035"/>
    </row>
    <row r="32" spans="1:70" s="162" customFormat="1" ht="53.25" customHeight="1" x14ac:dyDescent="0.25">
      <c r="A32" s="4065"/>
      <c r="B32" s="4066"/>
      <c r="C32" s="4067"/>
      <c r="D32" s="4074"/>
      <c r="E32" s="4075"/>
      <c r="F32" s="4007"/>
      <c r="G32" s="4044"/>
      <c r="H32" s="4044"/>
      <c r="I32" s="4044"/>
      <c r="J32" s="4020">
        <v>72</v>
      </c>
      <c r="K32" s="4048" t="s">
        <v>168</v>
      </c>
      <c r="L32" s="4048" t="s">
        <v>169</v>
      </c>
      <c r="M32" s="4057">
        <v>455</v>
      </c>
      <c r="N32" s="4101">
        <f>199+8</f>
        <v>207</v>
      </c>
      <c r="O32" s="4004"/>
      <c r="P32" s="4082"/>
      <c r="Q32" s="4049"/>
      <c r="R32" s="4102">
        <f>+(W32+W33)/S26</f>
        <v>3.388350418256858E-2</v>
      </c>
      <c r="S32" s="4107"/>
      <c r="T32" s="4002"/>
      <c r="U32" s="4049"/>
      <c r="V32" s="4100" t="s">
        <v>170</v>
      </c>
      <c r="W32" s="258">
        <v>5000000</v>
      </c>
      <c r="X32" s="258"/>
      <c r="Y32" s="258"/>
      <c r="Z32" s="251">
        <v>20</v>
      </c>
      <c r="AA32" s="252" t="s">
        <v>86</v>
      </c>
      <c r="AB32" s="4019"/>
      <c r="AC32" s="4019"/>
      <c r="AD32" s="4019"/>
      <c r="AE32" s="4019"/>
      <c r="AF32" s="4019"/>
      <c r="AG32" s="4019"/>
      <c r="AH32" s="4019"/>
      <c r="AI32" s="4019"/>
      <c r="AJ32" s="4019"/>
      <c r="AK32" s="4019"/>
      <c r="AL32" s="4019"/>
      <c r="AM32" s="4019"/>
      <c r="AN32" s="4019"/>
      <c r="AO32" s="4019"/>
      <c r="AP32" s="4019"/>
      <c r="AQ32" s="4019"/>
      <c r="AR32" s="4019"/>
      <c r="AS32" s="4019"/>
      <c r="AT32" s="4019"/>
      <c r="AU32" s="4019"/>
      <c r="AV32" s="4019"/>
      <c r="AW32" s="4019"/>
      <c r="AX32" s="4019"/>
      <c r="AY32" s="4019"/>
      <c r="AZ32" s="4019"/>
      <c r="BA32" s="4019"/>
      <c r="BB32" s="4019"/>
      <c r="BC32" s="4019"/>
      <c r="BD32" s="4019"/>
      <c r="BE32" s="4019"/>
      <c r="BF32" s="4019"/>
      <c r="BG32" s="4019"/>
      <c r="BH32" s="4000"/>
      <c r="BI32" s="4088"/>
      <c r="BJ32" s="4088"/>
      <c r="BK32" s="4085"/>
      <c r="BL32" s="4000"/>
      <c r="BM32" s="4030"/>
      <c r="BN32" s="4097"/>
      <c r="BO32" s="4097"/>
      <c r="BP32" s="4097"/>
      <c r="BQ32" s="4097"/>
      <c r="BR32" s="4035"/>
    </row>
    <row r="33" spans="1:71" s="162" customFormat="1" ht="69.75" customHeight="1" x14ac:dyDescent="0.25">
      <c r="A33" s="4065"/>
      <c r="B33" s="4066"/>
      <c r="C33" s="4067"/>
      <c r="D33" s="4074"/>
      <c r="E33" s="4075"/>
      <c r="F33" s="4007"/>
      <c r="G33" s="4044"/>
      <c r="H33" s="4044"/>
      <c r="I33" s="4044"/>
      <c r="J33" s="4021"/>
      <c r="K33" s="4050"/>
      <c r="L33" s="4050"/>
      <c r="M33" s="4058"/>
      <c r="N33" s="4056"/>
      <c r="O33" s="4004"/>
      <c r="P33" s="4082"/>
      <c r="Q33" s="4049"/>
      <c r="R33" s="4102"/>
      <c r="S33" s="4107"/>
      <c r="T33" s="259"/>
      <c r="U33" s="4049"/>
      <c r="V33" s="4060"/>
      <c r="W33" s="258">
        <v>49291242</v>
      </c>
      <c r="X33" s="234"/>
      <c r="Y33" s="234"/>
      <c r="Z33" s="251">
        <v>25</v>
      </c>
      <c r="AA33" s="260" t="s">
        <v>171</v>
      </c>
      <c r="AB33" s="261"/>
      <c r="AC33" s="261"/>
      <c r="AD33" s="261"/>
      <c r="AE33" s="261"/>
      <c r="AF33" s="261"/>
      <c r="AG33" s="261"/>
      <c r="AH33" s="261"/>
      <c r="AI33" s="261"/>
      <c r="AJ33" s="261"/>
      <c r="AK33" s="261"/>
      <c r="AL33" s="261"/>
      <c r="AM33" s="261"/>
      <c r="AN33" s="261"/>
      <c r="AO33" s="261"/>
      <c r="AP33" s="262"/>
      <c r="AQ33" s="261"/>
      <c r="AR33" s="261"/>
      <c r="AS33" s="261"/>
      <c r="AT33" s="261"/>
      <c r="AU33" s="261"/>
      <c r="AV33" s="261"/>
      <c r="AW33" s="261"/>
      <c r="AX33" s="261"/>
      <c r="AY33" s="261"/>
      <c r="AZ33" s="261"/>
      <c r="BA33" s="261"/>
      <c r="BB33" s="261"/>
      <c r="BC33" s="261"/>
      <c r="BD33" s="261"/>
      <c r="BE33" s="261"/>
      <c r="BF33" s="261"/>
      <c r="BG33" s="261"/>
      <c r="BH33" s="4000"/>
      <c r="BI33" s="4089"/>
      <c r="BJ33" s="4089"/>
      <c r="BK33" s="4086"/>
      <c r="BL33" s="4001"/>
      <c r="BM33" s="263"/>
      <c r="BN33" s="264"/>
      <c r="BO33" s="264"/>
      <c r="BP33" s="264"/>
      <c r="BQ33" s="264"/>
      <c r="BR33" s="265"/>
    </row>
    <row r="34" spans="1:71" s="162" customFormat="1" ht="124.5" customHeight="1" x14ac:dyDescent="0.25">
      <c r="A34" s="4065"/>
      <c r="B34" s="4066"/>
      <c r="C34" s="4067"/>
      <c r="D34" s="4074"/>
      <c r="E34" s="4075"/>
      <c r="F34" s="4007"/>
      <c r="G34" s="4044"/>
      <c r="H34" s="4044"/>
      <c r="I34" s="4044"/>
      <c r="J34" s="266">
        <v>73</v>
      </c>
      <c r="K34" s="267" t="s">
        <v>172</v>
      </c>
      <c r="L34" s="267" t="s">
        <v>173</v>
      </c>
      <c r="M34" s="248">
        <v>1</v>
      </c>
      <c r="N34" s="268">
        <v>0.5</v>
      </c>
      <c r="O34" s="4005"/>
      <c r="P34" s="4103"/>
      <c r="Q34" s="4050"/>
      <c r="R34" s="269">
        <f>+W34/S26</f>
        <v>0.94115224527951324</v>
      </c>
      <c r="S34" s="4108"/>
      <c r="T34" s="259"/>
      <c r="U34" s="4050"/>
      <c r="V34" s="270" t="s">
        <v>174</v>
      </c>
      <c r="W34" s="258">
        <v>1508000000</v>
      </c>
      <c r="X34" s="234">
        <v>1011580689</v>
      </c>
      <c r="Y34" s="234">
        <v>15900000</v>
      </c>
      <c r="Z34" s="251">
        <v>25</v>
      </c>
      <c r="AA34" s="260" t="s">
        <v>171</v>
      </c>
      <c r="AB34" s="261"/>
      <c r="AC34" s="261"/>
      <c r="AD34" s="261"/>
      <c r="AE34" s="261"/>
      <c r="AF34" s="261"/>
      <c r="AG34" s="261"/>
      <c r="AH34" s="261"/>
      <c r="AI34" s="261"/>
      <c r="AJ34" s="261"/>
      <c r="AK34" s="261"/>
      <c r="AL34" s="261"/>
      <c r="AM34" s="261"/>
      <c r="AN34" s="261"/>
      <c r="AO34" s="261"/>
      <c r="AP34" s="262"/>
      <c r="AQ34" s="261"/>
      <c r="AR34" s="261"/>
      <c r="AS34" s="261"/>
      <c r="AT34" s="261"/>
      <c r="AU34" s="261"/>
      <c r="AV34" s="261"/>
      <c r="AW34" s="261"/>
      <c r="AX34" s="261"/>
      <c r="AY34" s="261"/>
      <c r="AZ34" s="261"/>
      <c r="BA34" s="261"/>
      <c r="BB34" s="261"/>
      <c r="BC34" s="261"/>
      <c r="BD34" s="261"/>
      <c r="BE34" s="261"/>
      <c r="BF34" s="261"/>
      <c r="BG34" s="261"/>
      <c r="BH34" s="271">
        <v>2</v>
      </c>
      <c r="BI34" s="272">
        <f>+X34</f>
        <v>1011580689</v>
      </c>
      <c r="BJ34" s="272">
        <f>+Y34</f>
        <v>15900000</v>
      </c>
      <c r="BK34" s="273">
        <f>+BJ34/BI34</f>
        <v>1.5717975019588378E-2</v>
      </c>
      <c r="BL34" s="271" t="s">
        <v>175</v>
      </c>
      <c r="BM34" s="274" t="s">
        <v>176</v>
      </c>
      <c r="BN34" s="275">
        <v>43497</v>
      </c>
      <c r="BO34" s="275">
        <v>43497</v>
      </c>
      <c r="BP34" s="275">
        <v>43646</v>
      </c>
      <c r="BQ34" s="275">
        <v>43646</v>
      </c>
      <c r="BR34" s="276" t="s">
        <v>177</v>
      </c>
    </row>
    <row r="35" spans="1:71" s="162" customFormat="1" ht="63.75" customHeight="1" x14ac:dyDescent="0.25">
      <c r="A35" s="4065"/>
      <c r="B35" s="4066"/>
      <c r="C35" s="4067"/>
      <c r="D35" s="4074"/>
      <c r="E35" s="4075"/>
      <c r="F35" s="4007"/>
      <c r="G35" s="4044"/>
      <c r="H35" s="4044"/>
      <c r="I35" s="4044"/>
      <c r="J35" s="4090">
        <v>74</v>
      </c>
      <c r="K35" s="4091" t="s">
        <v>178</v>
      </c>
      <c r="L35" s="4044" t="s">
        <v>179</v>
      </c>
      <c r="M35" s="4092">
        <v>2232</v>
      </c>
      <c r="N35" s="4092">
        <v>2232</v>
      </c>
      <c r="O35" s="4006" t="s">
        <v>180</v>
      </c>
      <c r="P35" s="4095" t="s">
        <v>181</v>
      </c>
      <c r="Q35" s="4091" t="s">
        <v>182</v>
      </c>
      <c r="R35" s="4098">
        <v>1</v>
      </c>
      <c r="S35" s="4099">
        <f>+W35+W36+W37+W38+W39+W40+W41+W42</f>
        <v>148852142900.28998</v>
      </c>
      <c r="T35" s="4091" t="s">
        <v>183</v>
      </c>
      <c r="U35" s="4091" t="s">
        <v>184</v>
      </c>
      <c r="V35" s="4100" t="s">
        <v>185</v>
      </c>
      <c r="W35" s="277">
        <v>15381000000</v>
      </c>
      <c r="X35" s="278">
        <v>5562947514</v>
      </c>
      <c r="Y35" s="278">
        <v>5544205513</v>
      </c>
      <c r="Z35" s="279">
        <v>25</v>
      </c>
      <c r="AA35" s="260" t="s">
        <v>171</v>
      </c>
      <c r="AB35" s="4095">
        <v>20555</v>
      </c>
      <c r="AC35" s="4081">
        <v>2055</v>
      </c>
      <c r="AD35" s="4095">
        <v>21361</v>
      </c>
      <c r="AE35" s="4081">
        <v>21361</v>
      </c>
      <c r="AF35" s="4092">
        <v>30460</v>
      </c>
      <c r="AG35" s="4057">
        <v>30460</v>
      </c>
      <c r="AH35" s="4057">
        <v>9593</v>
      </c>
      <c r="AI35" s="4057">
        <v>9593</v>
      </c>
      <c r="AJ35" s="4057">
        <v>1762</v>
      </c>
      <c r="AK35" s="4057">
        <v>1762</v>
      </c>
      <c r="AL35" s="4057">
        <v>101</v>
      </c>
      <c r="AM35" s="4057">
        <v>101</v>
      </c>
      <c r="AN35" s="4057">
        <v>308</v>
      </c>
      <c r="AO35" s="4057">
        <v>308</v>
      </c>
      <c r="AP35" s="4115">
        <v>277</v>
      </c>
      <c r="AQ35" s="4057">
        <v>277</v>
      </c>
      <c r="AR35" s="4057">
        <v>0</v>
      </c>
      <c r="AS35" s="280"/>
      <c r="AT35" s="4057">
        <v>0</v>
      </c>
      <c r="AU35" s="280"/>
      <c r="AV35" s="4057">
        <v>0</v>
      </c>
      <c r="AW35" s="280"/>
      <c r="AX35" s="4057">
        <v>0</v>
      </c>
      <c r="AY35" s="280"/>
      <c r="AZ35" s="4112">
        <v>2907</v>
      </c>
      <c r="BA35" s="4112">
        <v>2907</v>
      </c>
      <c r="BB35" s="4112">
        <v>2589</v>
      </c>
      <c r="BC35" s="4112">
        <v>2589</v>
      </c>
      <c r="BD35" s="4112">
        <v>2954</v>
      </c>
      <c r="BE35" s="4112">
        <v>2954</v>
      </c>
      <c r="BF35" s="4132">
        <v>41916</v>
      </c>
      <c r="BG35" s="4132">
        <v>41916</v>
      </c>
      <c r="BH35" s="4132"/>
      <c r="BI35" s="4126">
        <f>SUM(X35:X42)</f>
        <v>61749597746</v>
      </c>
      <c r="BJ35" s="4126">
        <f>SUM(Y35:Y42)</f>
        <v>61273880910</v>
      </c>
      <c r="BK35" s="4129">
        <f>+BJ35/BI35</f>
        <v>0.99229603344208317</v>
      </c>
      <c r="BL35" s="4132" t="s">
        <v>175</v>
      </c>
      <c r="BM35" s="4133" t="s">
        <v>186</v>
      </c>
      <c r="BN35" s="4118">
        <v>43466</v>
      </c>
      <c r="BO35" s="4118">
        <v>43466</v>
      </c>
      <c r="BP35" s="4118">
        <v>43830</v>
      </c>
      <c r="BQ35" s="4118">
        <v>43830</v>
      </c>
      <c r="BR35" s="4121" t="s">
        <v>157</v>
      </c>
    </row>
    <row r="36" spans="1:71" s="162" customFormat="1" ht="48.75" customHeight="1" x14ac:dyDescent="0.25">
      <c r="A36" s="4065"/>
      <c r="B36" s="4066"/>
      <c r="C36" s="4067"/>
      <c r="D36" s="4074"/>
      <c r="E36" s="4075"/>
      <c r="F36" s="4007"/>
      <c r="G36" s="4044"/>
      <c r="H36" s="4044"/>
      <c r="I36" s="4044"/>
      <c r="J36" s="4090"/>
      <c r="K36" s="4091"/>
      <c r="L36" s="4044"/>
      <c r="M36" s="4092"/>
      <c r="N36" s="4092"/>
      <c r="O36" s="4093"/>
      <c r="P36" s="4095"/>
      <c r="Q36" s="4091"/>
      <c r="R36" s="4098"/>
      <c r="S36" s="4099"/>
      <c r="T36" s="4091"/>
      <c r="U36" s="4091"/>
      <c r="V36" s="4059"/>
      <c r="W36" s="210">
        <v>91137968000</v>
      </c>
      <c r="X36" s="278">
        <v>36073449684</v>
      </c>
      <c r="Y36" s="278">
        <v>35622474849</v>
      </c>
      <c r="Z36" s="281">
        <v>25</v>
      </c>
      <c r="AA36" s="282" t="s">
        <v>171</v>
      </c>
      <c r="AB36" s="4095"/>
      <c r="AC36" s="4082"/>
      <c r="AD36" s="4095"/>
      <c r="AE36" s="4082"/>
      <c r="AF36" s="4092"/>
      <c r="AG36" s="4111"/>
      <c r="AH36" s="4111"/>
      <c r="AI36" s="4111"/>
      <c r="AJ36" s="4111"/>
      <c r="AK36" s="4111"/>
      <c r="AL36" s="4111"/>
      <c r="AM36" s="4111"/>
      <c r="AN36" s="4111"/>
      <c r="AO36" s="4111"/>
      <c r="AP36" s="4116"/>
      <c r="AQ36" s="4111"/>
      <c r="AR36" s="4111"/>
      <c r="AS36" s="283"/>
      <c r="AT36" s="4111"/>
      <c r="AU36" s="283"/>
      <c r="AV36" s="4111"/>
      <c r="AW36" s="283"/>
      <c r="AX36" s="4111"/>
      <c r="AY36" s="283"/>
      <c r="AZ36" s="4113"/>
      <c r="BA36" s="4113"/>
      <c r="BB36" s="4113"/>
      <c r="BC36" s="4113"/>
      <c r="BD36" s="4113"/>
      <c r="BE36" s="4113"/>
      <c r="BF36" s="4127"/>
      <c r="BG36" s="4127"/>
      <c r="BH36" s="4127"/>
      <c r="BI36" s="4127"/>
      <c r="BJ36" s="4127"/>
      <c r="BK36" s="4130"/>
      <c r="BL36" s="4127"/>
      <c r="BM36" s="4127"/>
      <c r="BN36" s="4119"/>
      <c r="BO36" s="4119"/>
      <c r="BP36" s="4119"/>
      <c r="BQ36" s="4119"/>
      <c r="BR36" s="4122"/>
    </row>
    <row r="37" spans="1:71" s="162" customFormat="1" ht="37.5" customHeight="1" x14ac:dyDescent="0.25">
      <c r="A37" s="4065"/>
      <c r="B37" s="4066"/>
      <c r="C37" s="4067"/>
      <c r="D37" s="4074"/>
      <c r="E37" s="4075"/>
      <c r="F37" s="4007"/>
      <c r="G37" s="4044"/>
      <c r="H37" s="4044"/>
      <c r="I37" s="4044"/>
      <c r="J37" s="4090"/>
      <c r="K37" s="4091"/>
      <c r="L37" s="4044"/>
      <c r="M37" s="4092"/>
      <c r="N37" s="4092"/>
      <c r="O37" s="4093"/>
      <c r="P37" s="4095"/>
      <c r="Q37" s="4091"/>
      <c r="R37" s="4098"/>
      <c r="S37" s="4099"/>
      <c r="T37" s="4091"/>
      <c r="U37" s="4091"/>
      <c r="V37" s="4059"/>
      <c r="W37" s="210">
        <v>917000000</v>
      </c>
      <c r="X37" s="278"/>
      <c r="Y37" s="278"/>
      <c r="Z37" s="281">
        <v>146</v>
      </c>
      <c r="AA37" s="282" t="s">
        <v>187</v>
      </c>
      <c r="AB37" s="4095"/>
      <c r="AC37" s="4082"/>
      <c r="AD37" s="4095"/>
      <c r="AE37" s="4082"/>
      <c r="AF37" s="4092"/>
      <c r="AG37" s="4111"/>
      <c r="AH37" s="4111"/>
      <c r="AI37" s="4111"/>
      <c r="AJ37" s="4111"/>
      <c r="AK37" s="4111"/>
      <c r="AL37" s="4111"/>
      <c r="AM37" s="4111"/>
      <c r="AN37" s="4111"/>
      <c r="AO37" s="4111"/>
      <c r="AP37" s="4116"/>
      <c r="AQ37" s="4111"/>
      <c r="AR37" s="4111"/>
      <c r="AS37" s="283"/>
      <c r="AT37" s="4111"/>
      <c r="AU37" s="283"/>
      <c r="AV37" s="4111"/>
      <c r="AW37" s="283"/>
      <c r="AX37" s="4111"/>
      <c r="AY37" s="283"/>
      <c r="AZ37" s="4113"/>
      <c r="BA37" s="4113"/>
      <c r="BB37" s="4113"/>
      <c r="BC37" s="4113"/>
      <c r="BD37" s="4113"/>
      <c r="BE37" s="4113"/>
      <c r="BF37" s="4127"/>
      <c r="BG37" s="4127"/>
      <c r="BH37" s="4127"/>
      <c r="BI37" s="4127"/>
      <c r="BJ37" s="4127"/>
      <c r="BK37" s="4130"/>
      <c r="BL37" s="4127"/>
      <c r="BM37" s="4127"/>
      <c r="BN37" s="4119"/>
      <c r="BO37" s="4119"/>
      <c r="BP37" s="4119"/>
      <c r="BQ37" s="4119"/>
      <c r="BR37" s="4122"/>
    </row>
    <row r="38" spans="1:71" s="162" customFormat="1" ht="42" customHeight="1" x14ac:dyDescent="0.25">
      <c r="A38" s="4065"/>
      <c r="B38" s="4066"/>
      <c r="C38" s="4067"/>
      <c r="D38" s="4074"/>
      <c r="E38" s="4075"/>
      <c r="F38" s="4007"/>
      <c r="G38" s="4044"/>
      <c r="H38" s="4044"/>
      <c r="I38" s="4044"/>
      <c r="J38" s="4090"/>
      <c r="K38" s="4091"/>
      <c r="L38" s="4044"/>
      <c r="M38" s="4092"/>
      <c r="N38" s="4092"/>
      <c r="O38" s="4093"/>
      <c r="P38" s="4095"/>
      <c r="Q38" s="4091"/>
      <c r="R38" s="4098"/>
      <c r="S38" s="4099"/>
      <c r="T38" s="4091"/>
      <c r="U38" s="4091"/>
      <c r="V38" s="4059"/>
      <c r="W38" s="210">
        <v>18658000000</v>
      </c>
      <c r="X38" s="284">
        <v>8708014133</v>
      </c>
      <c r="Y38" s="284">
        <v>8708014133</v>
      </c>
      <c r="Z38" s="281">
        <v>26</v>
      </c>
      <c r="AA38" s="260" t="s">
        <v>187</v>
      </c>
      <c r="AB38" s="4095"/>
      <c r="AC38" s="4082"/>
      <c r="AD38" s="4095"/>
      <c r="AE38" s="4082"/>
      <c r="AF38" s="4092"/>
      <c r="AG38" s="4111"/>
      <c r="AH38" s="4111"/>
      <c r="AI38" s="4111"/>
      <c r="AJ38" s="4111"/>
      <c r="AK38" s="4111"/>
      <c r="AL38" s="4111"/>
      <c r="AM38" s="4111"/>
      <c r="AN38" s="4111"/>
      <c r="AO38" s="4111"/>
      <c r="AP38" s="4116"/>
      <c r="AQ38" s="4111"/>
      <c r="AR38" s="4111"/>
      <c r="AS38" s="283"/>
      <c r="AT38" s="4111"/>
      <c r="AU38" s="283"/>
      <c r="AV38" s="4111"/>
      <c r="AW38" s="283"/>
      <c r="AX38" s="4111"/>
      <c r="AY38" s="283"/>
      <c r="AZ38" s="4113"/>
      <c r="BA38" s="4113"/>
      <c r="BB38" s="4113"/>
      <c r="BC38" s="4113"/>
      <c r="BD38" s="4113"/>
      <c r="BE38" s="4113"/>
      <c r="BF38" s="4127"/>
      <c r="BG38" s="4127"/>
      <c r="BH38" s="4127"/>
      <c r="BI38" s="4127"/>
      <c r="BJ38" s="4127"/>
      <c r="BK38" s="4130"/>
      <c r="BL38" s="4127"/>
      <c r="BM38" s="4127"/>
      <c r="BN38" s="4119"/>
      <c r="BO38" s="4119"/>
      <c r="BP38" s="4119"/>
      <c r="BQ38" s="4119"/>
      <c r="BR38" s="4122"/>
    </row>
    <row r="39" spans="1:71" s="162" customFormat="1" ht="45" customHeight="1" x14ac:dyDescent="0.25">
      <c r="A39" s="4065"/>
      <c r="B39" s="4066"/>
      <c r="C39" s="4067"/>
      <c r="D39" s="4074"/>
      <c r="E39" s="4075"/>
      <c r="F39" s="4007"/>
      <c r="G39" s="4044"/>
      <c r="H39" s="4044"/>
      <c r="I39" s="4044"/>
      <c r="J39" s="4090"/>
      <c r="K39" s="4091"/>
      <c r="L39" s="4044"/>
      <c r="M39" s="4092"/>
      <c r="N39" s="4092"/>
      <c r="O39" s="4093"/>
      <c r="P39" s="4095"/>
      <c r="Q39" s="4091"/>
      <c r="R39" s="4098"/>
      <c r="S39" s="4099"/>
      <c r="T39" s="4091"/>
      <c r="U39" s="4091"/>
      <c r="V39" s="4059"/>
      <c r="W39" s="209">
        <v>742459176.28999996</v>
      </c>
      <c r="X39" s="285">
        <v>661974236</v>
      </c>
      <c r="Y39" s="285">
        <v>661974236</v>
      </c>
      <c r="Z39" s="281">
        <v>9</v>
      </c>
      <c r="AA39" s="260" t="s">
        <v>188</v>
      </c>
      <c r="AB39" s="4095"/>
      <c r="AC39" s="4082"/>
      <c r="AD39" s="4095"/>
      <c r="AE39" s="4082"/>
      <c r="AF39" s="4092"/>
      <c r="AG39" s="4111"/>
      <c r="AH39" s="4111"/>
      <c r="AI39" s="4111"/>
      <c r="AJ39" s="4111"/>
      <c r="AK39" s="4111"/>
      <c r="AL39" s="4111"/>
      <c r="AM39" s="4111"/>
      <c r="AN39" s="4111"/>
      <c r="AO39" s="4111"/>
      <c r="AP39" s="4116"/>
      <c r="AQ39" s="4111"/>
      <c r="AR39" s="4111"/>
      <c r="AS39" s="283"/>
      <c r="AT39" s="4111"/>
      <c r="AU39" s="283"/>
      <c r="AV39" s="4111"/>
      <c r="AW39" s="283"/>
      <c r="AX39" s="4111"/>
      <c r="AY39" s="283"/>
      <c r="AZ39" s="4113"/>
      <c r="BA39" s="4113"/>
      <c r="BB39" s="4113"/>
      <c r="BC39" s="4113"/>
      <c r="BD39" s="4113"/>
      <c r="BE39" s="4113"/>
      <c r="BF39" s="4127"/>
      <c r="BG39" s="4127"/>
      <c r="BH39" s="4127"/>
      <c r="BI39" s="4127"/>
      <c r="BJ39" s="4127"/>
      <c r="BK39" s="4130"/>
      <c r="BL39" s="4127"/>
      <c r="BM39" s="4127"/>
      <c r="BN39" s="4119"/>
      <c r="BO39" s="4119"/>
      <c r="BP39" s="4119"/>
      <c r="BQ39" s="4119"/>
      <c r="BR39" s="4122"/>
    </row>
    <row r="40" spans="1:71" s="162" customFormat="1" ht="37.5" customHeight="1" x14ac:dyDescent="0.25">
      <c r="A40" s="4065"/>
      <c r="B40" s="4066"/>
      <c r="C40" s="4067"/>
      <c r="D40" s="4074"/>
      <c r="E40" s="4075"/>
      <c r="F40" s="4007"/>
      <c r="G40" s="4044"/>
      <c r="H40" s="4044"/>
      <c r="I40" s="4044"/>
      <c r="J40" s="4090"/>
      <c r="K40" s="4091"/>
      <c r="L40" s="4044"/>
      <c r="M40" s="4092"/>
      <c r="N40" s="4092"/>
      <c r="O40" s="4093"/>
      <c r="P40" s="4095"/>
      <c r="Q40" s="4091"/>
      <c r="R40" s="4098"/>
      <c r="S40" s="4099"/>
      <c r="T40" s="4091"/>
      <c r="U40" s="4091"/>
      <c r="V40" s="4059"/>
      <c r="W40" s="286">
        <v>13892032000</v>
      </c>
      <c r="X40" s="285">
        <v>4909037839</v>
      </c>
      <c r="Y40" s="285">
        <v>4903037839</v>
      </c>
      <c r="Z40" s="281">
        <v>25</v>
      </c>
      <c r="AA40" s="260" t="s">
        <v>171</v>
      </c>
      <c r="AB40" s="4095"/>
      <c r="AC40" s="4082"/>
      <c r="AD40" s="4095"/>
      <c r="AE40" s="4082"/>
      <c r="AF40" s="4092"/>
      <c r="AG40" s="4111"/>
      <c r="AH40" s="4111"/>
      <c r="AI40" s="4111"/>
      <c r="AJ40" s="4111"/>
      <c r="AK40" s="4111"/>
      <c r="AL40" s="4111"/>
      <c r="AM40" s="4111"/>
      <c r="AN40" s="4111"/>
      <c r="AO40" s="4111"/>
      <c r="AP40" s="4116"/>
      <c r="AQ40" s="4111"/>
      <c r="AR40" s="4111"/>
      <c r="AS40" s="283"/>
      <c r="AT40" s="4111"/>
      <c r="AU40" s="283"/>
      <c r="AV40" s="4111"/>
      <c r="AW40" s="283"/>
      <c r="AX40" s="4111"/>
      <c r="AY40" s="283"/>
      <c r="AZ40" s="4113"/>
      <c r="BA40" s="4113"/>
      <c r="BB40" s="4113"/>
      <c r="BC40" s="4113"/>
      <c r="BD40" s="4113"/>
      <c r="BE40" s="4113"/>
      <c r="BF40" s="4127"/>
      <c r="BG40" s="4127"/>
      <c r="BH40" s="4127"/>
      <c r="BI40" s="4127"/>
      <c r="BJ40" s="4127"/>
      <c r="BK40" s="4130"/>
      <c r="BL40" s="4127"/>
      <c r="BM40" s="4127"/>
      <c r="BN40" s="4119"/>
      <c r="BO40" s="4119"/>
      <c r="BP40" s="4119"/>
      <c r="BQ40" s="4119"/>
      <c r="BR40" s="4122"/>
    </row>
    <row r="41" spans="1:71" s="162" customFormat="1" ht="37.5" customHeight="1" x14ac:dyDescent="0.25">
      <c r="A41" s="4065"/>
      <c r="B41" s="4066"/>
      <c r="C41" s="4067"/>
      <c r="D41" s="4074"/>
      <c r="E41" s="4075"/>
      <c r="F41" s="4007"/>
      <c r="G41" s="4044"/>
      <c r="H41" s="4044"/>
      <c r="I41" s="4044"/>
      <c r="J41" s="4090"/>
      <c r="K41" s="4091"/>
      <c r="L41" s="4044"/>
      <c r="M41" s="4092"/>
      <c r="N41" s="4092"/>
      <c r="O41" s="4093"/>
      <c r="P41" s="4095"/>
      <c r="Q41" s="4091"/>
      <c r="R41" s="4098"/>
      <c r="S41" s="4099"/>
      <c r="T41" s="4091"/>
      <c r="U41" s="4091"/>
      <c r="V41" s="4059"/>
      <c r="W41" s="287">
        <v>3503000000</v>
      </c>
      <c r="X41" s="288">
        <v>1213798169</v>
      </c>
      <c r="Y41" s="288">
        <v>1213798169</v>
      </c>
      <c r="Z41" s="279">
        <v>26</v>
      </c>
      <c r="AA41" s="289" t="s">
        <v>187</v>
      </c>
      <c r="AB41" s="4095"/>
      <c r="AC41" s="4082"/>
      <c r="AD41" s="4095"/>
      <c r="AE41" s="4082"/>
      <c r="AF41" s="4092"/>
      <c r="AG41" s="4111"/>
      <c r="AH41" s="4111"/>
      <c r="AI41" s="4111"/>
      <c r="AJ41" s="4111"/>
      <c r="AK41" s="4111"/>
      <c r="AL41" s="4111"/>
      <c r="AM41" s="4111"/>
      <c r="AN41" s="4111"/>
      <c r="AO41" s="4111"/>
      <c r="AP41" s="4116"/>
      <c r="AQ41" s="4111"/>
      <c r="AR41" s="4111"/>
      <c r="AS41" s="283"/>
      <c r="AT41" s="4111"/>
      <c r="AU41" s="283"/>
      <c r="AV41" s="4111"/>
      <c r="AW41" s="283"/>
      <c r="AX41" s="4111"/>
      <c r="AY41" s="283"/>
      <c r="AZ41" s="4113"/>
      <c r="BA41" s="4113"/>
      <c r="BB41" s="4113"/>
      <c r="BC41" s="4113"/>
      <c r="BD41" s="4113"/>
      <c r="BE41" s="4113"/>
      <c r="BF41" s="4127"/>
      <c r="BG41" s="4127"/>
      <c r="BH41" s="4127"/>
      <c r="BI41" s="4127"/>
      <c r="BJ41" s="4127"/>
      <c r="BK41" s="4130"/>
      <c r="BL41" s="4127"/>
      <c r="BM41" s="4127"/>
      <c r="BN41" s="4119"/>
      <c r="BO41" s="4119"/>
      <c r="BP41" s="4119"/>
      <c r="BQ41" s="4119"/>
      <c r="BR41" s="4122"/>
    </row>
    <row r="42" spans="1:71" s="162" customFormat="1" ht="38.25" customHeight="1" x14ac:dyDescent="0.25">
      <c r="A42" s="4068"/>
      <c r="B42" s="4069"/>
      <c r="C42" s="4070"/>
      <c r="D42" s="4076"/>
      <c r="E42" s="4077"/>
      <c r="F42" s="4078"/>
      <c r="G42" s="4044"/>
      <c r="H42" s="4044"/>
      <c r="I42" s="4044"/>
      <c r="J42" s="4090"/>
      <c r="K42" s="4091"/>
      <c r="L42" s="4044"/>
      <c r="M42" s="4092"/>
      <c r="N42" s="4092"/>
      <c r="O42" s="4094"/>
      <c r="P42" s="4095"/>
      <c r="Q42" s="4091"/>
      <c r="R42" s="4098"/>
      <c r="S42" s="4099"/>
      <c r="T42" s="4091"/>
      <c r="U42" s="4091"/>
      <c r="V42" s="4060"/>
      <c r="W42" s="287">
        <v>4620683724</v>
      </c>
      <c r="X42" s="288">
        <v>4620376171</v>
      </c>
      <c r="Y42" s="288">
        <v>4620376171</v>
      </c>
      <c r="Z42" s="290">
        <v>88</v>
      </c>
      <c r="AA42" s="289" t="s">
        <v>189</v>
      </c>
      <c r="AB42" s="4095"/>
      <c r="AC42" s="4103"/>
      <c r="AD42" s="4095"/>
      <c r="AE42" s="4103"/>
      <c r="AF42" s="4092"/>
      <c r="AG42" s="4058"/>
      <c r="AH42" s="4058"/>
      <c r="AI42" s="4058"/>
      <c r="AJ42" s="4058"/>
      <c r="AK42" s="4058"/>
      <c r="AL42" s="4058"/>
      <c r="AM42" s="4058"/>
      <c r="AN42" s="4058"/>
      <c r="AO42" s="4058"/>
      <c r="AP42" s="4117"/>
      <c r="AQ42" s="4058"/>
      <c r="AR42" s="4058"/>
      <c r="AS42" s="291"/>
      <c r="AT42" s="4058"/>
      <c r="AU42" s="291"/>
      <c r="AV42" s="4058"/>
      <c r="AW42" s="291"/>
      <c r="AX42" s="4058"/>
      <c r="AY42" s="291"/>
      <c r="AZ42" s="4114"/>
      <c r="BA42" s="4114"/>
      <c r="BB42" s="4114"/>
      <c r="BC42" s="4114"/>
      <c r="BD42" s="4114"/>
      <c r="BE42" s="4114"/>
      <c r="BF42" s="4128"/>
      <c r="BG42" s="4128"/>
      <c r="BH42" s="4128"/>
      <c r="BI42" s="4128"/>
      <c r="BJ42" s="4128"/>
      <c r="BK42" s="4131"/>
      <c r="BL42" s="4128"/>
      <c r="BM42" s="4128"/>
      <c r="BN42" s="4120"/>
      <c r="BO42" s="4120"/>
      <c r="BP42" s="4120"/>
      <c r="BQ42" s="4120"/>
      <c r="BR42" s="4123"/>
    </row>
    <row r="43" spans="1:71" s="162" customFormat="1" ht="15.75" x14ac:dyDescent="0.25">
      <c r="A43" s="216"/>
      <c r="B43" s="217"/>
      <c r="C43" s="218"/>
      <c r="D43" s="292">
        <v>6</v>
      </c>
      <c r="E43" s="293" t="s">
        <v>190</v>
      </c>
      <c r="F43" s="293"/>
      <c r="G43" s="293"/>
      <c r="H43" s="293"/>
      <c r="I43" s="293"/>
      <c r="J43" s="293"/>
      <c r="K43" s="294"/>
      <c r="L43" s="168"/>
      <c r="M43" s="295"/>
      <c r="N43" s="295"/>
      <c r="O43" s="169"/>
      <c r="P43" s="169"/>
      <c r="Q43" s="168"/>
      <c r="R43" s="296"/>
      <c r="S43" s="297"/>
      <c r="T43" s="168"/>
      <c r="U43" s="168"/>
      <c r="V43" s="168"/>
      <c r="W43" s="168"/>
      <c r="X43" s="298"/>
      <c r="Y43" s="298"/>
      <c r="Z43" s="299"/>
      <c r="AA43" s="293"/>
      <c r="AB43" s="169"/>
      <c r="AC43" s="169"/>
      <c r="AD43" s="169"/>
      <c r="AE43" s="169"/>
      <c r="AF43" s="295"/>
      <c r="AG43" s="295"/>
      <c r="AH43" s="295"/>
      <c r="AI43" s="295"/>
      <c r="AJ43" s="295"/>
      <c r="AK43" s="295"/>
      <c r="AL43" s="295"/>
      <c r="AM43" s="295"/>
      <c r="AN43" s="295"/>
      <c r="AO43" s="295"/>
      <c r="AP43" s="295"/>
      <c r="AQ43" s="295"/>
      <c r="AR43" s="295"/>
      <c r="AS43" s="295"/>
      <c r="AT43" s="300"/>
      <c r="AU43" s="300"/>
      <c r="AV43" s="300"/>
      <c r="AW43" s="300"/>
      <c r="AX43" s="173"/>
      <c r="AY43" s="173"/>
      <c r="AZ43" s="173"/>
      <c r="BA43" s="173"/>
      <c r="BB43" s="173"/>
      <c r="BC43" s="173"/>
      <c r="BD43" s="173"/>
      <c r="BE43" s="173"/>
      <c r="BF43" s="173"/>
      <c r="BG43" s="173"/>
      <c r="BH43" s="173"/>
      <c r="BI43" s="173"/>
      <c r="BJ43" s="173"/>
      <c r="BK43" s="173"/>
      <c r="BL43" s="173"/>
      <c r="BM43" s="173"/>
      <c r="BN43" s="173"/>
      <c r="BO43" s="173"/>
      <c r="BP43" s="173"/>
      <c r="BQ43" s="173"/>
      <c r="BR43" s="173"/>
      <c r="BS43" s="301"/>
    </row>
    <row r="44" spans="1:71" s="162" customFormat="1" ht="15.75" x14ac:dyDescent="0.25">
      <c r="A44" s="216"/>
      <c r="B44" s="302"/>
      <c r="C44" s="302"/>
      <c r="D44" s="303"/>
      <c r="E44" s="304"/>
      <c r="F44" s="305"/>
      <c r="G44" s="306">
        <v>19</v>
      </c>
      <c r="H44" s="181" t="s">
        <v>191</v>
      </c>
      <c r="I44" s="181"/>
      <c r="J44" s="181"/>
      <c r="K44" s="182"/>
      <c r="L44" s="182"/>
      <c r="M44" s="221"/>
      <c r="N44" s="221"/>
      <c r="O44" s="307"/>
      <c r="P44" s="221"/>
      <c r="Q44" s="182"/>
      <c r="R44" s="221"/>
      <c r="S44" s="224"/>
      <c r="T44" s="182"/>
      <c r="U44" s="182"/>
      <c r="V44" s="182"/>
      <c r="W44" s="182"/>
      <c r="X44" s="308"/>
      <c r="Y44" s="308"/>
      <c r="Z44" s="307"/>
      <c r="AA44" s="18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301"/>
    </row>
    <row r="45" spans="1:71" s="162" customFormat="1" ht="120.75" customHeight="1" x14ac:dyDescent="0.25">
      <c r="A45" s="309"/>
      <c r="B45" s="310"/>
      <c r="C45" s="310"/>
      <c r="D45" s="311"/>
      <c r="E45" s="302"/>
      <c r="F45" s="312"/>
      <c r="G45" s="310"/>
      <c r="H45" s="310"/>
      <c r="I45" s="310"/>
      <c r="J45" s="266">
        <v>75</v>
      </c>
      <c r="K45" s="243" t="s">
        <v>192</v>
      </c>
      <c r="L45" s="243" t="s">
        <v>193</v>
      </c>
      <c r="M45" s="313">
        <v>36</v>
      </c>
      <c r="N45" s="244">
        <v>19</v>
      </c>
      <c r="O45" s="314"/>
      <c r="P45" s="4004" t="s">
        <v>194</v>
      </c>
      <c r="Q45" s="4002" t="s">
        <v>195</v>
      </c>
      <c r="R45" s="315">
        <v>0</v>
      </c>
      <c r="S45" s="4107">
        <f>SUM(W45:W53)</f>
        <v>28355000</v>
      </c>
      <c r="T45" s="4002" t="s">
        <v>196</v>
      </c>
      <c r="U45" s="243" t="s">
        <v>197</v>
      </c>
      <c r="V45" s="316" t="s">
        <v>198</v>
      </c>
      <c r="W45" s="317"/>
      <c r="X45" s="317"/>
      <c r="Y45" s="317"/>
      <c r="Z45" s="318"/>
      <c r="AA45" s="319"/>
      <c r="AB45" s="4082">
        <v>20555</v>
      </c>
      <c r="AC45" s="4081">
        <v>20555</v>
      </c>
      <c r="AD45" s="4082">
        <v>21361</v>
      </c>
      <c r="AE45" s="4081">
        <v>21361</v>
      </c>
      <c r="AF45" s="4082">
        <v>30460</v>
      </c>
      <c r="AG45" s="4081">
        <v>30460</v>
      </c>
      <c r="AH45" s="4082">
        <v>9593</v>
      </c>
      <c r="AI45" s="4081">
        <v>9593</v>
      </c>
      <c r="AJ45" s="4082">
        <v>1762</v>
      </c>
      <c r="AK45" s="4081">
        <v>1762</v>
      </c>
      <c r="AL45" s="4082">
        <v>101</v>
      </c>
      <c r="AM45" s="4081">
        <v>101</v>
      </c>
      <c r="AN45" s="4082">
        <v>308</v>
      </c>
      <c r="AO45" s="4081">
        <v>308</v>
      </c>
      <c r="AP45" s="4082">
        <v>277</v>
      </c>
      <c r="AQ45" s="4081">
        <v>277</v>
      </c>
      <c r="AR45" s="4082">
        <v>0</v>
      </c>
      <c r="AS45" s="4081"/>
      <c r="AT45" s="4082">
        <v>0</v>
      </c>
      <c r="AU45" s="4081"/>
      <c r="AV45" s="4082">
        <v>0</v>
      </c>
      <c r="AW45" s="4081"/>
      <c r="AX45" s="4082">
        <v>0</v>
      </c>
      <c r="AY45" s="4081"/>
      <c r="AZ45" s="4082">
        <v>2907</v>
      </c>
      <c r="BA45" s="4081">
        <v>2907</v>
      </c>
      <c r="BB45" s="4082">
        <v>2589</v>
      </c>
      <c r="BC45" s="4081">
        <v>2589</v>
      </c>
      <c r="BD45" s="4082">
        <v>2954</v>
      </c>
      <c r="BE45" s="4081">
        <v>2954</v>
      </c>
      <c r="BF45" s="4082">
        <v>41916</v>
      </c>
      <c r="BG45" s="4081">
        <v>41916</v>
      </c>
      <c r="BH45" s="4081">
        <v>1</v>
      </c>
      <c r="BI45" s="4138">
        <f>SUM(X45:X53)</f>
        <v>9924250</v>
      </c>
      <c r="BJ45" s="4138">
        <f>SUM(Y45:Y53)</f>
        <v>9924250</v>
      </c>
      <c r="BK45" s="4141">
        <f>+BJ45/BI45</f>
        <v>1</v>
      </c>
      <c r="BL45" s="4006" t="s">
        <v>199</v>
      </c>
      <c r="BM45" s="4006" t="s">
        <v>200</v>
      </c>
      <c r="BN45" s="4096">
        <v>43497</v>
      </c>
      <c r="BO45" s="4096">
        <v>43497</v>
      </c>
      <c r="BP45" s="4096">
        <v>43631</v>
      </c>
      <c r="BQ45" s="4096">
        <v>43631</v>
      </c>
      <c r="BR45" s="4035" t="s">
        <v>129</v>
      </c>
      <c r="BS45" s="301"/>
    </row>
    <row r="46" spans="1:71" s="162" customFormat="1" ht="63" customHeight="1" x14ac:dyDescent="0.25">
      <c r="A46" s="309"/>
      <c r="B46" s="310"/>
      <c r="C46" s="310"/>
      <c r="D46" s="311"/>
      <c r="E46" s="302"/>
      <c r="F46" s="312"/>
      <c r="G46" s="310"/>
      <c r="H46" s="310"/>
      <c r="I46" s="310"/>
      <c r="J46" s="4020">
        <v>76</v>
      </c>
      <c r="K46" s="4006" t="s">
        <v>201</v>
      </c>
      <c r="L46" s="4135" t="s">
        <v>202</v>
      </c>
      <c r="M46" s="4053">
        <v>1200</v>
      </c>
      <c r="N46" s="4101">
        <f>309+448</f>
        <v>757</v>
      </c>
      <c r="O46" s="314"/>
      <c r="P46" s="4004"/>
      <c r="Q46" s="4014"/>
      <c r="R46" s="4137">
        <f>+(W46+W47)/S45</f>
        <v>1</v>
      </c>
      <c r="S46" s="4124"/>
      <c r="T46" s="4002"/>
      <c r="U46" s="4148" t="s">
        <v>203</v>
      </c>
      <c r="V46" s="4017" t="s">
        <v>204</v>
      </c>
      <c r="W46" s="320">
        <v>10000000</v>
      </c>
      <c r="X46" s="320">
        <v>9924250</v>
      </c>
      <c r="Y46" s="320">
        <v>9924250</v>
      </c>
      <c r="Z46" s="321">
        <v>20</v>
      </c>
      <c r="AA46" s="322" t="s">
        <v>71</v>
      </c>
      <c r="AB46" s="4125"/>
      <c r="AC46" s="4082"/>
      <c r="AD46" s="4082"/>
      <c r="AE46" s="4082"/>
      <c r="AF46" s="4082"/>
      <c r="AG46" s="4082"/>
      <c r="AH46" s="4082"/>
      <c r="AI46" s="4082"/>
      <c r="AJ46" s="4082"/>
      <c r="AK46" s="4082"/>
      <c r="AL46" s="4082"/>
      <c r="AM46" s="4082"/>
      <c r="AN46" s="4082"/>
      <c r="AO46" s="4082"/>
      <c r="AP46" s="4082"/>
      <c r="AQ46" s="4082"/>
      <c r="AR46" s="4082"/>
      <c r="AS46" s="4082"/>
      <c r="AT46" s="4082"/>
      <c r="AU46" s="4082"/>
      <c r="AV46" s="4082"/>
      <c r="AW46" s="4082"/>
      <c r="AX46" s="4082"/>
      <c r="AY46" s="4082"/>
      <c r="AZ46" s="4082"/>
      <c r="BA46" s="4082"/>
      <c r="BB46" s="4082"/>
      <c r="BC46" s="4082"/>
      <c r="BD46" s="4082"/>
      <c r="BE46" s="4082"/>
      <c r="BF46" s="4082"/>
      <c r="BG46" s="4082"/>
      <c r="BH46" s="4082"/>
      <c r="BI46" s="4139"/>
      <c r="BJ46" s="4139"/>
      <c r="BK46" s="4142"/>
      <c r="BL46" s="4082"/>
      <c r="BM46" s="4082"/>
      <c r="BN46" s="4097"/>
      <c r="BO46" s="4097"/>
      <c r="BP46" s="4097"/>
      <c r="BQ46" s="4097"/>
      <c r="BR46" s="4035"/>
      <c r="BS46" s="301"/>
    </row>
    <row r="47" spans="1:71" s="162" customFormat="1" ht="61.5" customHeight="1" x14ac:dyDescent="0.25">
      <c r="A47" s="228"/>
      <c r="B47" s="229"/>
      <c r="C47" s="229"/>
      <c r="D47" s="311"/>
      <c r="E47" s="302"/>
      <c r="F47" s="312"/>
      <c r="G47" s="310"/>
      <c r="H47" s="310"/>
      <c r="I47" s="310"/>
      <c r="J47" s="4021"/>
      <c r="K47" s="4005"/>
      <c r="L47" s="4136"/>
      <c r="M47" s="4054"/>
      <c r="N47" s="4056"/>
      <c r="O47" s="4004" t="s">
        <v>205</v>
      </c>
      <c r="P47" s="4004"/>
      <c r="Q47" s="4014"/>
      <c r="R47" s="4137"/>
      <c r="S47" s="4124"/>
      <c r="T47" s="4002"/>
      <c r="U47" s="4149"/>
      <c r="V47" s="4017"/>
      <c r="W47" s="323">
        <f>0+18355000</f>
        <v>18355000</v>
      </c>
      <c r="X47" s="323"/>
      <c r="Y47" s="323"/>
      <c r="Z47" s="214">
        <v>88</v>
      </c>
      <c r="AA47" s="215" t="s">
        <v>131</v>
      </c>
      <c r="AB47" s="4125"/>
      <c r="AC47" s="4082"/>
      <c r="AD47" s="4082"/>
      <c r="AE47" s="4082"/>
      <c r="AF47" s="4082"/>
      <c r="AG47" s="4082"/>
      <c r="AH47" s="4082"/>
      <c r="AI47" s="4082"/>
      <c r="AJ47" s="4082"/>
      <c r="AK47" s="4082"/>
      <c r="AL47" s="4082"/>
      <c r="AM47" s="4082"/>
      <c r="AN47" s="4082"/>
      <c r="AO47" s="4082"/>
      <c r="AP47" s="4082"/>
      <c r="AQ47" s="4082"/>
      <c r="AR47" s="4082"/>
      <c r="AS47" s="4082"/>
      <c r="AT47" s="4082"/>
      <c r="AU47" s="4082"/>
      <c r="AV47" s="4082"/>
      <c r="AW47" s="4082"/>
      <c r="AX47" s="4082"/>
      <c r="AY47" s="4082"/>
      <c r="AZ47" s="4082"/>
      <c r="BA47" s="4082"/>
      <c r="BB47" s="4082"/>
      <c r="BC47" s="4082"/>
      <c r="BD47" s="4082"/>
      <c r="BE47" s="4082"/>
      <c r="BF47" s="4082"/>
      <c r="BG47" s="4082"/>
      <c r="BH47" s="4082"/>
      <c r="BI47" s="4139"/>
      <c r="BJ47" s="4139"/>
      <c r="BK47" s="4142"/>
      <c r="BL47" s="4082"/>
      <c r="BM47" s="4082"/>
      <c r="BN47" s="4097"/>
      <c r="BO47" s="4097"/>
      <c r="BP47" s="4097"/>
      <c r="BQ47" s="4097"/>
      <c r="BR47" s="4035"/>
      <c r="BS47" s="301"/>
    </row>
    <row r="48" spans="1:71" s="162" customFormat="1" ht="67.5" customHeight="1" x14ac:dyDescent="0.25">
      <c r="A48" s="228"/>
      <c r="B48" s="229"/>
      <c r="C48" s="229"/>
      <c r="D48" s="311"/>
      <c r="E48" s="302"/>
      <c r="F48" s="312"/>
      <c r="G48" s="310"/>
      <c r="H48" s="310"/>
      <c r="I48" s="310"/>
      <c r="J48" s="271">
        <v>77</v>
      </c>
      <c r="K48" s="242" t="s">
        <v>206</v>
      </c>
      <c r="L48" s="242" t="s">
        <v>207</v>
      </c>
      <c r="M48" s="244">
        <v>80</v>
      </c>
      <c r="N48" s="244">
        <v>94</v>
      </c>
      <c r="O48" s="4004"/>
      <c r="P48" s="4004"/>
      <c r="Q48" s="4002"/>
      <c r="R48" s="324">
        <v>0</v>
      </c>
      <c r="S48" s="4107"/>
      <c r="T48" s="4002"/>
      <c r="U48" s="242" t="s">
        <v>208</v>
      </c>
      <c r="V48" s="247" t="s">
        <v>209</v>
      </c>
      <c r="W48" s="325"/>
      <c r="X48" s="325"/>
      <c r="Y48" s="325"/>
      <c r="Z48" s="326"/>
      <c r="AA48" s="267"/>
      <c r="AB48" s="4082"/>
      <c r="AC48" s="4082"/>
      <c r="AD48" s="4082"/>
      <c r="AE48" s="4082"/>
      <c r="AF48" s="4082"/>
      <c r="AG48" s="4082"/>
      <c r="AH48" s="4082"/>
      <c r="AI48" s="4082"/>
      <c r="AJ48" s="4082"/>
      <c r="AK48" s="4082"/>
      <c r="AL48" s="4082"/>
      <c r="AM48" s="4082"/>
      <c r="AN48" s="4082"/>
      <c r="AO48" s="4082"/>
      <c r="AP48" s="4082"/>
      <c r="AQ48" s="4082"/>
      <c r="AR48" s="4082"/>
      <c r="AS48" s="4082"/>
      <c r="AT48" s="4082"/>
      <c r="AU48" s="4082"/>
      <c r="AV48" s="4082"/>
      <c r="AW48" s="4082"/>
      <c r="AX48" s="4082"/>
      <c r="AY48" s="4082"/>
      <c r="AZ48" s="4082"/>
      <c r="BA48" s="4082"/>
      <c r="BB48" s="4082"/>
      <c r="BC48" s="4082"/>
      <c r="BD48" s="4082"/>
      <c r="BE48" s="4082"/>
      <c r="BF48" s="4082"/>
      <c r="BG48" s="4082"/>
      <c r="BH48" s="4082"/>
      <c r="BI48" s="4139"/>
      <c r="BJ48" s="4139"/>
      <c r="BK48" s="4142"/>
      <c r="BL48" s="4082"/>
      <c r="BM48" s="4082"/>
      <c r="BN48" s="4097"/>
      <c r="BO48" s="4097"/>
      <c r="BP48" s="4097"/>
      <c r="BQ48" s="4097"/>
      <c r="BR48" s="4035"/>
      <c r="BS48" s="301"/>
    </row>
    <row r="49" spans="1:71" s="162" customFormat="1" ht="106.5" customHeight="1" x14ac:dyDescent="0.25">
      <c r="A49" s="228"/>
      <c r="B49" s="229"/>
      <c r="C49" s="229"/>
      <c r="D49" s="311"/>
      <c r="E49" s="302"/>
      <c r="F49" s="312"/>
      <c r="G49" s="310"/>
      <c r="H49" s="310"/>
      <c r="I49" s="310"/>
      <c r="J49" s="271">
        <v>78</v>
      </c>
      <c r="K49" s="242" t="s">
        <v>210</v>
      </c>
      <c r="L49" s="242" t="s">
        <v>211</v>
      </c>
      <c r="M49" s="244">
        <v>15</v>
      </c>
      <c r="N49" s="244">
        <v>9</v>
      </c>
      <c r="O49" s="4004"/>
      <c r="P49" s="4004"/>
      <c r="Q49" s="4002"/>
      <c r="R49" s="327">
        <v>0</v>
      </c>
      <c r="S49" s="4107"/>
      <c r="T49" s="4002"/>
      <c r="U49" s="242" t="s">
        <v>212</v>
      </c>
      <c r="V49" s="250" t="s">
        <v>213</v>
      </c>
      <c r="W49" s="328"/>
      <c r="X49" s="328"/>
      <c r="Y49" s="328"/>
      <c r="Z49" s="329"/>
      <c r="AA49" s="330"/>
      <c r="AB49" s="4082"/>
      <c r="AC49" s="4082"/>
      <c r="AD49" s="4082"/>
      <c r="AE49" s="4082"/>
      <c r="AF49" s="4082"/>
      <c r="AG49" s="4082"/>
      <c r="AH49" s="4082"/>
      <c r="AI49" s="4082"/>
      <c r="AJ49" s="4082"/>
      <c r="AK49" s="4082"/>
      <c r="AL49" s="4082"/>
      <c r="AM49" s="4082"/>
      <c r="AN49" s="4082"/>
      <c r="AO49" s="4082"/>
      <c r="AP49" s="4082"/>
      <c r="AQ49" s="4082"/>
      <c r="AR49" s="4082"/>
      <c r="AS49" s="4082"/>
      <c r="AT49" s="4082"/>
      <c r="AU49" s="4082"/>
      <c r="AV49" s="4082"/>
      <c r="AW49" s="4082"/>
      <c r="AX49" s="4082"/>
      <c r="AY49" s="4082"/>
      <c r="AZ49" s="4082"/>
      <c r="BA49" s="4082"/>
      <c r="BB49" s="4082"/>
      <c r="BC49" s="4082"/>
      <c r="BD49" s="4082"/>
      <c r="BE49" s="4082"/>
      <c r="BF49" s="4082"/>
      <c r="BG49" s="4082"/>
      <c r="BH49" s="4082"/>
      <c r="BI49" s="4139"/>
      <c r="BJ49" s="4139"/>
      <c r="BK49" s="4142"/>
      <c r="BL49" s="4082"/>
      <c r="BM49" s="4082"/>
      <c r="BN49" s="4097"/>
      <c r="BO49" s="4097"/>
      <c r="BP49" s="4097"/>
      <c r="BQ49" s="4097"/>
      <c r="BR49" s="4035"/>
      <c r="BS49" s="331"/>
    </row>
    <row r="50" spans="1:71" s="162" customFormat="1" ht="99" customHeight="1" x14ac:dyDescent="0.25">
      <c r="A50" s="228"/>
      <c r="B50" s="229"/>
      <c r="C50" s="229"/>
      <c r="D50" s="311"/>
      <c r="E50" s="302"/>
      <c r="F50" s="312"/>
      <c r="G50" s="310"/>
      <c r="H50" s="310"/>
      <c r="I50" s="310"/>
      <c r="J50" s="271">
        <v>79</v>
      </c>
      <c r="K50" s="242" t="s">
        <v>214</v>
      </c>
      <c r="L50" s="242" t="s">
        <v>215</v>
      </c>
      <c r="M50" s="244">
        <v>230</v>
      </c>
      <c r="N50" s="244">
        <v>145</v>
      </c>
      <c r="O50" s="4004"/>
      <c r="P50" s="4004"/>
      <c r="Q50" s="4002"/>
      <c r="R50" s="327">
        <f>+W50/S45</f>
        <v>0</v>
      </c>
      <c r="S50" s="4107"/>
      <c r="T50" s="4002"/>
      <c r="U50" s="242" t="s">
        <v>216</v>
      </c>
      <c r="V50" s="250" t="s">
        <v>217</v>
      </c>
      <c r="W50" s="258"/>
      <c r="X50" s="258"/>
      <c r="Y50" s="258"/>
      <c r="Z50" s="329"/>
      <c r="AA50" s="330"/>
      <c r="AB50" s="4082"/>
      <c r="AC50" s="4082"/>
      <c r="AD50" s="4082"/>
      <c r="AE50" s="4082"/>
      <c r="AF50" s="4082"/>
      <c r="AG50" s="4082"/>
      <c r="AH50" s="4082"/>
      <c r="AI50" s="4082"/>
      <c r="AJ50" s="4082"/>
      <c r="AK50" s="4082"/>
      <c r="AL50" s="4082"/>
      <c r="AM50" s="4082"/>
      <c r="AN50" s="4082"/>
      <c r="AO50" s="4082"/>
      <c r="AP50" s="4082"/>
      <c r="AQ50" s="4082"/>
      <c r="AR50" s="4082"/>
      <c r="AS50" s="4082"/>
      <c r="AT50" s="4082"/>
      <c r="AU50" s="4082"/>
      <c r="AV50" s="4082"/>
      <c r="AW50" s="4082"/>
      <c r="AX50" s="4082"/>
      <c r="AY50" s="4082"/>
      <c r="AZ50" s="4082"/>
      <c r="BA50" s="4082"/>
      <c r="BB50" s="4082"/>
      <c r="BC50" s="4082"/>
      <c r="BD50" s="4082"/>
      <c r="BE50" s="4082"/>
      <c r="BF50" s="4082"/>
      <c r="BG50" s="4082"/>
      <c r="BH50" s="4082"/>
      <c r="BI50" s="4139"/>
      <c r="BJ50" s="4139"/>
      <c r="BK50" s="4142"/>
      <c r="BL50" s="4082"/>
      <c r="BM50" s="4082"/>
      <c r="BN50" s="4097"/>
      <c r="BO50" s="4097"/>
      <c r="BP50" s="4097"/>
      <c r="BQ50" s="4097"/>
      <c r="BR50" s="4035"/>
    </row>
    <row r="51" spans="1:71" s="162" customFormat="1" ht="79.5" customHeight="1" x14ac:dyDescent="0.25">
      <c r="A51" s="228"/>
      <c r="B51" s="229"/>
      <c r="C51" s="229"/>
      <c r="D51" s="311"/>
      <c r="E51" s="302"/>
      <c r="F51" s="312"/>
      <c r="G51" s="310"/>
      <c r="H51" s="310"/>
      <c r="I51" s="310"/>
      <c r="J51" s="271">
        <v>80</v>
      </c>
      <c r="K51" s="242" t="s">
        <v>218</v>
      </c>
      <c r="L51" s="242" t="s">
        <v>219</v>
      </c>
      <c r="M51" s="244">
        <v>4700</v>
      </c>
      <c r="N51" s="244">
        <v>4249</v>
      </c>
      <c r="O51" s="4004"/>
      <c r="P51" s="4004"/>
      <c r="Q51" s="4002"/>
      <c r="R51" s="327">
        <v>0</v>
      </c>
      <c r="S51" s="4107"/>
      <c r="T51" s="4002"/>
      <c r="U51" s="242" t="s">
        <v>220</v>
      </c>
      <c r="V51" s="250" t="s">
        <v>221</v>
      </c>
      <c r="W51" s="328"/>
      <c r="X51" s="328"/>
      <c r="Y51" s="328"/>
      <c r="Z51" s="329"/>
      <c r="AA51" s="330"/>
      <c r="AB51" s="4082"/>
      <c r="AC51" s="4082"/>
      <c r="AD51" s="4082"/>
      <c r="AE51" s="4082"/>
      <c r="AF51" s="4082"/>
      <c r="AG51" s="4082"/>
      <c r="AH51" s="4082"/>
      <c r="AI51" s="4082"/>
      <c r="AJ51" s="4082"/>
      <c r="AK51" s="4082"/>
      <c r="AL51" s="4082"/>
      <c r="AM51" s="4082"/>
      <c r="AN51" s="4082"/>
      <c r="AO51" s="4082"/>
      <c r="AP51" s="4082"/>
      <c r="AQ51" s="4082"/>
      <c r="AR51" s="4082"/>
      <c r="AS51" s="4082"/>
      <c r="AT51" s="4082"/>
      <c r="AU51" s="4082"/>
      <c r="AV51" s="4082"/>
      <c r="AW51" s="4082"/>
      <c r="AX51" s="4082"/>
      <c r="AY51" s="4082"/>
      <c r="AZ51" s="4082"/>
      <c r="BA51" s="4082"/>
      <c r="BB51" s="4082"/>
      <c r="BC51" s="4082"/>
      <c r="BD51" s="4082"/>
      <c r="BE51" s="4082"/>
      <c r="BF51" s="4082"/>
      <c r="BG51" s="4082"/>
      <c r="BH51" s="4082"/>
      <c r="BI51" s="4139"/>
      <c r="BJ51" s="4139"/>
      <c r="BK51" s="4142"/>
      <c r="BL51" s="4082"/>
      <c r="BM51" s="4082"/>
      <c r="BN51" s="4097"/>
      <c r="BO51" s="4097"/>
      <c r="BP51" s="4097"/>
      <c r="BQ51" s="4097"/>
      <c r="BR51" s="4035"/>
    </row>
    <row r="52" spans="1:71" s="162" customFormat="1" ht="123.75" customHeight="1" x14ac:dyDescent="0.25">
      <c r="A52" s="228"/>
      <c r="B52" s="229"/>
      <c r="C52" s="229"/>
      <c r="D52" s="311"/>
      <c r="E52" s="302"/>
      <c r="F52" s="312"/>
      <c r="G52" s="310"/>
      <c r="H52" s="310"/>
      <c r="I52" s="310"/>
      <c r="J52" s="271">
        <v>81</v>
      </c>
      <c r="K52" s="242" t="s">
        <v>222</v>
      </c>
      <c r="L52" s="242" t="s">
        <v>223</v>
      </c>
      <c r="M52" s="244">
        <v>41</v>
      </c>
      <c r="N52" s="244">
        <v>19</v>
      </c>
      <c r="O52" s="4004"/>
      <c r="P52" s="4004"/>
      <c r="Q52" s="4002"/>
      <c r="R52" s="327">
        <v>0</v>
      </c>
      <c r="S52" s="4107"/>
      <c r="T52" s="4002"/>
      <c r="U52" s="242" t="s">
        <v>197</v>
      </c>
      <c r="V52" s="250" t="s">
        <v>224</v>
      </c>
      <c r="W52" s="328"/>
      <c r="X52" s="328"/>
      <c r="Y52" s="328"/>
      <c r="Z52" s="329"/>
      <c r="AA52" s="330"/>
      <c r="AB52" s="4082"/>
      <c r="AC52" s="4082"/>
      <c r="AD52" s="4082"/>
      <c r="AE52" s="4082"/>
      <c r="AF52" s="4082"/>
      <c r="AG52" s="4082"/>
      <c r="AH52" s="4082"/>
      <c r="AI52" s="4082"/>
      <c r="AJ52" s="4082"/>
      <c r="AK52" s="4082"/>
      <c r="AL52" s="4082"/>
      <c r="AM52" s="4082"/>
      <c r="AN52" s="4082"/>
      <c r="AO52" s="4082"/>
      <c r="AP52" s="4082"/>
      <c r="AQ52" s="4082"/>
      <c r="AR52" s="4082"/>
      <c r="AS52" s="4082"/>
      <c r="AT52" s="4082"/>
      <c r="AU52" s="4082"/>
      <c r="AV52" s="4082"/>
      <c r="AW52" s="4082"/>
      <c r="AX52" s="4082"/>
      <c r="AY52" s="4082"/>
      <c r="AZ52" s="4082"/>
      <c r="BA52" s="4082"/>
      <c r="BB52" s="4082"/>
      <c r="BC52" s="4082"/>
      <c r="BD52" s="4082"/>
      <c r="BE52" s="4082"/>
      <c r="BF52" s="4082"/>
      <c r="BG52" s="4082"/>
      <c r="BH52" s="4082"/>
      <c r="BI52" s="4139"/>
      <c r="BJ52" s="4139"/>
      <c r="BK52" s="4142"/>
      <c r="BL52" s="4082"/>
      <c r="BM52" s="4082"/>
      <c r="BN52" s="4097"/>
      <c r="BO52" s="4097"/>
      <c r="BP52" s="4097"/>
      <c r="BQ52" s="4097"/>
      <c r="BR52" s="4035"/>
    </row>
    <row r="53" spans="1:71" s="162" customFormat="1" ht="120" customHeight="1" x14ac:dyDescent="0.25">
      <c r="A53" s="228"/>
      <c r="B53" s="229"/>
      <c r="C53" s="229"/>
      <c r="D53" s="311"/>
      <c r="E53" s="302"/>
      <c r="F53" s="312"/>
      <c r="G53" s="310"/>
      <c r="H53" s="310"/>
      <c r="I53" s="310"/>
      <c r="J53" s="332">
        <v>82</v>
      </c>
      <c r="K53" s="333" t="s">
        <v>225</v>
      </c>
      <c r="L53" s="333" t="s">
        <v>226</v>
      </c>
      <c r="M53" s="334">
        <v>40</v>
      </c>
      <c r="N53" s="244">
        <v>18</v>
      </c>
      <c r="O53" s="4005"/>
      <c r="P53" s="4004"/>
      <c r="Q53" s="4002"/>
      <c r="R53" s="335">
        <v>0</v>
      </c>
      <c r="S53" s="4107"/>
      <c r="T53" s="4002"/>
      <c r="U53" s="333" t="s">
        <v>197</v>
      </c>
      <c r="V53" s="336" t="s">
        <v>227</v>
      </c>
      <c r="W53" s="337"/>
      <c r="X53" s="337"/>
      <c r="Y53" s="337"/>
      <c r="Z53" s="329"/>
      <c r="AA53" s="330"/>
      <c r="AB53" s="4082"/>
      <c r="AC53" s="4103"/>
      <c r="AD53" s="4082"/>
      <c r="AE53" s="4103"/>
      <c r="AF53" s="4082"/>
      <c r="AG53" s="4103"/>
      <c r="AH53" s="4082"/>
      <c r="AI53" s="4103"/>
      <c r="AJ53" s="4082"/>
      <c r="AK53" s="4103"/>
      <c r="AL53" s="4082"/>
      <c r="AM53" s="4103"/>
      <c r="AN53" s="4082"/>
      <c r="AO53" s="4103"/>
      <c r="AP53" s="4082"/>
      <c r="AQ53" s="4103"/>
      <c r="AR53" s="4082"/>
      <c r="AS53" s="4103"/>
      <c r="AT53" s="4082"/>
      <c r="AU53" s="4103"/>
      <c r="AV53" s="4082"/>
      <c r="AW53" s="4103"/>
      <c r="AX53" s="4082"/>
      <c r="AY53" s="4103"/>
      <c r="AZ53" s="4082"/>
      <c r="BA53" s="4103"/>
      <c r="BB53" s="4082"/>
      <c r="BC53" s="4103"/>
      <c r="BD53" s="4082"/>
      <c r="BE53" s="4103"/>
      <c r="BF53" s="4082"/>
      <c r="BG53" s="4103"/>
      <c r="BH53" s="4103"/>
      <c r="BI53" s="4140"/>
      <c r="BJ53" s="4140"/>
      <c r="BK53" s="4143"/>
      <c r="BL53" s="4103"/>
      <c r="BM53" s="4103"/>
      <c r="BN53" s="4134"/>
      <c r="BO53" s="4134"/>
      <c r="BP53" s="4134"/>
      <c r="BQ53" s="4134"/>
      <c r="BR53" s="4035"/>
    </row>
    <row r="54" spans="1:71" s="162" customFormat="1" ht="15.75" x14ac:dyDescent="0.25">
      <c r="A54" s="228"/>
      <c r="B54" s="229"/>
      <c r="C54" s="229"/>
      <c r="D54" s="228"/>
      <c r="E54" s="229"/>
      <c r="F54" s="237"/>
      <c r="G54" s="306">
        <v>20</v>
      </c>
      <c r="H54" s="181" t="s">
        <v>228</v>
      </c>
      <c r="I54" s="181"/>
      <c r="J54" s="181"/>
      <c r="K54" s="182"/>
      <c r="L54" s="182"/>
      <c r="M54" s="221"/>
      <c r="N54" s="221"/>
      <c r="O54" s="307"/>
      <c r="P54" s="221"/>
      <c r="Q54" s="182"/>
      <c r="R54" s="221"/>
      <c r="S54" s="224"/>
      <c r="T54" s="182"/>
      <c r="U54" s="182"/>
      <c r="V54" s="182"/>
      <c r="W54" s="182"/>
      <c r="X54" s="308"/>
      <c r="Y54" s="308"/>
      <c r="Z54" s="308"/>
      <c r="AA54" s="338"/>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192"/>
      <c r="AY54" s="192"/>
      <c r="AZ54" s="192"/>
      <c r="BA54" s="192"/>
      <c r="BB54" s="192"/>
      <c r="BC54" s="192"/>
      <c r="BD54" s="192"/>
      <c r="BE54" s="192"/>
      <c r="BF54" s="192"/>
      <c r="BG54" s="192"/>
      <c r="BH54" s="192"/>
      <c r="BI54" s="192"/>
      <c r="BJ54" s="192"/>
      <c r="BK54" s="192"/>
      <c r="BL54" s="192"/>
      <c r="BM54" s="192"/>
      <c r="BN54" s="192"/>
      <c r="BO54" s="192"/>
      <c r="BP54" s="192"/>
      <c r="BQ54" s="192"/>
      <c r="BR54" s="192"/>
    </row>
    <row r="55" spans="1:71" s="162" customFormat="1" ht="37.5" customHeight="1" x14ac:dyDescent="0.25">
      <c r="A55" s="339"/>
      <c r="B55" s="148"/>
      <c r="C55" s="148"/>
      <c r="D55" s="340"/>
      <c r="E55" s="341"/>
      <c r="F55" s="342"/>
      <c r="G55" s="4150"/>
      <c r="H55" s="4150"/>
      <c r="I55" s="4151"/>
      <c r="J55" s="4020">
        <v>83</v>
      </c>
      <c r="K55" s="4029" t="s">
        <v>229</v>
      </c>
      <c r="L55" s="4152" t="s">
        <v>230</v>
      </c>
      <c r="M55" s="4053">
        <v>54</v>
      </c>
      <c r="N55" s="4053">
        <v>54</v>
      </c>
      <c r="O55" s="343"/>
      <c r="P55" s="4000" t="s">
        <v>231</v>
      </c>
      <c r="Q55" s="4147" t="s">
        <v>232</v>
      </c>
      <c r="R55" s="4155">
        <f>(W55+W56)/$S$55</f>
        <v>0.28297679377012569</v>
      </c>
      <c r="S55" s="4175">
        <f>SUM(W55:W73)</f>
        <v>436696586.86000001</v>
      </c>
      <c r="T55" s="4147" t="s">
        <v>233</v>
      </c>
      <c r="U55" s="4029" t="s">
        <v>234</v>
      </c>
      <c r="V55" s="4029" t="s">
        <v>235</v>
      </c>
      <c r="W55" s="258">
        <v>19800000</v>
      </c>
      <c r="X55" s="258">
        <v>11342000</v>
      </c>
      <c r="Y55" s="258">
        <v>11342000</v>
      </c>
      <c r="Z55" s="344">
        <v>20</v>
      </c>
      <c r="AA55" s="270" t="s">
        <v>86</v>
      </c>
      <c r="AB55" s="4020">
        <v>20555</v>
      </c>
      <c r="AC55" s="4020">
        <v>20555</v>
      </c>
      <c r="AD55" s="4020">
        <v>21361</v>
      </c>
      <c r="AE55" s="4020">
        <v>21361</v>
      </c>
      <c r="AF55" s="4157">
        <v>30460</v>
      </c>
      <c r="AG55" s="4157">
        <v>30460</v>
      </c>
      <c r="AH55" s="4157">
        <v>9593</v>
      </c>
      <c r="AI55" s="4157">
        <v>9593</v>
      </c>
      <c r="AJ55" s="4157">
        <v>1762</v>
      </c>
      <c r="AK55" s="4157">
        <v>1762</v>
      </c>
      <c r="AL55" s="4157">
        <v>101</v>
      </c>
      <c r="AM55" s="4157">
        <v>101</v>
      </c>
      <c r="AN55" s="4157">
        <v>308</v>
      </c>
      <c r="AO55" s="4157">
        <v>308</v>
      </c>
      <c r="AP55" s="4157">
        <v>277</v>
      </c>
      <c r="AQ55" s="345"/>
      <c r="AR55" s="4157">
        <v>0</v>
      </c>
      <c r="AS55" s="345"/>
      <c r="AT55" s="4157">
        <v>0</v>
      </c>
      <c r="AU55" s="345"/>
      <c r="AV55" s="4157">
        <v>0</v>
      </c>
      <c r="AW55" s="345"/>
      <c r="AX55" s="4157">
        <v>0</v>
      </c>
      <c r="AY55" s="345"/>
      <c r="AZ55" s="4157">
        <v>2907</v>
      </c>
      <c r="BA55" s="4160">
        <v>2907</v>
      </c>
      <c r="BB55" s="4157">
        <v>2589</v>
      </c>
      <c r="BC55" s="345"/>
      <c r="BD55" s="4157">
        <v>2954</v>
      </c>
      <c r="BE55" s="4157">
        <v>2954</v>
      </c>
      <c r="BF55" s="4157">
        <v>41916</v>
      </c>
      <c r="BG55" s="4157">
        <v>41916</v>
      </c>
      <c r="BH55" s="4157">
        <v>3</v>
      </c>
      <c r="BI55" s="4166">
        <f>SUM(X55:X73)</f>
        <v>145130500</v>
      </c>
      <c r="BJ55" s="4166">
        <f>SUM(Y55:Y73)</f>
        <v>88420500</v>
      </c>
      <c r="BK55" s="4037">
        <f>+BJ55/BI55</f>
        <v>0.60924822831865111</v>
      </c>
      <c r="BL55" s="4160" t="s">
        <v>236</v>
      </c>
      <c r="BM55" s="4160" t="s">
        <v>237</v>
      </c>
      <c r="BN55" s="4163">
        <v>42430</v>
      </c>
      <c r="BO55" s="4163" t="s">
        <v>238</v>
      </c>
      <c r="BP55" s="4163">
        <v>43646</v>
      </c>
      <c r="BQ55" s="4163">
        <v>43646</v>
      </c>
      <c r="BR55" s="4121" t="s">
        <v>129</v>
      </c>
    </row>
    <row r="56" spans="1:71" s="162" customFormat="1" ht="39" customHeight="1" x14ac:dyDescent="0.25">
      <c r="A56" s="339"/>
      <c r="B56" s="148"/>
      <c r="C56" s="148"/>
      <c r="D56" s="340"/>
      <c r="E56" s="341"/>
      <c r="F56" s="342"/>
      <c r="G56" s="4150"/>
      <c r="H56" s="4150"/>
      <c r="I56" s="4151"/>
      <c r="J56" s="4021"/>
      <c r="K56" s="4144"/>
      <c r="L56" s="4031"/>
      <c r="M56" s="4054"/>
      <c r="N56" s="4054"/>
      <c r="O56" s="343"/>
      <c r="P56" s="4000"/>
      <c r="Q56" s="4147"/>
      <c r="R56" s="4156"/>
      <c r="S56" s="4175"/>
      <c r="T56" s="4147"/>
      <c r="U56" s="4144"/>
      <c r="V56" s="4144"/>
      <c r="W56" s="258">
        <f>0+103775000</f>
        <v>103775000</v>
      </c>
      <c r="X56" s="258">
        <v>79394000</v>
      </c>
      <c r="Y56" s="258">
        <v>22684000</v>
      </c>
      <c r="Z56" s="344">
        <v>88</v>
      </c>
      <c r="AA56" s="270" t="s">
        <v>131</v>
      </c>
      <c r="AB56" s="4019"/>
      <c r="AC56" s="4019"/>
      <c r="AD56" s="4019"/>
      <c r="AE56" s="4019"/>
      <c r="AF56" s="4158"/>
      <c r="AG56" s="4158"/>
      <c r="AH56" s="4158"/>
      <c r="AI56" s="4158"/>
      <c r="AJ56" s="4158"/>
      <c r="AK56" s="4158"/>
      <c r="AL56" s="4158"/>
      <c r="AM56" s="4158"/>
      <c r="AN56" s="4158"/>
      <c r="AO56" s="4158"/>
      <c r="AP56" s="4158"/>
      <c r="AQ56" s="4158"/>
      <c r="AR56" s="4158"/>
      <c r="AS56" s="4158"/>
      <c r="AT56" s="4158"/>
      <c r="AU56" s="4158"/>
      <c r="AV56" s="4158"/>
      <c r="AW56" s="4158"/>
      <c r="AX56" s="4158"/>
      <c r="AY56" s="4158"/>
      <c r="AZ56" s="4158"/>
      <c r="BA56" s="4161"/>
      <c r="BB56" s="4158"/>
      <c r="BC56" s="4161">
        <v>2589</v>
      </c>
      <c r="BD56" s="4158"/>
      <c r="BE56" s="4158"/>
      <c r="BF56" s="4158"/>
      <c r="BG56" s="4158"/>
      <c r="BH56" s="4158"/>
      <c r="BI56" s="4167"/>
      <c r="BJ56" s="4167"/>
      <c r="BK56" s="4038"/>
      <c r="BL56" s="4158"/>
      <c r="BM56" s="4158"/>
      <c r="BN56" s="4164"/>
      <c r="BO56" s="4164"/>
      <c r="BP56" s="4164"/>
      <c r="BQ56" s="4164"/>
      <c r="BR56" s="4122"/>
    </row>
    <row r="57" spans="1:71" s="162" customFormat="1" ht="96.75" customHeight="1" x14ac:dyDescent="0.25">
      <c r="A57" s="339"/>
      <c r="B57" s="148"/>
      <c r="C57" s="148"/>
      <c r="D57" s="340"/>
      <c r="E57" s="341"/>
      <c r="F57" s="342"/>
      <c r="G57" s="4150"/>
      <c r="H57" s="4150"/>
      <c r="I57" s="4151"/>
      <c r="J57" s="271">
        <v>84</v>
      </c>
      <c r="K57" s="250" t="s">
        <v>239</v>
      </c>
      <c r="L57" s="250" t="s">
        <v>240</v>
      </c>
      <c r="M57" s="271">
        <v>30</v>
      </c>
      <c r="N57" s="271">
        <v>44</v>
      </c>
      <c r="O57" s="343"/>
      <c r="P57" s="4000"/>
      <c r="Q57" s="4147"/>
      <c r="R57" s="346">
        <f>+W57/S55</f>
        <v>0</v>
      </c>
      <c r="S57" s="4175"/>
      <c r="T57" s="4147"/>
      <c r="U57" s="253" t="s">
        <v>241</v>
      </c>
      <c r="V57" s="253" t="s">
        <v>242</v>
      </c>
      <c r="W57" s="328"/>
      <c r="X57" s="328"/>
      <c r="Y57" s="328"/>
      <c r="Z57" s="347"/>
      <c r="AA57" s="270"/>
      <c r="AB57" s="4019"/>
      <c r="AC57" s="4019"/>
      <c r="AD57" s="4019"/>
      <c r="AE57" s="4019"/>
      <c r="AF57" s="4158"/>
      <c r="AG57" s="4158"/>
      <c r="AH57" s="4158"/>
      <c r="AI57" s="4158"/>
      <c r="AJ57" s="4158"/>
      <c r="AK57" s="4158"/>
      <c r="AL57" s="4158"/>
      <c r="AM57" s="4158"/>
      <c r="AN57" s="4158"/>
      <c r="AO57" s="4158"/>
      <c r="AP57" s="4158"/>
      <c r="AQ57" s="4158"/>
      <c r="AR57" s="4158"/>
      <c r="AS57" s="4158"/>
      <c r="AT57" s="4158"/>
      <c r="AU57" s="4158"/>
      <c r="AV57" s="4158"/>
      <c r="AW57" s="4158"/>
      <c r="AX57" s="4158"/>
      <c r="AY57" s="4158"/>
      <c r="AZ57" s="4158"/>
      <c r="BA57" s="4161"/>
      <c r="BB57" s="4158"/>
      <c r="BC57" s="4161"/>
      <c r="BD57" s="4158"/>
      <c r="BE57" s="4158"/>
      <c r="BF57" s="4158"/>
      <c r="BG57" s="4158"/>
      <c r="BH57" s="4158"/>
      <c r="BI57" s="4167"/>
      <c r="BJ57" s="4167"/>
      <c r="BK57" s="4038"/>
      <c r="BL57" s="4158"/>
      <c r="BM57" s="4158"/>
      <c r="BN57" s="4164"/>
      <c r="BO57" s="4164"/>
      <c r="BP57" s="4164"/>
      <c r="BQ57" s="4164"/>
      <c r="BR57" s="4122"/>
    </row>
    <row r="58" spans="1:71" s="162" customFormat="1" ht="65.25" customHeight="1" x14ac:dyDescent="0.25">
      <c r="A58" s="339"/>
      <c r="B58" s="148"/>
      <c r="C58" s="148"/>
      <c r="D58" s="340"/>
      <c r="E58" s="341"/>
      <c r="F58" s="342"/>
      <c r="G58" s="4150"/>
      <c r="H58" s="4150"/>
      <c r="I58" s="4151"/>
      <c r="J58" s="271">
        <v>85</v>
      </c>
      <c r="K58" s="250" t="s">
        <v>243</v>
      </c>
      <c r="L58" s="250" t="s">
        <v>244</v>
      </c>
      <c r="M58" s="271">
        <v>30</v>
      </c>
      <c r="N58" s="271">
        <v>54</v>
      </c>
      <c r="O58" s="343"/>
      <c r="P58" s="4000"/>
      <c r="Q58" s="4147"/>
      <c r="R58" s="346">
        <f>+W58/S55</f>
        <v>0</v>
      </c>
      <c r="S58" s="4175"/>
      <c r="T58" s="4147"/>
      <c r="U58" s="348" t="s">
        <v>245</v>
      </c>
      <c r="V58" s="253" t="s">
        <v>246</v>
      </c>
      <c r="W58" s="258">
        <f>16050000-16050000</f>
        <v>0</v>
      </c>
      <c r="X58" s="258"/>
      <c r="Y58" s="258"/>
      <c r="Z58" s="347"/>
      <c r="AA58" s="270"/>
      <c r="AB58" s="4019"/>
      <c r="AC58" s="4019"/>
      <c r="AD58" s="4019"/>
      <c r="AE58" s="4019"/>
      <c r="AF58" s="4158"/>
      <c r="AG58" s="4158"/>
      <c r="AH58" s="4158"/>
      <c r="AI58" s="4158"/>
      <c r="AJ58" s="4158"/>
      <c r="AK58" s="4158"/>
      <c r="AL58" s="4158"/>
      <c r="AM58" s="4158"/>
      <c r="AN58" s="4158"/>
      <c r="AO58" s="4158"/>
      <c r="AP58" s="4158"/>
      <c r="AQ58" s="4158"/>
      <c r="AR58" s="4158"/>
      <c r="AS58" s="4158"/>
      <c r="AT58" s="4158"/>
      <c r="AU58" s="4158"/>
      <c r="AV58" s="4158"/>
      <c r="AW58" s="4158"/>
      <c r="AX58" s="4158"/>
      <c r="AY58" s="4158"/>
      <c r="AZ58" s="4158"/>
      <c r="BA58" s="4161"/>
      <c r="BB58" s="4158"/>
      <c r="BC58" s="4161"/>
      <c r="BD58" s="4158"/>
      <c r="BE58" s="4158"/>
      <c r="BF58" s="4158"/>
      <c r="BG58" s="4158"/>
      <c r="BH58" s="4158"/>
      <c r="BI58" s="4167"/>
      <c r="BJ58" s="4167"/>
      <c r="BK58" s="4038"/>
      <c r="BL58" s="4158"/>
      <c r="BM58" s="4158"/>
      <c r="BN58" s="4164"/>
      <c r="BO58" s="4164"/>
      <c r="BP58" s="4164"/>
      <c r="BQ58" s="4164"/>
      <c r="BR58" s="4122"/>
    </row>
    <row r="59" spans="1:71" s="162" customFormat="1" ht="45.75" customHeight="1" x14ac:dyDescent="0.25">
      <c r="A59" s="339"/>
      <c r="B59" s="148"/>
      <c r="C59" s="148"/>
      <c r="D59" s="340"/>
      <c r="E59" s="341"/>
      <c r="F59" s="342"/>
      <c r="G59" s="4150"/>
      <c r="H59" s="4150"/>
      <c r="I59" s="4151"/>
      <c r="J59" s="4020">
        <v>87</v>
      </c>
      <c r="K59" s="4153" t="s">
        <v>247</v>
      </c>
      <c r="L59" s="4153" t="s">
        <v>248</v>
      </c>
      <c r="M59" s="4020">
        <v>30</v>
      </c>
      <c r="N59" s="4020">
        <f>12+2</f>
        <v>14</v>
      </c>
      <c r="O59" s="343"/>
      <c r="P59" s="4000"/>
      <c r="Q59" s="4147"/>
      <c r="R59" s="4155">
        <f>(+W59+W60)/S55</f>
        <v>0.22870570323925796</v>
      </c>
      <c r="S59" s="4175"/>
      <c r="T59" s="4147"/>
      <c r="U59" s="4145" t="s">
        <v>249</v>
      </c>
      <c r="V59" s="4145" t="s">
        <v>250</v>
      </c>
      <c r="W59" s="258">
        <v>80000000</v>
      </c>
      <c r="X59" s="258"/>
      <c r="Y59" s="258"/>
      <c r="Z59" s="347">
        <v>21</v>
      </c>
      <c r="AA59" s="270" t="s">
        <v>251</v>
      </c>
      <c r="AB59" s="4019"/>
      <c r="AC59" s="4019"/>
      <c r="AD59" s="4019"/>
      <c r="AE59" s="4019"/>
      <c r="AF59" s="4158"/>
      <c r="AG59" s="4158"/>
      <c r="AH59" s="4158"/>
      <c r="AI59" s="4158"/>
      <c r="AJ59" s="4158"/>
      <c r="AK59" s="4158"/>
      <c r="AL59" s="4158"/>
      <c r="AM59" s="4158"/>
      <c r="AN59" s="4158"/>
      <c r="AO59" s="4158"/>
      <c r="AP59" s="4158"/>
      <c r="AQ59" s="4158"/>
      <c r="AR59" s="4158"/>
      <c r="AS59" s="4158"/>
      <c r="AT59" s="4158"/>
      <c r="AU59" s="4158"/>
      <c r="AV59" s="4158"/>
      <c r="AW59" s="4158"/>
      <c r="AX59" s="4158"/>
      <c r="AY59" s="4158"/>
      <c r="AZ59" s="4158"/>
      <c r="BA59" s="4161"/>
      <c r="BB59" s="4158"/>
      <c r="BC59" s="4161"/>
      <c r="BD59" s="4158"/>
      <c r="BE59" s="4158"/>
      <c r="BF59" s="4158"/>
      <c r="BG59" s="4158"/>
      <c r="BH59" s="4158"/>
      <c r="BI59" s="4167"/>
      <c r="BJ59" s="4167"/>
      <c r="BK59" s="4038"/>
      <c r="BL59" s="4158"/>
      <c r="BM59" s="4158"/>
      <c r="BN59" s="4164"/>
      <c r="BO59" s="4164"/>
      <c r="BP59" s="4164"/>
      <c r="BQ59" s="4164"/>
      <c r="BR59" s="4122"/>
    </row>
    <row r="60" spans="1:71" s="162" customFormat="1" ht="38.25" customHeight="1" x14ac:dyDescent="0.25">
      <c r="A60" s="339"/>
      <c r="B60" s="148"/>
      <c r="C60" s="148"/>
      <c r="D60" s="340"/>
      <c r="E60" s="341"/>
      <c r="F60" s="342"/>
      <c r="G60" s="4150"/>
      <c r="H60" s="4150"/>
      <c r="I60" s="4151"/>
      <c r="J60" s="4021"/>
      <c r="K60" s="4154"/>
      <c r="L60" s="4154"/>
      <c r="M60" s="4021"/>
      <c r="N60" s="4021"/>
      <c r="O60" s="343"/>
      <c r="P60" s="4000"/>
      <c r="Q60" s="4147"/>
      <c r="R60" s="4156"/>
      <c r="S60" s="4175"/>
      <c r="T60" s="4147"/>
      <c r="U60" s="4146"/>
      <c r="V60" s="4146"/>
      <c r="W60" s="258">
        <v>19875000</v>
      </c>
      <c r="X60" s="258">
        <f>10000000+9875000</f>
        <v>19875000</v>
      </c>
      <c r="Y60" s="258">
        <v>19875000</v>
      </c>
      <c r="Z60" s="347">
        <v>20</v>
      </c>
      <c r="AA60" s="270" t="s">
        <v>86</v>
      </c>
      <c r="AB60" s="4019"/>
      <c r="AC60" s="4019"/>
      <c r="AD60" s="4019"/>
      <c r="AE60" s="4019"/>
      <c r="AF60" s="4158"/>
      <c r="AG60" s="4158"/>
      <c r="AH60" s="4158"/>
      <c r="AI60" s="4158"/>
      <c r="AJ60" s="4158"/>
      <c r="AK60" s="4158"/>
      <c r="AL60" s="4158"/>
      <c r="AM60" s="4158"/>
      <c r="AN60" s="4158"/>
      <c r="AO60" s="4158"/>
      <c r="AP60" s="4158"/>
      <c r="AQ60" s="4158"/>
      <c r="AR60" s="4158"/>
      <c r="AS60" s="4158"/>
      <c r="AT60" s="4158"/>
      <c r="AU60" s="4158"/>
      <c r="AV60" s="4158"/>
      <c r="AW60" s="4158"/>
      <c r="AX60" s="4158"/>
      <c r="AY60" s="4158"/>
      <c r="AZ60" s="4158"/>
      <c r="BA60" s="4161"/>
      <c r="BB60" s="4158"/>
      <c r="BC60" s="4161"/>
      <c r="BD60" s="4158"/>
      <c r="BE60" s="4158"/>
      <c r="BF60" s="4158"/>
      <c r="BG60" s="4158"/>
      <c r="BH60" s="4158"/>
      <c r="BI60" s="4167"/>
      <c r="BJ60" s="4167"/>
      <c r="BK60" s="4038"/>
      <c r="BL60" s="4158"/>
      <c r="BM60" s="4158"/>
      <c r="BN60" s="4164"/>
      <c r="BO60" s="4164"/>
      <c r="BP60" s="4164"/>
      <c r="BQ60" s="4164"/>
      <c r="BR60" s="4122"/>
    </row>
    <row r="61" spans="1:71" s="162" customFormat="1" ht="67.5" customHeight="1" x14ac:dyDescent="0.25">
      <c r="A61" s="339"/>
      <c r="B61" s="148"/>
      <c r="C61" s="148"/>
      <c r="D61" s="340"/>
      <c r="E61" s="341"/>
      <c r="F61" s="342"/>
      <c r="G61" s="4150"/>
      <c r="H61" s="4150"/>
      <c r="I61" s="4151"/>
      <c r="J61" s="4018">
        <v>88</v>
      </c>
      <c r="K61" s="4145" t="s">
        <v>252</v>
      </c>
      <c r="L61" s="4145" t="s">
        <v>253</v>
      </c>
      <c r="M61" s="4018">
        <v>36</v>
      </c>
      <c r="N61" s="4018">
        <v>54</v>
      </c>
      <c r="O61" s="343"/>
      <c r="P61" s="4000"/>
      <c r="Q61" s="4147"/>
      <c r="R61" s="4155">
        <f>(+W61+W62)/S55</f>
        <v>0.14735860534818013</v>
      </c>
      <c r="S61" s="4175"/>
      <c r="T61" s="4147"/>
      <c r="U61" s="4145" t="s">
        <v>254</v>
      </c>
      <c r="V61" s="253" t="s">
        <v>255</v>
      </c>
      <c r="W61" s="349">
        <f>17175500+15000000</f>
        <v>32175500</v>
      </c>
      <c r="X61" s="349">
        <v>14177500</v>
      </c>
      <c r="Y61" s="349">
        <v>14177500</v>
      </c>
      <c r="Z61" s="347">
        <v>20</v>
      </c>
      <c r="AA61" s="270" t="s">
        <v>86</v>
      </c>
      <c r="AB61" s="4019"/>
      <c r="AC61" s="4019"/>
      <c r="AD61" s="4019"/>
      <c r="AE61" s="4019"/>
      <c r="AF61" s="4158"/>
      <c r="AG61" s="4158"/>
      <c r="AH61" s="4158"/>
      <c r="AI61" s="4158"/>
      <c r="AJ61" s="4158"/>
      <c r="AK61" s="4158"/>
      <c r="AL61" s="4158"/>
      <c r="AM61" s="4158"/>
      <c r="AN61" s="4158"/>
      <c r="AO61" s="4158"/>
      <c r="AP61" s="4158"/>
      <c r="AQ61" s="4158"/>
      <c r="AR61" s="4158"/>
      <c r="AS61" s="4158"/>
      <c r="AT61" s="4158"/>
      <c r="AU61" s="4158"/>
      <c r="AV61" s="4158"/>
      <c r="AW61" s="4158"/>
      <c r="AX61" s="4158"/>
      <c r="AY61" s="4158"/>
      <c r="AZ61" s="4158"/>
      <c r="BA61" s="4161"/>
      <c r="BB61" s="4158"/>
      <c r="BC61" s="4161"/>
      <c r="BD61" s="4158"/>
      <c r="BE61" s="4158"/>
      <c r="BF61" s="4158"/>
      <c r="BG61" s="4158"/>
      <c r="BH61" s="4158"/>
      <c r="BI61" s="4167"/>
      <c r="BJ61" s="4167"/>
      <c r="BK61" s="4038"/>
      <c r="BL61" s="4158"/>
      <c r="BM61" s="4158"/>
      <c r="BN61" s="4164"/>
      <c r="BO61" s="4164"/>
      <c r="BP61" s="4164"/>
      <c r="BQ61" s="4164"/>
      <c r="BR61" s="4122"/>
    </row>
    <row r="62" spans="1:71" s="162" customFormat="1" ht="88.5" customHeight="1" x14ac:dyDescent="0.25">
      <c r="A62" s="339"/>
      <c r="B62" s="148"/>
      <c r="C62" s="148"/>
      <c r="D62" s="340"/>
      <c r="E62" s="341"/>
      <c r="F62" s="342"/>
      <c r="G62" s="4150"/>
      <c r="H62" s="4150"/>
      <c r="I62" s="4151"/>
      <c r="J62" s="4001"/>
      <c r="K62" s="4146"/>
      <c r="L62" s="4146"/>
      <c r="M62" s="4001"/>
      <c r="N62" s="4001"/>
      <c r="O62" s="343" t="s">
        <v>256</v>
      </c>
      <c r="P62" s="4000"/>
      <c r="Q62" s="4147"/>
      <c r="R62" s="4156"/>
      <c r="S62" s="4175"/>
      <c r="T62" s="4147"/>
      <c r="U62" s="4146"/>
      <c r="V62" s="253" t="s">
        <v>257</v>
      </c>
      <c r="W62" s="350">
        <f>17175500+15000000</f>
        <v>32175500</v>
      </c>
      <c r="X62" s="350">
        <v>11342000</v>
      </c>
      <c r="Y62" s="350">
        <v>11342000</v>
      </c>
      <c r="Z62" s="347">
        <v>20</v>
      </c>
      <c r="AA62" s="270" t="s">
        <v>86</v>
      </c>
      <c r="AB62" s="4019"/>
      <c r="AC62" s="4019"/>
      <c r="AD62" s="4019"/>
      <c r="AE62" s="4019"/>
      <c r="AF62" s="4158"/>
      <c r="AG62" s="4158"/>
      <c r="AH62" s="4158"/>
      <c r="AI62" s="4158"/>
      <c r="AJ62" s="4158"/>
      <c r="AK62" s="4158"/>
      <c r="AL62" s="4158"/>
      <c r="AM62" s="4158"/>
      <c r="AN62" s="4158"/>
      <c r="AO62" s="4158"/>
      <c r="AP62" s="4158"/>
      <c r="AQ62" s="4158"/>
      <c r="AR62" s="4158"/>
      <c r="AS62" s="4158"/>
      <c r="AT62" s="4158"/>
      <c r="AU62" s="4158"/>
      <c r="AV62" s="4158"/>
      <c r="AW62" s="4158"/>
      <c r="AX62" s="4158"/>
      <c r="AY62" s="4158"/>
      <c r="AZ62" s="4158"/>
      <c r="BA62" s="4161"/>
      <c r="BB62" s="4158"/>
      <c r="BC62" s="4161"/>
      <c r="BD62" s="4158"/>
      <c r="BE62" s="4158"/>
      <c r="BF62" s="4158"/>
      <c r="BG62" s="4158"/>
      <c r="BH62" s="4158"/>
      <c r="BI62" s="4167"/>
      <c r="BJ62" s="4167"/>
      <c r="BK62" s="4038"/>
      <c r="BL62" s="4158"/>
      <c r="BM62" s="4158"/>
      <c r="BN62" s="4164"/>
      <c r="BO62" s="4164"/>
      <c r="BP62" s="4164"/>
      <c r="BQ62" s="4164"/>
      <c r="BR62" s="4122"/>
    </row>
    <row r="63" spans="1:71" s="162" customFormat="1" ht="30" customHeight="1" x14ac:dyDescent="0.25">
      <c r="A63" s="339"/>
      <c r="B63" s="148"/>
      <c r="C63" s="148"/>
      <c r="D63" s="340"/>
      <c r="E63" s="341"/>
      <c r="F63" s="342"/>
      <c r="G63" s="4150"/>
      <c r="H63" s="4150"/>
      <c r="I63" s="4151"/>
      <c r="J63" s="4020">
        <v>86</v>
      </c>
      <c r="K63" s="4145" t="s">
        <v>258</v>
      </c>
      <c r="L63" s="4145" t="s">
        <v>259</v>
      </c>
      <c r="M63" s="4018">
        <v>1</v>
      </c>
      <c r="N63" s="4018">
        <v>0</v>
      </c>
      <c r="O63" s="343"/>
      <c r="P63" s="4000"/>
      <c r="Q63" s="4147"/>
      <c r="R63" s="4155">
        <f>(W63+W64+W65)/S55</f>
        <v>0</v>
      </c>
      <c r="S63" s="4175"/>
      <c r="T63" s="4147"/>
      <c r="U63" s="4145" t="s">
        <v>249</v>
      </c>
      <c r="V63" s="253" t="s">
        <v>260</v>
      </c>
      <c r="W63" s="328"/>
      <c r="X63" s="328"/>
      <c r="Y63" s="328"/>
      <c r="Z63" s="347"/>
      <c r="AA63" s="270"/>
      <c r="AB63" s="4019"/>
      <c r="AC63" s="4019"/>
      <c r="AD63" s="4019"/>
      <c r="AE63" s="4019"/>
      <c r="AF63" s="4158"/>
      <c r="AG63" s="4158"/>
      <c r="AH63" s="4158"/>
      <c r="AI63" s="4158"/>
      <c r="AJ63" s="4158"/>
      <c r="AK63" s="4158"/>
      <c r="AL63" s="4158"/>
      <c r="AM63" s="4158"/>
      <c r="AN63" s="4158"/>
      <c r="AO63" s="4158"/>
      <c r="AP63" s="4158"/>
      <c r="AQ63" s="4158"/>
      <c r="AR63" s="4158"/>
      <c r="AS63" s="4158"/>
      <c r="AT63" s="4158"/>
      <c r="AU63" s="4158"/>
      <c r="AV63" s="4158"/>
      <c r="AW63" s="4158"/>
      <c r="AX63" s="4158"/>
      <c r="AY63" s="4158"/>
      <c r="AZ63" s="4158"/>
      <c r="BA63" s="4161"/>
      <c r="BB63" s="4158"/>
      <c r="BC63" s="4161"/>
      <c r="BD63" s="4158"/>
      <c r="BE63" s="4158"/>
      <c r="BF63" s="4158"/>
      <c r="BG63" s="4158"/>
      <c r="BH63" s="4158"/>
      <c r="BI63" s="4167"/>
      <c r="BJ63" s="4167"/>
      <c r="BK63" s="4038"/>
      <c r="BL63" s="4158"/>
      <c r="BM63" s="4158"/>
      <c r="BN63" s="4164"/>
      <c r="BO63" s="4164"/>
      <c r="BP63" s="4164"/>
      <c r="BQ63" s="4164"/>
      <c r="BR63" s="4122"/>
    </row>
    <row r="64" spans="1:71" s="162" customFormat="1" ht="32.25" customHeight="1" x14ac:dyDescent="0.25">
      <c r="A64" s="339"/>
      <c r="B64" s="148"/>
      <c r="C64" s="148"/>
      <c r="D64" s="340"/>
      <c r="E64" s="341"/>
      <c r="F64" s="342"/>
      <c r="G64" s="4150"/>
      <c r="H64" s="4150"/>
      <c r="I64" s="4151"/>
      <c r="J64" s="4019"/>
      <c r="K64" s="4147"/>
      <c r="L64" s="4147"/>
      <c r="M64" s="4000"/>
      <c r="N64" s="4000"/>
      <c r="O64" s="343" t="s">
        <v>261</v>
      </c>
      <c r="P64" s="4000"/>
      <c r="Q64" s="4147"/>
      <c r="R64" s="4174"/>
      <c r="S64" s="4175"/>
      <c r="T64" s="4147"/>
      <c r="U64" s="4147"/>
      <c r="V64" s="253" t="s">
        <v>262</v>
      </c>
      <c r="W64" s="328"/>
      <c r="X64" s="328"/>
      <c r="Y64" s="328"/>
      <c r="Z64" s="347"/>
      <c r="AA64" s="270"/>
      <c r="AB64" s="4019"/>
      <c r="AC64" s="4019"/>
      <c r="AD64" s="4019"/>
      <c r="AE64" s="4019"/>
      <c r="AF64" s="4158"/>
      <c r="AG64" s="4158"/>
      <c r="AH64" s="4158"/>
      <c r="AI64" s="4158"/>
      <c r="AJ64" s="4158"/>
      <c r="AK64" s="4158"/>
      <c r="AL64" s="4158"/>
      <c r="AM64" s="4158"/>
      <c r="AN64" s="4158"/>
      <c r="AO64" s="4158"/>
      <c r="AP64" s="4158"/>
      <c r="AQ64" s="4158"/>
      <c r="AR64" s="4158"/>
      <c r="AS64" s="4158"/>
      <c r="AT64" s="4158"/>
      <c r="AU64" s="4158"/>
      <c r="AV64" s="4158"/>
      <c r="AW64" s="4158"/>
      <c r="AX64" s="4158"/>
      <c r="AY64" s="4158"/>
      <c r="AZ64" s="4158"/>
      <c r="BA64" s="4161"/>
      <c r="BB64" s="4158"/>
      <c r="BC64" s="4161"/>
      <c r="BD64" s="4158"/>
      <c r="BE64" s="4158"/>
      <c r="BF64" s="4158"/>
      <c r="BG64" s="4158"/>
      <c r="BH64" s="4158"/>
      <c r="BI64" s="4167"/>
      <c r="BJ64" s="4167"/>
      <c r="BK64" s="4038"/>
      <c r="BL64" s="4158"/>
      <c r="BM64" s="4158"/>
      <c r="BN64" s="4164"/>
      <c r="BO64" s="4164"/>
      <c r="BP64" s="4164"/>
      <c r="BQ64" s="4164"/>
      <c r="BR64" s="4122"/>
    </row>
    <row r="65" spans="1:70" s="162" customFormat="1" ht="35.25" customHeight="1" x14ac:dyDescent="0.25">
      <c r="A65" s="339"/>
      <c r="B65" s="148"/>
      <c r="C65" s="148"/>
      <c r="D65" s="340"/>
      <c r="E65" s="341"/>
      <c r="F65" s="342"/>
      <c r="G65" s="4150"/>
      <c r="H65" s="4150"/>
      <c r="I65" s="4151"/>
      <c r="J65" s="4021"/>
      <c r="K65" s="4146"/>
      <c r="L65" s="4146"/>
      <c r="M65" s="4001"/>
      <c r="N65" s="4001"/>
      <c r="O65" s="343"/>
      <c r="P65" s="4000"/>
      <c r="Q65" s="4147"/>
      <c r="R65" s="4156"/>
      <c r="S65" s="4175"/>
      <c r="T65" s="4147"/>
      <c r="U65" s="4146"/>
      <c r="V65" s="253" t="s">
        <v>263</v>
      </c>
      <c r="W65" s="351"/>
      <c r="X65" s="351"/>
      <c r="Y65" s="351"/>
      <c r="Z65" s="347"/>
      <c r="AA65" s="270"/>
      <c r="AB65" s="4019"/>
      <c r="AC65" s="4019"/>
      <c r="AD65" s="4019"/>
      <c r="AE65" s="4019"/>
      <c r="AF65" s="4158"/>
      <c r="AG65" s="4158"/>
      <c r="AH65" s="4158"/>
      <c r="AI65" s="4158"/>
      <c r="AJ65" s="4158"/>
      <c r="AK65" s="4158"/>
      <c r="AL65" s="4158"/>
      <c r="AM65" s="4158"/>
      <c r="AN65" s="4158"/>
      <c r="AO65" s="4158"/>
      <c r="AP65" s="4158"/>
      <c r="AQ65" s="4158"/>
      <c r="AR65" s="4158"/>
      <c r="AS65" s="4158"/>
      <c r="AT65" s="4158"/>
      <c r="AU65" s="4158"/>
      <c r="AV65" s="4158"/>
      <c r="AW65" s="4158"/>
      <c r="AX65" s="4158"/>
      <c r="AY65" s="4158"/>
      <c r="AZ65" s="4158"/>
      <c r="BA65" s="4161"/>
      <c r="BB65" s="4158"/>
      <c r="BC65" s="4161"/>
      <c r="BD65" s="4158"/>
      <c r="BE65" s="4158"/>
      <c r="BF65" s="4158"/>
      <c r="BG65" s="4158"/>
      <c r="BH65" s="4158"/>
      <c r="BI65" s="4167"/>
      <c r="BJ65" s="4167"/>
      <c r="BK65" s="4038"/>
      <c r="BL65" s="4158"/>
      <c r="BM65" s="4158"/>
      <c r="BN65" s="4164"/>
      <c r="BO65" s="4164"/>
      <c r="BP65" s="4164"/>
      <c r="BQ65" s="4164"/>
      <c r="BR65" s="4122"/>
    </row>
    <row r="66" spans="1:70" s="162" customFormat="1" ht="77.25" customHeight="1" x14ac:dyDescent="0.25">
      <c r="A66" s="339"/>
      <c r="B66" s="148"/>
      <c r="C66" s="148"/>
      <c r="D66" s="340"/>
      <c r="E66" s="341"/>
      <c r="F66" s="342"/>
      <c r="G66" s="4150"/>
      <c r="H66" s="4150"/>
      <c r="I66" s="4151"/>
      <c r="J66" s="271">
        <v>89</v>
      </c>
      <c r="K66" s="250" t="s">
        <v>264</v>
      </c>
      <c r="L66" s="250" t="s">
        <v>265</v>
      </c>
      <c r="M66" s="271">
        <v>20000</v>
      </c>
      <c r="N66" s="352">
        <v>18301</v>
      </c>
      <c r="O66" s="265" t="s">
        <v>266</v>
      </c>
      <c r="P66" s="4000"/>
      <c r="Q66" s="4147"/>
      <c r="R66" s="346">
        <f>+W66/S55</f>
        <v>0</v>
      </c>
      <c r="S66" s="4175"/>
      <c r="T66" s="4147"/>
      <c r="U66" s="253" t="s">
        <v>267</v>
      </c>
      <c r="V66" s="253" t="s">
        <v>268</v>
      </c>
      <c r="W66" s="328"/>
      <c r="X66" s="328"/>
      <c r="Y66" s="328"/>
      <c r="Z66" s="347"/>
      <c r="AA66" s="270"/>
      <c r="AB66" s="4019"/>
      <c r="AC66" s="4019"/>
      <c r="AD66" s="4019"/>
      <c r="AE66" s="4019"/>
      <c r="AF66" s="4158"/>
      <c r="AG66" s="4158"/>
      <c r="AH66" s="4158"/>
      <c r="AI66" s="4158"/>
      <c r="AJ66" s="4158"/>
      <c r="AK66" s="4158"/>
      <c r="AL66" s="4158"/>
      <c r="AM66" s="4158"/>
      <c r="AN66" s="4158"/>
      <c r="AO66" s="4158"/>
      <c r="AP66" s="4158"/>
      <c r="AQ66" s="4158"/>
      <c r="AR66" s="4158"/>
      <c r="AS66" s="4158"/>
      <c r="AT66" s="4158"/>
      <c r="AU66" s="4158"/>
      <c r="AV66" s="4158"/>
      <c r="AW66" s="4158"/>
      <c r="AX66" s="4158"/>
      <c r="AY66" s="4158"/>
      <c r="AZ66" s="4158"/>
      <c r="BA66" s="4161"/>
      <c r="BB66" s="4158"/>
      <c r="BC66" s="4161"/>
      <c r="BD66" s="4158"/>
      <c r="BE66" s="4158"/>
      <c r="BF66" s="4158"/>
      <c r="BG66" s="4158"/>
      <c r="BH66" s="4158"/>
      <c r="BI66" s="4167"/>
      <c r="BJ66" s="4167"/>
      <c r="BK66" s="4038"/>
      <c r="BL66" s="4158"/>
      <c r="BM66" s="4158"/>
      <c r="BN66" s="4164"/>
      <c r="BO66" s="4164"/>
      <c r="BP66" s="4164"/>
      <c r="BQ66" s="4164"/>
      <c r="BR66" s="4122"/>
    </row>
    <row r="67" spans="1:70" s="162" customFormat="1" ht="73.5" customHeight="1" x14ac:dyDescent="0.25">
      <c r="A67" s="339"/>
      <c r="B67" s="148"/>
      <c r="C67" s="148"/>
      <c r="D67" s="340"/>
      <c r="E67" s="341"/>
      <c r="F67" s="342"/>
      <c r="G67" s="4150"/>
      <c r="H67" s="4150"/>
      <c r="I67" s="4151"/>
      <c r="J67" s="4020">
        <v>90</v>
      </c>
      <c r="K67" s="4029" t="s">
        <v>269</v>
      </c>
      <c r="L67" s="4029" t="s">
        <v>270</v>
      </c>
      <c r="M67" s="4053">
        <v>130</v>
      </c>
      <c r="N67" s="4053">
        <v>110</v>
      </c>
      <c r="O67" s="343" t="s">
        <v>271</v>
      </c>
      <c r="P67" s="4000"/>
      <c r="Q67" s="4147"/>
      <c r="R67" s="4155">
        <f>SUM(W67:W69)/S55</f>
        <v>6.84113430215052E-2</v>
      </c>
      <c r="S67" s="4175"/>
      <c r="T67" s="4147"/>
      <c r="U67" s="4029" t="s">
        <v>272</v>
      </c>
      <c r="V67" s="253" t="s">
        <v>273</v>
      </c>
      <c r="W67" s="328">
        <v>15475000</v>
      </c>
      <c r="X67" s="328"/>
      <c r="Y67" s="328"/>
      <c r="Z67" s="347">
        <v>20</v>
      </c>
      <c r="AA67" s="270" t="s">
        <v>86</v>
      </c>
      <c r="AB67" s="4019"/>
      <c r="AC67" s="4019"/>
      <c r="AD67" s="4019"/>
      <c r="AE67" s="4019"/>
      <c r="AF67" s="4158"/>
      <c r="AG67" s="4158"/>
      <c r="AH67" s="4158"/>
      <c r="AI67" s="4158"/>
      <c r="AJ67" s="4158"/>
      <c r="AK67" s="4158"/>
      <c r="AL67" s="4158"/>
      <c r="AM67" s="4158"/>
      <c r="AN67" s="4158"/>
      <c r="AO67" s="4158"/>
      <c r="AP67" s="4158"/>
      <c r="AQ67" s="4158"/>
      <c r="AR67" s="4158"/>
      <c r="AS67" s="4158"/>
      <c r="AT67" s="4158"/>
      <c r="AU67" s="4158"/>
      <c r="AV67" s="4158"/>
      <c r="AW67" s="4158"/>
      <c r="AX67" s="4158"/>
      <c r="AY67" s="4158"/>
      <c r="AZ67" s="4158"/>
      <c r="BA67" s="4161"/>
      <c r="BB67" s="4158"/>
      <c r="BC67" s="4161"/>
      <c r="BD67" s="4158"/>
      <c r="BE67" s="4158"/>
      <c r="BF67" s="4158"/>
      <c r="BG67" s="4158"/>
      <c r="BH67" s="4158"/>
      <c r="BI67" s="4167"/>
      <c r="BJ67" s="4167"/>
      <c r="BK67" s="4038"/>
      <c r="BL67" s="4158"/>
      <c r="BM67" s="4158"/>
      <c r="BN67" s="4164"/>
      <c r="BO67" s="4164"/>
      <c r="BP67" s="4164"/>
      <c r="BQ67" s="4164"/>
      <c r="BR67" s="4122"/>
    </row>
    <row r="68" spans="1:70" s="162" customFormat="1" ht="96.75" customHeight="1" x14ac:dyDescent="0.25">
      <c r="A68" s="339"/>
      <c r="B68" s="148"/>
      <c r="C68" s="148"/>
      <c r="D68" s="340"/>
      <c r="E68" s="341"/>
      <c r="F68" s="342"/>
      <c r="G68" s="4150"/>
      <c r="H68" s="4150"/>
      <c r="I68" s="4151"/>
      <c r="J68" s="4019"/>
      <c r="K68" s="4169"/>
      <c r="L68" s="4169"/>
      <c r="M68" s="4173"/>
      <c r="N68" s="4173"/>
      <c r="O68" s="343"/>
      <c r="P68" s="4000"/>
      <c r="Q68" s="4147"/>
      <c r="R68" s="4174"/>
      <c r="S68" s="4175"/>
      <c r="T68" s="4147"/>
      <c r="U68" s="4169"/>
      <c r="V68" s="253" t="s">
        <v>274</v>
      </c>
      <c r="W68" s="258"/>
      <c r="X68" s="258"/>
      <c r="Y68" s="258"/>
      <c r="Z68" s="347"/>
      <c r="AA68" s="270"/>
      <c r="AB68" s="4019"/>
      <c r="AC68" s="4019"/>
      <c r="AD68" s="4019"/>
      <c r="AE68" s="4019"/>
      <c r="AF68" s="4158"/>
      <c r="AG68" s="4158"/>
      <c r="AH68" s="4158"/>
      <c r="AI68" s="4158"/>
      <c r="AJ68" s="4158"/>
      <c r="AK68" s="4158"/>
      <c r="AL68" s="4158"/>
      <c r="AM68" s="4158"/>
      <c r="AN68" s="4158"/>
      <c r="AO68" s="4158"/>
      <c r="AP68" s="4158"/>
      <c r="AQ68" s="4158"/>
      <c r="AR68" s="4158"/>
      <c r="AS68" s="4158"/>
      <c r="AT68" s="4158"/>
      <c r="AU68" s="4158"/>
      <c r="AV68" s="4158"/>
      <c r="AW68" s="4158"/>
      <c r="AX68" s="4158"/>
      <c r="AY68" s="4158"/>
      <c r="AZ68" s="4158"/>
      <c r="BA68" s="4161"/>
      <c r="BB68" s="4158"/>
      <c r="BC68" s="4161"/>
      <c r="BD68" s="4158"/>
      <c r="BE68" s="4158"/>
      <c r="BF68" s="4158"/>
      <c r="BG68" s="4158"/>
      <c r="BH68" s="4158"/>
      <c r="BI68" s="4167"/>
      <c r="BJ68" s="4167"/>
      <c r="BK68" s="4038"/>
      <c r="BL68" s="4158"/>
      <c r="BM68" s="4158"/>
      <c r="BN68" s="4164"/>
      <c r="BO68" s="4164"/>
      <c r="BP68" s="4164"/>
      <c r="BQ68" s="4164"/>
      <c r="BR68" s="4122"/>
    </row>
    <row r="69" spans="1:70" s="162" customFormat="1" ht="52.5" customHeight="1" x14ac:dyDescent="0.25">
      <c r="A69" s="339"/>
      <c r="B69" s="148"/>
      <c r="C69" s="148"/>
      <c r="D69" s="340"/>
      <c r="E69" s="341"/>
      <c r="F69" s="342"/>
      <c r="G69" s="4150"/>
      <c r="H69" s="4150"/>
      <c r="I69" s="4151"/>
      <c r="J69" s="4021"/>
      <c r="K69" s="4144"/>
      <c r="L69" s="4144"/>
      <c r="M69" s="4054"/>
      <c r="N69" s="4054"/>
      <c r="O69" s="343"/>
      <c r="P69" s="4000"/>
      <c r="Q69" s="4147"/>
      <c r="R69" s="4156"/>
      <c r="S69" s="4175"/>
      <c r="T69" s="4147"/>
      <c r="U69" s="4144"/>
      <c r="V69" s="348" t="s">
        <v>275</v>
      </c>
      <c r="W69" s="258">
        <v>14400000</v>
      </c>
      <c r="X69" s="258"/>
      <c r="Y69" s="258"/>
      <c r="Z69" s="347">
        <v>20</v>
      </c>
      <c r="AA69" s="270" t="s">
        <v>276</v>
      </c>
      <c r="AB69" s="4019"/>
      <c r="AC69" s="4019"/>
      <c r="AD69" s="4019"/>
      <c r="AE69" s="4019"/>
      <c r="AF69" s="4158"/>
      <c r="AG69" s="4158"/>
      <c r="AH69" s="4158"/>
      <c r="AI69" s="4158"/>
      <c r="AJ69" s="4158"/>
      <c r="AK69" s="4158"/>
      <c r="AL69" s="4158"/>
      <c r="AM69" s="4158"/>
      <c r="AN69" s="4158"/>
      <c r="AO69" s="4158"/>
      <c r="AP69" s="4158"/>
      <c r="AQ69" s="4158"/>
      <c r="AR69" s="4158"/>
      <c r="AS69" s="4158"/>
      <c r="AT69" s="4158"/>
      <c r="AU69" s="4158"/>
      <c r="AV69" s="4158"/>
      <c r="AW69" s="4158"/>
      <c r="AX69" s="4158"/>
      <c r="AY69" s="4158"/>
      <c r="AZ69" s="4158"/>
      <c r="BA69" s="4161"/>
      <c r="BB69" s="4158"/>
      <c r="BC69" s="4161"/>
      <c r="BD69" s="4158"/>
      <c r="BE69" s="4158"/>
      <c r="BF69" s="4158"/>
      <c r="BG69" s="4158"/>
      <c r="BH69" s="4158"/>
      <c r="BI69" s="4167"/>
      <c r="BJ69" s="4167"/>
      <c r="BK69" s="4038"/>
      <c r="BL69" s="4158"/>
      <c r="BM69" s="4158"/>
      <c r="BN69" s="4164"/>
      <c r="BO69" s="4164"/>
      <c r="BP69" s="4164"/>
      <c r="BQ69" s="4164"/>
      <c r="BR69" s="4122"/>
    </row>
    <row r="70" spans="1:70" s="162" customFormat="1" ht="41.25" customHeight="1" x14ac:dyDescent="0.25">
      <c r="A70" s="339"/>
      <c r="B70" s="148"/>
      <c r="C70" s="148"/>
      <c r="D70" s="340"/>
      <c r="E70" s="341"/>
      <c r="F70" s="342"/>
      <c r="G70" s="4150"/>
      <c r="H70" s="4150"/>
      <c r="I70" s="4151"/>
      <c r="J70" s="4018">
        <v>91</v>
      </c>
      <c r="K70" s="4029" t="s">
        <v>277</v>
      </c>
      <c r="L70" s="4018" t="s">
        <v>278</v>
      </c>
      <c r="M70" s="2732">
        <v>54</v>
      </c>
      <c r="N70" s="2732">
        <v>44</v>
      </c>
      <c r="O70" s="343"/>
      <c r="P70" s="4000"/>
      <c r="Q70" s="4147"/>
      <c r="R70" s="4170">
        <f>SUM(W70:W72)/S55</f>
        <v>0.272547554620931</v>
      </c>
      <c r="S70" s="4175"/>
      <c r="T70" s="4147"/>
      <c r="U70" s="4029" t="s">
        <v>279</v>
      </c>
      <c r="V70" s="4029" t="s">
        <v>280</v>
      </c>
      <c r="W70" s="258">
        <f>60000000+31988604.86</f>
        <v>91988604.859999999</v>
      </c>
      <c r="X70" s="258"/>
      <c r="Y70" s="258"/>
      <c r="Z70" s="347">
        <v>21</v>
      </c>
      <c r="AA70" s="270" t="s">
        <v>251</v>
      </c>
      <c r="AB70" s="4019"/>
      <c r="AC70" s="4019"/>
      <c r="AD70" s="4019"/>
      <c r="AE70" s="4019"/>
      <c r="AF70" s="4158"/>
      <c r="AG70" s="4158"/>
      <c r="AH70" s="4158"/>
      <c r="AI70" s="4158"/>
      <c r="AJ70" s="4158"/>
      <c r="AK70" s="4158"/>
      <c r="AL70" s="4158"/>
      <c r="AM70" s="4158"/>
      <c r="AN70" s="4158"/>
      <c r="AO70" s="4158"/>
      <c r="AP70" s="4158"/>
      <c r="AQ70" s="4158"/>
      <c r="AR70" s="4158"/>
      <c r="AS70" s="4158"/>
      <c r="AT70" s="4158"/>
      <c r="AU70" s="4158"/>
      <c r="AV70" s="4158"/>
      <c r="AW70" s="4158"/>
      <c r="AX70" s="4158"/>
      <c r="AY70" s="4158"/>
      <c r="AZ70" s="4158"/>
      <c r="BA70" s="4161"/>
      <c r="BB70" s="4158"/>
      <c r="BC70" s="4161"/>
      <c r="BD70" s="4158"/>
      <c r="BE70" s="4158"/>
      <c r="BF70" s="4158"/>
      <c r="BG70" s="4158"/>
      <c r="BH70" s="4158"/>
      <c r="BI70" s="4167"/>
      <c r="BJ70" s="4167"/>
      <c r="BK70" s="4038"/>
      <c r="BL70" s="4158"/>
      <c r="BM70" s="4158"/>
      <c r="BN70" s="4164"/>
      <c r="BO70" s="4164"/>
      <c r="BP70" s="4164"/>
      <c r="BQ70" s="4164"/>
      <c r="BR70" s="4122"/>
    </row>
    <row r="71" spans="1:70" s="162" customFormat="1" ht="42.75" customHeight="1" x14ac:dyDescent="0.25">
      <c r="A71" s="339"/>
      <c r="B71" s="148"/>
      <c r="C71" s="148"/>
      <c r="D71" s="340"/>
      <c r="E71" s="341"/>
      <c r="F71" s="342"/>
      <c r="G71" s="4150"/>
      <c r="H71" s="4150"/>
      <c r="I71" s="4151"/>
      <c r="J71" s="4000"/>
      <c r="K71" s="4169"/>
      <c r="L71" s="4000"/>
      <c r="M71" s="2733"/>
      <c r="N71" s="2733"/>
      <c r="O71" s="343"/>
      <c r="P71" s="4000"/>
      <c r="Q71" s="4147"/>
      <c r="R71" s="4171"/>
      <c r="S71" s="4175"/>
      <c r="T71" s="4147"/>
      <c r="U71" s="4169"/>
      <c r="V71" s="4169"/>
      <c r="W71" s="258">
        <v>9885764</v>
      </c>
      <c r="X71" s="258">
        <v>9000000</v>
      </c>
      <c r="Y71" s="258">
        <v>9000000</v>
      </c>
      <c r="Z71" s="347">
        <v>20</v>
      </c>
      <c r="AA71" s="270" t="s">
        <v>86</v>
      </c>
      <c r="AB71" s="4019"/>
      <c r="AC71" s="4019"/>
      <c r="AD71" s="4019"/>
      <c r="AE71" s="4019"/>
      <c r="AF71" s="4158"/>
      <c r="AG71" s="4158"/>
      <c r="AH71" s="4158"/>
      <c r="AI71" s="4158"/>
      <c r="AJ71" s="4158"/>
      <c r="AK71" s="4158"/>
      <c r="AL71" s="4158"/>
      <c r="AM71" s="4158"/>
      <c r="AN71" s="4158"/>
      <c r="AO71" s="4158"/>
      <c r="AP71" s="4158"/>
      <c r="AQ71" s="4158"/>
      <c r="AR71" s="4158"/>
      <c r="AS71" s="4158"/>
      <c r="AT71" s="4158"/>
      <c r="AU71" s="4158"/>
      <c r="AV71" s="4158"/>
      <c r="AW71" s="4158"/>
      <c r="AX71" s="4158"/>
      <c r="AY71" s="4158"/>
      <c r="AZ71" s="4158"/>
      <c r="BA71" s="4161"/>
      <c r="BB71" s="4158"/>
      <c r="BC71" s="4161"/>
      <c r="BD71" s="4158"/>
      <c r="BE71" s="4158"/>
      <c r="BF71" s="4158"/>
      <c r="BG71" s="4158"/>
      <c r="BH71" s="4158"/>
      <c r="BI71" s="4167"/>
      <c r="BJ71" s="4167"/>
      <c r="BK71" s="4038"/>
      <c r="BL71" s="4158"/>
      <c r="BM71" s="4158"/>
      <c r="BN71" s="4164"/>
      <c r="BO71" s="4164"/>
      <c r="BP71" s="4164"/>
      <c r="BQ71" s="4164"/>
      <c r="BR71" s="4122"/>
    </row>
    <row r="72" spans="1:70" s="162" customFormat="1" ht="42.75" customHeight="1" x14ac:dyDescent="0.25">
      <c r="A72" s="339"/>
      <c r="B72" s="148"/>
      <c r="C72" s="148"/>
      <c r="D72" s="340"/>
      <c r="E72" s="341"/>
      <c r="F72" s="342"/>
      <c r="G72" s="4150"/>
      <c r="H72" s="4150"/>
      <c r="I72" s="4151"/>
      <c r="J72" s="4001"/>
      <c r="K72" s="4144"/>
      <c r="L72" s="4001"/>
      <c r="M72" s="2734"/>
      <c r="N72" s="2734"/>
      <c r="O72" s="343"/>
      <c r="P72" s="4000"/>
      <c r="Q72" s="4147"/>
      <c r="R72" s="4172"/>
      <c r="S72" s="4175"/>
      <c r="T72" s="4147"/>
      <c r="U72" s="4144"/>
      <c r="V72" s="4144"/>
      <c r="W72" s="353">
        <v>17146218</v>
      </c>
      <c r="X72" s="353"/>
      <c r="Y72" s="353"/>
      <c r="Z72" s="347">
        <v>25</v>
      </c>
      <c r="AA72" s="270" t="s">
        <v>281</v>
      </c>
      <c r="AB72" s="4019"/>
      <c r="AC72" s="4019"/>
      <c r="AD72" s="4019"/>
      <c r="AE72" s="4019"/>
      <c r="AF72" s="4158"/>
      <c r="AG72" s="4158"/>
      <c r="AH72" s="4158"/>
      <c r="AI72" s="4158"/>
      <c r="AJ72" s="4158"/>
      <c r="AK72" s="4158"/>
      <c r="AL72" s="4158"/>
      <c r="AM72" s="4158"/>
      <c r="AN72" s="4158"/>
      <c r="AO72" s="4158"/>
      <c r="AP72" s="4158"/>
      <c r="AQ72" s="4158"/>
      <c r="AR72" s="4158"/>
      <c r="AS72" s="4158"/>
      <c r="AT72" s="4158"/>
      <c r="AU72" s="4158"/>
      <c r="AV72" s="4158"/>
      <c r="AW72" s="4158"/>
      <c r="AX72" s="4158"/>
      <c r="AY72" s="4158"/>
      <c r="AZ72" s="4158"/>
      <c r="BA72" s="4161"/>
      <c r="BB72" s="4158"/>
      <c r="BC72" s="4161"/>
      <c r="BD72" s="4158"/>
      <c r="BE72" s="4158"/>
      <c r="BF72" s="4158"/>
      <c r="BG72" s="4158"/>
      <c r="BH72" s="4158"/>
      <c r="BI72" s="4167"/>
      <c r="BJ72" s="4167"/>
      <c r="BK72" s="4038"/>
      <c r="BL72" s="4158"/>
      <c r="BM72" s="4158"/>
      <c r="BN72" s="4164"/>
      <c r="BO72" s="4164"/>
      <c r="BP72" s="4164"/>
      <c r="BQ72" s="4164"/>
      <c r="BR72" s="4122"/>
    </row>
    <row r="73" spans="1:70" s="162" customFormat="1" ht="108.75" customHeight="1" x14ac:dyDescent="0.25">
      <c r="A73" s="339"/>
      <c r="B73" s="148"/>
      <c r="C73" s="148"/>
      <c r="D73" s="340"/>
      <c r="E73" s="341"/>
      <c r="F73" s="342"/>
      <c r="G73" s="4150"/>
      <c r="H73" s="4150"/>
      <c r="I73" s="4151"/>
      <c r="J73" s="332">
        <v>92</v>
      </c>
      <c r="K73" s="336" t="s">
        <v>282</v>
      </c>
      <c r="L73" s="336" t="s">
        <v>283</v>
      </c>
      <c r="M73" s="334">
        <v>1</v>
      </c>
      <c r="N73" s="354">
        <v>0.5</v>
      </c>
      <c r="O73" s="343"/>
      <c r="P73" s="4000"/>
      <c r="Q73" s="4147"/>
      <c r="R73" s="355">
        <f>+W73/S55</f>
        <v>0</v>
      </c>
      <c r="S73" s="4175"/>
      <c r="T73" s="4147"/>
      <c r="U73" s="348" t="s">
        <v>284</v>
      </c>
      <c r="V73" s="348" t="s">
        <v>285</v>
      </c>
      <c r="W73" s="337"/>
      <c r="X73" s="337"/>
      <c r="Y73" s="337"/>
      <c r="Z73" s="347"/>
      <c r="AA73" s="270"/>
      <c r="AB73" s="4021"/>
      <c r="AC73" s="4021"/>
      <c r="AD73" s="4021"/>
      <c r="AE73" s="4021"/>
      <c r="AF73" s="4159"/>
      <c r="AG73" s="4159"/>
      <c r="AH73" s="4159"/>
      <c r="AI73" s="4159"/>
      <c r="AJ73" s="4159"/>
      <c r="AK73" s="4159"/>
      <c r="AL73" s="4159"/>
      <c r="AM73" s="4159"/>
      <c r="AN73" s="4159"/>
      <c r="AO73" s="4159"/>
      <c r="AP73" s="4159"/>
      <c r="AQ73" s="4159"/>
      <c r="AR73" s="4159"/>
      <c r="AS73" s="4159"/>
      <c r="AT73" s="4159"/>
      <c r="AU73" s="4159"/>
      <c r="AV73" s="4159"/>
      <c r="AW73" s="4159"/>
      <c r="AX73" s="4159"/>
      <c r="AY73" s="4159"/>
      <c r="AZ73" s="4159"/>
      <c r="BA73" s="4162"/>
      <c r="BB73" s="4159"/>
      <c r="BC73" s="4162"/>
      <c r="BD73" s="4159"/>
      <c r="BE73" s="4159"/>
      <c r="BF73" s="4159"/>
      <c r="BG73" s="4159"/>
      <c r="BH73" s="4159"/>
      <c r="BI73" s="4168"/>
      <c r="BJ73" s="4168"/>
      <c r="BK73" s="4039"/>
      <c r="BL73" s="4159"/>
      <c r="BM73" s="4159"/>
      <c r="BN73" s="4165"/>
      <c r="BO73" s="4165"/>
      <c r="BP73" s="4165"/>
      <c r="BQ73" s="4165"/>
      <c r="BR73" s="4123"/>
    </row>
    <row r="74" spans="1:70" s="162" customFormat="1" ht="30" customHeight="1" x14ac:dyDescent="0.25">
      <c r="A74" s="228"/>
      <c r="B74" s="229"/>
      <c r="C74" s="229"/>
      <c r="D74" s="228"/>
      <c r="E74" s="229"/>
      <c r="F74" s="237"/>
      <c r="G74" s="306">
        <v>21</v>
      </c>
      <c r="H74" s="181" t="s">
        <v>286</v>
      </c>
      <c r="I74" s="181"/>
      <c r="J74" s="181"/>
      <c r="K74" s="182"/>
      <c r="L74" s="182"/>
      <c r="M74" s="221"/>
      <c r="N74" s="221"/>
      <c r="O74" s="307"/>
      <c r="P74" s="221"/>
      <c r="Q74" s="182"/>
      <c r="R74" s="220"/>
      <c r="S74" s="224"/>
      <c r="T74" s="182"/>
      <c r="U74" s="356"/>
      <c r="V74" s="356"/>
      <c r="W74" s="356"/>
      <c r="X74" s="357"/>
      <c r="Y74" s="357"/>
      <c r="Z74" s="357"/>
      <c r="AA74" s="183"/>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192"/>
      <c r="AY74" s="192"/>
      <c r="AZ74" s="192"/>
      <c r="BA74" s="192"/>
      <c r="BB74" s="192"/>
      <c r="BC74" s="192"/>
      <c r="BD74" s="192"/>
      <c r="BE74" s="192"/>
      <c r="BF74" s="192"/>
      <c r="BG74" s="192"/>
      <c r="BH74" s="192"/>
      <c r="BI74" s="192"/>
      <c r="BJ74" s="192"/>
      <c r="BK74" s="192"/>
      <c r="BL74" s="192"/>
      <c r="BM74" s="192"/>
      <c r="BN74" s="192"/>
      <c r="BO74" s="192"/>
      <c r="BP74" s="192"/>
      <c r="BQ74" s="192"/>
      <c r="BR74" s="192"/>
    </row>
    <row r="75" spans="1:70" s="162" customFormat="1" ht="48" customHeight="1" x14ac:dyDescent="0.25">
      <c r="A75" s="309"/>
      <c r="B75" s="310"/>
      <c r="C75" s="310"/>
      <c r="D75" s="311"/>
      <c r="E75" s="302"/>
      <c r="F75" s="312"/>
      <c r="G75" s="310"/>
      <c r="H75" s="310"/>
      <c r="I75" s="358"/>
      <c r="J75" s="4020">
        <v>93</v>
      </c>
      <c r="K75" s="4048" t="s">
        <v>287</v>
      </c>
      <c r="L75" s="4091" t="s">
        <v>288</v>
      </c>
      <c r="M75" s="4176">
        <v>36</v>
      </c>
      <c r="N75" s="4176">
        <v>36</v>
      </c>
      <c r="O75" s="359"/>
      <c r="P75" s="4006" t="s">
        <v>289</v>
      </c>
      <c r="Q75" s="4177" t="s">
        <v>290</v>
      </c>
      <c r="R75" s="4137">
        <f>+(W75+W76)/$S$75</f>
        <v>0.25982774744453385</v>
      </c>
      <c r="S75" s="4124">
        <f>SUM(W75:W81)</f>
        <v>109129992</v>
      </c>
      <c r="T75" s="4014" t="s">
        <v>291</v>
      </c>
      <c r="U75" s="4178" t="s">
        <v>292</v>
      </c>
      <c r="V75" s="4178" t="s">
        <v>293</v>
      </c>
      <c r="W75" s="360">
        <v>11861000</v>
      </c>
      <c r="X75" s="360">
        <v>11342000</v>
      </c>
      <c r="Y75" s="360">
        <f>2835500+2835500+2835500</f>
        <v>8506500</v>
      </c>
      <c r="Z75" s="201">
        <v>20</v>
      </c>
      <c r="AA75" s="207" t="s">
        <v>86</v>
      </c>
      <c r="AB75" s="4125">
        <v>20555</v>
      </c>
      <c r="AC75" s="4081">
        <v>20555</v>
      </c>
      <c r="AD75" s="4082">
        <v>21361</v>
      </c>
      <c r="AE75" s="4081">
        <v>21361</v>
      </c>
      <c r="AF75" s="4111">
        <v>30460</v>
      </c>
      <c r="AG75" s="4057">
        <v>30460</v>
      </c>
      <c r="AH75" s="4111">
        <v>9593</v>
      </c>
      <c r="AI75" s="4057">
        <v>9593</v>
      </c>
      <c r="AJ75" s="4111">
        <v>1762</v>
      </c>
      <c r="AK75" s="4057">
        <v>1762</v>
      </c>
      <c r="AL75" s="4111">
        <v>101</v>
      </c>
      <c r="AM75" s="4057">
        <v>101</v>
      </c>
      <c r="AN75" s="4111">
        <v>308</v>
      </c>
      <c r="AO75" s="4057">
        <v>308</v>
      </c>
      <c r="AP75" s="4111">
        <v>277</v>
      </c>
      <c r="AQ75" s="4057">
        <v>277</v>
      </c>
      <c r="AR75" s="4111">
        <v>0</v>
      </c>
      <c r="AS75" s="4057"/>
      <c r="AT75" s="4111">
        <v>0</v>
      </c>
      <c r="AU75" s="4057"/>
      <c r="AV75" s="4111">
        <v>0</v>
      </c>
      <c r="AW75" s="4057"/>
      <c r="AX75" s="4113">
        <v>0</v>
      </c>
      <c r="AY75" s="4112"/>
      <c r="AZ75" s="4113">
        <v>2907</v>
      </c>
      <c r="BA75" s="4112">
        <v>2907</v>
      </c>
      <c r="BB75" s="4158">
        <v>2589</v>
      </c>
      <c r="BC75" s="4157">
        <v>2589</v>
      </c>
      <c r="BD75" s="4113">
        <v>2954</v>
      </c>
      <c r="BE75" s="4112">
        <v>2954</v>
      </c>
      <c r="BF75" s="4127">
        <v>41916</v>
      </c>
      <c r="BG75" s="4132">
        <v>41916</v>
      </c>
      <c r="BH75" s="4132">
        <v>1</v>
      </c>
      <c r="BI75" s="4181">
        <f>SUM(X75:X81)</f>
        <v>25519500</v>
      </c>
      <c r="BJ75" s="4181">
        <f>SUM(Y75:Y81)</f>
        <v>8506500</v>
      </c>
      <c r="BK75" s="4129">
        <f>+BJ75/BI75</f>
        <v>0.33333333333333331</v>
      </c>
      <c r="BL75" s="4133" t="s">
        <v>294</v>
      </c>
      <c r="BM75" s="4133" t="s">
        <v>295</v>
      </c>
      <c r="BN75" s="4118">
        <v>43497</v>
      </c>
      <c r="BO75" s="4118">
        <v>43497</v>
      </c>
      <c r="BP75" s="4118">
        <v>43646</v>
      </c>
      <c r="BQ75" s="4118">
        <v>43646</v>
      </c>
      <c r="BR75" s="4122" t="s">
        <v>129</v>
      </c>
    </row>
    <row r="76" spans="1:70" s="162" customFormat="1" ht="44.25" customHeight="1" x14ac:dyDescent="0.25">
      <c r="A76" s="309"/>
      <c r="B76" s="310"/>
      <c r="C76" s="310"/>
      <c r="D76" s="311"/>
      <c r="E76" s="302"/>
      <c r="F76" s="312"/>
      <c r="G76" s="310"/>
      <c r="H76" s="310"/>
      <c r="I76" s="358"/>
      <c r="J76" s="4021"/>
      <c r="K76" s="4050"/>
      <c r="L76" s="4091"/>
      <c r="M76" s="4176"/>
      <c r="N76" s="4176"/>
      <c r="O76" s="343"/>
      <c r="P76" s="4004"/>
      <c r="Q76" s="4014"/>
      <c r="R76" s="4137"/>
      <c r="S76" s="4124"/>
      <c r="T76" s="4014"/>
      <c r="U76" s="4178"/>
      <c r="V76" s="4178"/>
      <c r="W76" s="360">
        <f>0+16494000</f>
        <v>16494000</v>
      </c>
      <c r="X76" s="360">
        <v>14177500</v>
      </c>
      <c r="Y76" s="360"/>
      <c r="Z76" s="201">
        <v>88</v>
      </c>
      <c r="AA76" s="207" t="s">
        <v>131</v>
      </c>
      <c r="AB76" s="4125"/>
      <c r="AC76" s="4082"/>
      <c r="AD76" s="4082"/>
      <c r="AE76" s="4082"/>
      <c r="AF76" s="4111"/>
      <c r="AG76" s="4111"/>
      <c r="AH76" s="4111"/>
      <c r="AI76" s="4111"/>
      <c r="AJ76" s="4111"/>
      <c r="AK76" s="4111"/>
      <c r="AL76" s="4111"/>
      <c r="AM76" s="4111"/>
      <c r="AN76" s="4111"/>
      <c r="AO76" s="4111"/>
      <c r="AP76" s="4111"/>
      <c r="AQ76" s="4111"/>
      <c r="AR76" s="4111"/>
      <c r="AS76" s="4111"/>
      <c r="AT76" s="4111"/>
      <c r="AU76" s="4111"/>
      <c r="AV76" s="4111"/>
      <c r="AW76" s="4111"/>
      <c r="AX76" s="4113"/>
      <c r="AY76" s="4113"/>
      <c r="AZ76" s="4113"/>
      <c r="BA76" s="4113"/>
      <c r="BB76" s="4158"/>
      <c r="BC76" s="4158"/>
      <c r="BD76" s="4113"/>
      <c r="BE76" s="4113"/>
      <c r="BF76" s="4127"/>
      <c r="BG76" s="4127"/>
      <c r="BH76" s="4127"/>
      <c r="BI76" s="4182"/>
      <c r="BJ76" s="4182"/>
      <c r="BK76" s="4130"/>
      <c r="BL76" s="4127"/>
      <c r="BM76" s="4127"/>
      <c r="BN76" s="4119"/>
      <c r="BO76" s="4119"/>
      <c r="BP76" s="4119"/>
      <c r="BQ76" s="4119"/>
      <c r="BR76" s="4122"/>
    </row>
    <row r="77" spans="1:70" s="162" customFormat="1" ht="46.5" customHeight="1" x14ac:dyDescent="0.25">
      <c r="A77" s="309"/>
      <c r="B77" s="310"/>
      <c r="C77" s="310"/>
      <c r="D77" s="311"/>
      <c r="E77" s="302"/>
      <c r="F77" s="312"/>
      <c r="G77" s="310"/>
      <c r="H77" s="310"/>
      <c r="I77" s="358"/>
      <c r="J77" s="4020">
        <v>94</v>
      </c>
      <c r="K77" s="4048" t="s">
        <v>296</v>
      </c>
      <c r="L77" s="4004" t="s">
        <v>297</v>
      </c>
      <c r="M77" s="4053">
        <v>65</v>
      </c>
      <c r="N77" s="4176">
        <v>0</v>
      </c>
      <c r="O77" s="343"/>
      <c r="P77" s="4004"/>
      <c r="Q77" s="4002"/>
      <c r="R77" s="4179">
        <f>(W77+W78)/S75</f>
        <v>0.64143686549523438</v>
      </c>
      <c r="S77" s="4107"/>
      <c r="T77" s="4002"/>
      <c r="U77" s="4002" t="s">
        <v>298</v>
      </c>
      <c r="V77" s="4002" t="s">
        <v>299</v>
      </c>
      <c r="W77" s="361">
        <v>60000000</v>
      </c>
      <c r="X77" s="361"/>
      <c r="Y77" s="361"/>
      <c r="Z77" s="362">
        <v>21</v>
      </c>
      <c r="AA77" s="363" t="s">
        <v>251</v>
      </c>
      <c r="AB77" s="4082"/>
      <c r="AC77" s="4082"/>
      <c r="AD77" s="4082"/>
      <c r="AE77" s="4082"/>
      <c r="AF77" s="4111"/>
      <c r="AG77" s="4111"/>
      <c r="AH77" s="4111"/>
      <c r="AI77" s="4111"/>
      <c r="AJ77" s="4111"/>
      <c r="AK77" s="4111"/>
      <c r="AL77" s="4111"/>
      <c r="AM77" s="4111"/>
      <c r="AN77" s="4111"/>
      <c r="AO77" s="4111"/>
      <c r="AP77" s="4111"/>
      <c r="AQ77" s="4111"/>
      <c r="AR77" s="4111"/>
      <c r="AS77" s="4111"/>
      <c r="AT77" s="4111"/>
      <c r="AU77" s="4111"/>
      <c r="AV77" s="4111"/>
      <c r="AW77" s="4111"/>
      <c r="AX77" s="4113"/>
      <c r="AY77" s="4113"/>
      <c r="AZ77" s="4113"/>
      <c r="BA77" s="4113"/>
      <c r="BB77" s="4158"/>
      <c r="BC77" s="4158"/>
      <c r="BD77" s="4113"/>
      <c r="BE77" s="4113"/>
      <c r="BF77" s="4127"/>
      <c r="BG77" s="4127"/>
      <c r="BH77" s="4127"/>
      <c r="BI77" s="4182"/>
      <c r="BJ77" s="4182"/>
      <c r="BK77" s="4130"/>
      <c r="BL77" s="4127"/>
      <c r="BM77" s="4127"/>
      <c r="BN77" s="4119"/>
      <c r="BO77" s="4119"/>
      <c r="BP77" s="4119"/>
      <c r="BQ77" s="4119"/>
      <c r="BR77" s="4122"/>
    </row>
    <row r="78" spans="1:70" s="162" customFormat="1" ht="35.25" customHeight="1" x14ac:dyDescent="0.25">
      <c r="A78" s="309"/>
      <c r="B78" s="310"/>
      <c r="C78" s="310"/>
      <c r="D78" s="311"/>
      <c r="E78" s="302"/>
      <c r="F78" s="312"/>
      <c r="G78" s="310"/>
      <c r="H78" s="310"/>
      <c r="I78" s="358"/>
      <c r="J78" s="4021"/>
      <c r="K78" s="4050"/>
      <c r="L78" s="4005"/>
      <c r="M78" s="4054"/>
      <c r="N78" s="4176"/>
      <c r="O78" s="343" t="s">
        <v>300</v>
      </c>
      <c r="P78" s="4004"/>
      <c r="Q78" s="4002"/>
      <c r="R78" s="4180"/>
      <c r="S78" s="4107"/>
      <c r="T78" s="4002"/>
      <c r="U78" s="4003"/>
      <c r="V78" s="4003"/>
      <c r="W78" s="364">
        <v>10000000</v>
      </c>
      <c r="X78" s="364"/>
      <c r="Y78" s="364"/>
      <c r="Z78" s="344">
        <v>20</v>
      </c>
      <c r="AA78" s="270" t="s">
        <v>86</v>
      </c>
      <c r="AB78" s="4082"/>
      <c r="AC78" s="4082"/>
      <c r="AD78" s="4082"/>
      <c r="AE78" s="4082"/>
      <c r="AF78" s="4111"/>
      <c r="AG78" s="4111"/>
      <c r="AH78" s="4111"/>
      <c r="AI78" s="4111"/>
      <c r="AJ78" s="4111"/>
      <c r="AK78" s="4111"/>
      <c r="AL78" s="4111"/>
      <c r="AM78" s="4111"/>
      <c r="AN78" s="4111"/>
      <c r="AO78" s="4111"/>
      <c r="AP78" s="4111"/>
      <c r="AQ78" s="4111"/>
      <c r="AR78" s="4111"/>
      <c r="AS78" s="4111"/>
      <c r="AT78" s="4111"/>
      <c r="AU78" s="4111"/>
      <c r="AV78" s="4111"/>
      <c r="AW78" s="4111"/>
      <c r="AX78" s="4113"/>
      <c r="AY78" s="4113"/>
      <c r="AZ78" s="4113"/>
      <c r="BA78" s="4113"/>
      <c r="BB78" s="4158"/>
      <c r="BC78" s="4158"/>
      <c r="BD78" s="4113"/>
      <c r="BE78" s="4113"/>
      <c r="BF78" s="4127"/>
      <c r="BG78" s="4127"/>
      <c r="BH78" s="4127"/>
      <c r="BI78" s="4182"/>
      <c r="BJ78" s="4182"/>
      <c r="BK78" s="4130"/>
      <c r="BL78" s="4127"/>
      <c r="BM78" s="4127"/>
      <c r="BN78" s="4119"/>
      <c r="BO78" s="4119"/>
      <c r="BP78" s="4119"/>
      <c r="BQ78" s="4119"/>
      <c r="BR78" s="4122"/>
    </row>
    <row r="79" spans="1:70" s="162" customFormat="1" ht="33" customHeight="1" x14ac:dyDescent="0.25">
      <c r="A79" s="309"/>
      <c r="B79" s="310"/>
      <c r="C79" s="310"/>
      <c r="D79" s="311"/>
      <c r="E79" s="302"/>
      <c r="F79" s="312"/>
      <c r="G79" s="310"/>
      <c r="H79" s="310"/>
      <c r="I79" s="358"/>
      <c r="J79" s="4020">
        <v>95</v>
      </c>
      <c r="K79" s="4040" t="s">
        <v>301</v>
      </c>
      <c r="L79" s="4040" t="s">
        <v>302</v>
      </c>
      <c r="M79" s="4053">
        <v>500</v>
      </c>
      <c r="N79" s="4176">
        <v>544</v>
      </c>
      <c r="O79" s="343"/>
      <c r="P79" s="4004"/>
      <c r="Q79" s="4002"/>
      <c r="R79" s="4129">
        <f>+W79/S75</f>
        <v>0</v>
      </c>
      <c r="S79" s="4107"/>
      <c r="T79" s="4002"/>
      <c r="U79" s="4040" t="s">
        <v>303</v>
      </c>
      <c r="V79" s="4145" t="s">
        <v>304</v>
      </c>
      <c r="W79" s="4186">
        <f>10000000-10000000</f>
        <v>0</v>
      </c>
      <c r="X79" s="4186"/>
      <c r="Y79" s="4186"/>
      <c r="Z79" s="4160"/>
      <c r="AA79" s="4048"/>
      <c r="AB79" s="4082"/>
      <c r="AC79" s="4082"/>
      <c r="AD79" s="4082"/>
      <c r="AE79" s="4082"/>
      <c r="AF79" s="4111"/>
      <c r="AG79" s="4111"/>
      <c r="AH79" s="4111"/>
      <c r="AI79" s="4111"/>
      <c r="AJ79" s="4111"/>
      <c r="AK79" s="4111"/>
      <c r="AL79" s="4111"/>
      <c r="AM79" s="4111"/>
      <c r="AN79" s="4111"/>
      <c r="AO79" s="4111"/>
      <c r="AP79" s="4111"/>
      <c r="AQ79" s="4111"/>
      <c r="AR79" s="4111"/>
      <c r="AS79" s="4111"/>
      <c r="AT79" s="4111"/>
      <c r="AU79" s="4111"/>
      <c r="AV79" s="4111"/>
      <c r="AW79" s="4111"/>
      <c r="AX79" s="4113"/>
      <c r="AY79" s="4113"/>
      <c r="AZ79" s="4113"/>
      <c r="BA79" s="4113"/>
      <c r="BB79" s="4158"/>
      <c r="BC79" s="4158"/>
      <c r="BD79" s="4113"/>
      <c r="BE79" s="4113"/>
      <c r="BF79" s="4127"/>
      <c r="BG79" s="4127"/>
      <c r="BH79" s="4127"/>
      <c r="BI79" s="4182"/>
      <c r="BJ79" s="4182"/>
      <c r="BK79" s="4130"/>
      <c r="BL79" s="4127"/>
      <c r="BM79" s="4127"/>
      <c r="BN79" s="4119"/>
      <c r="BO79" s="4119"/>
      <c r="BP79" s="4119"/>
      <c r="BQ79" s="4119"/>
      <c r="BR79" s="4122"/>
    </row>
    <row r="80" spans="1:70" s="162" customFormat="1" ht="59.25" customHeight="1" x14ac:dyDescent="0.25">
      <c r="A80" s="309"/>
      <c r="B80" s="310"/>
      <c r="C80" s="310"/>
      <c r="D80" s="311"/>
      <c r="E80" s="302"/>
      <c r="F80" s="312"/>
      <c r="G80" s="310"/>
      <c r="H80" s="310"/>
      <c r="I80" s="358"/>
      <c r="J80" s="4021"/>
      <c r="K80" s="4003"/>
      <c r="L80" s="4003"/>
      <c r="M80" s="4054"/>
      <c r="N80" s="4176"/>
      <c r="O80" s="343" t="s">
        <v>305</v>
      </c>
      <c r="P80" s="4004"/>
      <c r="Q80" s="4002"/>
      <c r="R80" s="4131"/>
      <c r="S80" s="4107"/>
      <c r="T80" s="4002"/>
      <c r="U80" s="4003"/>
      <c r="V80" s="4146"/>
      <c r="W80" s="4187"/>
      <c r="X80" s="4187"/>
      <c r="Y80" s="4187"/>
      <c r="Z80" s="4162"/>
      <c r="AA80" s="4050"/>
      <c r="AB80" s="4082"/>
      <c r="AC80" s="4082"/>
      <c r="AD80" s="4082"/>
      <c r="AE80" s="4082"/>
      <c r="AF80" s="4111"/>
      <c r="AG80" s="4111"/>
      <c r="AH80" s="4111"/>
      <c r="AI80" s="4111"/>
      <c r="AJ80" s="4111"/>
      <c r="AK80" s="4111"/>
      <c r="AL80" s="4111"/>
      <c r="AM80" s="4111"/>
      <c r="AN80" s="4111"/>
      <c r="AO80" s="4111"/>
      <c r="AP80" s="4111"/>
      <c r="AQ80" s="4111"/>
      <c r="AR80" s="4111"/>
      <c r="AS80" s="4111"/>
      <c r="AT80" s="4111"/>
      <c r="AU80" s="4111"/>
      <c r="AV80" s="4111"/>
      <c r="AW80" s="4111"/>
      <c r="AX80" s="4113"/>
      <c r="AY80" s="4113"/>
      <c r="AZ80" s="4113"/>
      <c r="BA80" s="4113"/>
      <c r="BB80" s="4158"/>
      <c r="BC80" s="4158"/>
      <c r="BD80" s="4113"/>
      <c r="BE80" s="4113"/>
      <c r="BF80" s="4127"/>
      <c r="BG80" s="4127"/>
      <c r="BH80" s="4127"/>
      <c r="BI80" s="4182"/>
      <c r="BJ80" s="4182"/>
      <c r="BK80" s="4130"/>
      <c r="BL80" s="4127"/>
      <c r="BM80" s="4127"/>
      <c r="BN80" s="4119"/>
      <c r="BO80" s="4119"/>
      <c r="BP80" s="4119"/>
      <c r="BQ80" s="4119"/>
      <c r="BR80" s="4122"/>
    </row>
    <row r="81" spans="1:70" s="162" customFormat="1" ht="78.75" customHeight="1" x14ac:dyDescent="0.25">
      <c r="A81" s="309"/>
      <c r="B81" s="310"/>
      <c r="C81" s="310"/>
      <c r="D81" s="311"/>
      <c r="E81" s="302"/>
      <c r="F81" s="312"/>
      <c r="G81" s="310"/>
      <c r="H81" s="310"/>
      <c r="I81" s="358"/>
      <c r="J81" s="332">
        <v>96</v>
      </c>
      <c r="K81" s="333" t="s">
        <v>306</v>
      </c>
      <c r="L81" s="333" t="s">
        <v>307</v>
      </c>
      <c r="M81" s="365">
        <v>2</v>
      </c>
      <c r="N81" s="244">
        <v>0</v>
      </c>
      <c r="O81" s="265" t="s">
        <v>308</v>
      </c>
      <c r="P81" s="4005"/>
      <c r="Q81" s="4003"/>
      <c r="R81" s="366">
        <f>+W81/S75</f>
        <v>9.87353870602318E-2</v>
      </c>
      <c r="S81" s="4107"/>
      <c r="T81" s="4002"/>
      <c r="U81" s="367" t="s">
        <v>309</v>
      </c>
      <c r="V81" s="367" t="s">
        <v>310</v>
      </c>
      <c r="W81" s="364">
        <v>10774992</v>
      </c>
      <c r="X81" s="364"/>
      <c r="Y81" s="364"/>
      <c r="Z81" s="344">
        <v>20</v>
      </c>
      <c r="AA81" s="270" t="s">
        <v>86</v>
      </c>
      <c r="AB81" s="4082"/>
      <c r="AC81" s="4103"/>
      <c r="AD81" s="4082"/>
      <c r="AE81" s="4103"/>
      <c r="AF81" s="4111"/>
      <c r="AG81" s="4058"/>
      <c r="AH81" s="4111"/>
      <c r="AI81" s="4058"/>
      <c r="AJ81" s="4111"/>
      <c r="AK81" s="4058"/>
      <c r="AL81" s="4111"/>
      <c r="AM81" s="4058"/>
      <c r="AN81" s="4111"/>
      <c r="AO81" s="4058"/>
      <c r="AP81" s="4111"/>
      <c r="AQ81" s="4058"/>
      <c r="AR81" s="4111"/>
      <c r="AS81" s="4058"/>
      <c r="AT81" s="4111"/>
      <c r="AU81" s="4058"/>
      <c r="AV81" s="4111"/>
      <c r="AW81" s="4058"/>
      <c r="AX81" s="4113"/>
      <c r="AY81" s="4114"/>
      <c r="AZ81" s="4113"/>
      <c r="BA81" s="4114"/>
      <c r="BB81" s="4158"/>
      <c r="BC81" s="4159"/>
      <c r="BD81" s="4113"/>
      <c r="BE81" s="4114"/>
      <c r="BF81" s="4127"/>
      <c r="BG81" s="4128"/>
      <c r="BH81" s="4128"/>
      <c r="BI81" s="4183"/>
      <c r="BJ81" s="4183"/>
      <c r="BK81" s="4131"/>
      <c r="BL81" s="4128"/>
      <c r="BM81" s="4128"/>
      <c r="BN81" s="4120"/>
      <c r="BO81" s="4120"/>
      <c r="BP81" s="4120"/>
      <c r="BQ81" s="4120"/>
      <c r="BR81" s="4122"/>
    </row>
    <row r="82" spans="1:70" s="162" customFormat="1" ht="15.75" x14ac:dyDescent="0.25">
      <c r="A82" s="228"/>
      <c r="B82" s="229"/>
      <c r="C82" s="229"/>
      <c r="D82" s="228"/>
      <c r="E82" s="229"/>
      <c r="F82" s="237"/>
      <c r="G82" s="306">
        <v>22</v>
      </c>
      <c r="H82" s="181" t="s">
        <v>311</v>
      </c>
      <c r="I82" s="181"/>
      <c r="J82" s="181"/>
      <c r="K82" s="182"/>
      <c r="L82" s="182"/>
      <c r="M82" s="221"/>
      <c r="N82" s="221"/>
      <c r="O82" s="307"/>
      <c r="P82" s="221"/>
      <c r="Q82" s="368"/>
      <c r="R82" s="221"/>
      <c r="S82" s="224"/>
      <c r="T82" s="182"/>
      <c r="U82" s="182"/>
      <c r="V82" s="182"/>
      <c r="W82" s="182"/>
      <c r="X82" s="357"/>
      <c r="Y82" s="357"/>
      <c r="Z82" s="357"/>
      <c r="AA82" s="183"/>
      <c r="AB82" s="221"/>
      <c r="AC82" s="221"/>
      <c r="AD82" s="221"/>
      <c r="AE82" s="221"/>
      <c r="AF82" s="221"/>
      <c r="AG82" s="221"/>
      <c r="AH82" s="221"/>
      <c r="AI82" s="221"/>
      <c r="AJ82" s="221"/>
      <c r="AK82" s="221"/>
      <c r="AL82" s="221"/>
      <c r="AM82" s="221"/>
      <c r="AN82" s="221"/>
      <c r="AO82" s="221"/>
      <c r="AP82" s="221"/>
      <c r="AQ82" s="221"/>
      <c r="AR82" s="221"/>
      <c r="AS82" s="221"/>
      <c r="AT82" s="221"/>
      <c r="AU82" s="221"/>
      <c r="AV82" s="221"/>
      <c r="AW82" s="221"/>
      <c r="AX82" s="192"/>
      <c r="AY82" s="192"/>
      <c r="AZ82" s="192"/>
      <c r="BA82" s="192"/>
      <c r="BB82" s="192"/>
      <c r="BC82" s="192"/>
      <c r="BD82" s="192"/>
      <c r="BE82" s="192"/>
      <c r="BF82" s="192"/>
      <c r="BG82" s="192"/>
      <c r="BH82" s="192"/>
      <c r="BI82" s="192"/>
      <c r="BJ82" s="192"/>
      <c r="BK82" s="192"/>
      <c r="BL82" s="192"/>
      <c r="BM82" s="192"/>
      <c r="BN82" s="192"/>
      <c r="BO82" s="192"/>
      <c r="BP82" s="192"/>
      <c r="BQ82" s="192"/>
      <c r="BR82" s="192"/>
    </row>
    <row r="83" spans="1:70" s="162" customFormat="1" ht="60" customHeight="1" x14ac:dyDescent="0.25">
      <c r="A83" s="369"/>
      <c r="B83" s="370"/>
      <c r="C83" s="370"/>
      <c r="D83" s="369"/>
      <c r="E83" s="370"/>
      <c r="F83" s="371"/>
      <c r="G83" s="4184"/>
      <c r="H83" s="4184"/>
      <c r="I83" s="4028"/>
      <c r="J83" s="4019">
        <v>97</v>
      </c>
      <c r="K83" s="4002" t="s">
        <v>312</v>
      </c>
      <c r="L83" s="4002" t="s">
        <v>313</v>
      </c>
      <c r="M83" s="4082">
        <v>52</v>
      </c>
      <c r="N83" s="4081">
        <v>52</v>
      </c>
      <c r="O83" s="372"/>
      <c r="P83" s="4004" t="s">
        <v>314</v>
      </c>
      <c r="Q83" s="4002" t="s">
        <v>315</v>
      </c>
      <c r="R83" s="4185">
        <f>(+W83+W84)/S83</f>
        <v>1</v>
      </c>
      <c r="S83" s="4107">
        <f>+W83+W84</f>
        <v>30000000</v>
      </c>
      <c r="T83" s="4002" t="s">
        <v>316</v>
      </c>
      <c r="U83" s="4002" t="s">
        <v>317</v>
      </c>
      <c r="V83" s="4188" t="s">
        <v>318</v>
      </c>
      <c r="W83" s="373">
        <f>10000000</f>
        <v>10000000</v>
      </c>
      <c r="X83" s="373">
        <v>10000000</v>
      </c>
      <c r="Y83" s="373">
        <v>10000000</v>
      </c>
      <c r="Z83" s="374">
        <v>20</v>
      </c>
      <c r="AA83" s="322" t="s">
        <v>319</v>
      </c>
      <c r="AB83" s="4125">
        <v>20555</v>
      </c>
      <c r="AC83" s="4081">
        <v>20555</v>
      </c>
      <c r="AD83" s="4082">
        <v>21361</v>
      </c>
      <c r="AE83" s="4081">
        <v>21361</v>
      </c>
      <c r="AF83" s="4082">
        <v>30460</v>
      </c>
      <c r="AG83" s="4081">
        <v>30460</v>
      </c>
      <c r="AH83" s="4082">
        <v>9593</v>
      </c>
      <c r="AI83" s="4081">
        <v>9593</v>
      </c>
      <c r="AJ83" s="4082">
        <v>1762</v>
      </c>
      <c r="AK83" s="4081">
        <v>1762</v>
      </c>
      <c r="AL83" s="4082">
        <v>101</v>
      </c>
      <c r="AM83" s="4081">
        <v>101</v>
      </c>
      <c r="AN83" s="4082">
        <v>308</v>
      </c>
      <c r="AO83" s="4081">
        <v>308</v>
      </c>
      <c r="AP83" s="4082">
        <v>277</v>
      </c>
      <c r="AQ83" s="4081">
        <v>277</v>
      </c>
      <c r="AR83" s="4082">
        <v>0</v>
      </c>
      <c r="AS83" s="4081"/>
      <c r="AT83" s="4082">
        <v>0</v>
      </c>
      <c r="AU83" s="4081"/>
      <c r="AV83" s="4082">
        <v>0</v>
      </c>
      <c r="AW83" s="4081"/>
      <c r="AX83" s="4082">
        <v>0</v>
      </c>
      <c r="AY83" s="4081"/>
      <c r="AZ83" s="4111">
        <v>2907</v>
      </c>
      <c r="BA83" s="4057">
        <v>2907</v>
      </c>
      <c r="BB83" s="4111">
        <v>2589</v>
      </c>
      <c r="BC83" s="4057">
        <v>2589</v>
      </c>
      <c r="BD83" s="4111">
        <v>2954</v>
      </c>
      <c r="BE83" s="4057">
        <v>2954</v>
      </c>
      <c r="BF83" s="4082">
        <v>41916</v>
      </c>
      <c r="BG83" s="4081">
        <v>41916</v>
      </c>
      <c r="BH83" s="4081">
        <v>1</v>
      </c>
      <c r="BI83" s="4196">
        <f>SUM(X83:X87)</f>
        <v>21000000</v>
      </c>
      <c r="BJ83" s="4196">
        <f>SUM(Y83:Y87)</f>
        <v>12000000</v>
      </c>
      <c r="BK83" s="4141">
        <f>+BJ83/BI83</f>
        <v>0.5714285714285714</v>
      </c>
      <c r="BL83" s="4006" t="s">
        <v>320</v>
      </c>
      <c r="BM83" s="4006" t="s">
        <v>321</v>
      </c>
      <c r="BN83" s="4164">
        <v>43497</v>
      </c>
      <c r="BO83" s="4163">
        <v>43497</v>
      </c>
      <c r="BP83" s="4164">
        <v>43615</v>
      </c>
      <c r="BQ83" s="4163">
        <v>43615</v>
      </c>
      <c r="BR83" s="4122" t="s">
        <v>129</v>
      </c>
    </row>
    <row r="84" spans="1:70" s="162" customFormat="1" ht="19.5" customHeight="1" x14ac:dyDescent="0.25">
      <c r="A84" s="369"/>
      <c r="B84" s="370"/>
      <c r="C84" s="370"/>
      <c r="D84" s="369"/>
      <c r="E84" s="370"/>
      <c r="F84" s="371"/>
      <c r="G84" s="4184"/>
      <c r="H84" s="4184"/>
      <c r="I84" s="4028"/>
      <c r="J84" s="4019"/>
      <c r="K84" s="4002"/>
      <c r="L84" s="4002"/>
      <c r="M84" s="4082"/>
      <c r="N84" s="4082"/>
      <c r="O84" s="372"/>
      <c r="P84" s="4004"/>
      <c r="Q84" s="4002"/>
      <c r="R84" s="4185"/>
      <c r="S84" s="4107"/>
      <c r="T84" s="4002"/>
      <c r="U84" s="4002"/>
      <c r="V84" s="4188"/>
      <c r="W84" s="4190">
        <f>0+20000000</f>
        <v>20000000</v>
      </c>
      <c r="X84" s="4191">
        <v>11000000</v>
      </c>
      <c r="Y84" s="4191">
        <v>2000000</v>
      </c>
      <c r="Z84" s="4194">
        <v>88</v>
      </c>
      <c r="AA84" s="4195" t="s">
        <v>131</v>
      </c>
      <c r="AB84" s="4125"/>
      <c r="AC84" s="4082"/>
      <c r="AD84" s="4082"/>
      <c r="AE84" s="4082"/>
      <c r="AF84" s="4082"/>
      <c r="AG84" s="4082"/>
      <c r="AH84" s="4082"/>
      <c r="AI84" s="4082"/>
      <c r="AJ84" s="4082"/>
      <c r="AK84" s="4082"/>
      <c r="AL84" s="4082"/>
      <c r="AM84" s="4082"/>
      <c r="AN84" s="4082"/>
      <c r="AO84" s="4082"/>
      <c r="AP84" s="4082"/>
      <c r="AQ84" s="4082"/>
      <c r="AR84" s="4082"/>
      <c r="AS84" s="4082"/>
      <c r="AT84" s="4082"/>
      <c r="AU84" s="4082"/>
      <c r="AV84" s="4082"/>
      <c r="AW84" s="4082"/>
      <c r="AX84" s="4082"/>
      <c r="AY84" s="4082"/>
      <c r="AZ84" s="4082"/>
      <c r="BA84" s="4111"/>
      <c r="BB84" s="4082"/>
      <c r="BC84" s="4111"/>
      <c r="BD84" s="4082"/>
      <c r="BE84" s="4111"/>
      <c r="BF84" s="4082"/>
      <c r="BG84" s="4082"/>
      <c r="BH84" s="4082"/>
      <c r="BI84" s="4082"/>
      <c r="BJ84" s="4082"/>
      <c r="BK84" s="4142"/>
      <c r="BL84" s="4004"/>
      <c r="BM84" s="4082"/>
      <c r="BN84" s="4189"/>
      <c r="BO84" s="4164"/>
      <c r="BP84" s="4189"/>
      <c r="BQ84" s="4164"/>
      <c r="BR84" s="4122"/>
    </row>
    <row r="85" spans="1:70" s="162" customFormat="1" ht="20.25" customHeight="1" x14ac:dyDescent="0.25">
      <c r="A85" s="369"/>
      <c r="B85" s="370"/>
      <c r="C85" s="370"/>
      <c r="D85" s="369"/>
      <c r="E85" s="370"/>
      <c r="F85" s="371"/>
      <c r="G85" s="4184"/>
      <c r="H85" s="4184"/>
      <c r="I85" s="4028"/>
      <c r="J85" s="4019"/>
      <c r="K85" s="4002"/>
      <c r="L85" s="4002"/>
      <c r="M85" s="4082"/>
      <c r="N85" s="4082"/>
      <c r="O85" s="372" t="s">
        <v>322</v>
      </c>
      <c r="P85" s="4004"/>
      <c r="Q85" s="4002"/>
      <c r="R85" s="4185"/>
      <c r="S85" s="4107"/>
      <c r="T85" s="4002"/>
      <c r="U85" s="4002"/>
      <c r="V85" s="4188"/>
      <c r="W85" s="4190"/>
      <c r="X85" s="4192"/>
      <c r="Y85" s="4192"/>
      <c r="Z85" s="4194"/>
      <c r="AA85" s="4195"/>
      <c r="AB85" s="4125"/>
      <c r="AC85" s="4082"/>
      <c r="AD85" s="4082"/>
      <c r="AE85" s="4082"/>
      <c r="AF85" s="4082"/>
      <c r="AG85" s="4082"/>
      <c r="AH85" s="4082"/>
      <c r="AI85" s="4082"/>
      <c r="AJ85" s="4082"/>
      <c r="AK85" s="4082"/>
      <c r="AL85" s="4082"/>
      <c r="AM85" s="4082"/>
      <c r="AN85" s="4082"/>
      <c r="AO85" s="4082"/>
      <c r="AP85" s="4082"/>
      <c r="AQ85" s="4082"/>
      <c r="AR85" s="4082"/>
      <c r="AS85" s="4082"/>
      <c r="AT85" s="4082"/>
      <c r="AU85" s="4082"/>
      <c r="AV85" s="4082"/>
      <c r="AW85" s="4082"/>
      <c r="AX85" s="4082"/>
      <c r="AY85" s="4082"/>
      <c r="AZ85" s="4082"/>
      <c r="BA85" s="4111"/>
      <c r="BB85" s="4082"/>
      <c r="BC85" s="4111"/>
      <c r="BD85" s="4082"/>
      <c r="BE85" s="4111"/>
      <c r="BF85" s="4082"/>
      <c r="BG85" s="4082"/>
      <c r="BH85" s="4082"/>
      <c r="BI85" s="4082"/>
      <c r="BJ85" s="4082"/>
      <c r="BK85" s="4142"/>
      <c r="BL85" s="4004"/>
      <c r="BM85" s="4082"/>
      <c r="BN85" s="4189"/>
      <c r="BO85" s="4164"/>
      <c r="BP85" s="4189"/>
      <c r="BQ85" s="4164"/>
      <c r="BR85" s="4122"/>
    </row>
    <row r="86" spans="1:70" s="162" customFormat="1" ht="37.5" customHeight="1" x14ac:dyDescent="0.25">
      <c r="A86" s="369"/>
      <c r="B86" s="370"/>
      <c r="C86" s="370"/>
      <c r="D86" s="369"/>
      <c r="E86" s="370"/>
      <c r="F86" s="371"/>
      <c r="G86" s="4184"/>
      <c r="H86" s="4184"/>
      <c r="I86" s="4028"/>
      <c r="J86" s="4019"/>
      <c r="K86" s="4002"/>
      <c r="L86" s="4002"/>
      <c r="M86" s="4082"/>
      <c r="N86" s="4082"/>
      <c r="O86" s="265" t="s">
        <v>323</v>
      </c>
      <c r="P86" s="4004"/>
      <c r="Q86" s="4002"/>
      <c r="R86" s="4185"/>
      <c r="S86" s="4107"/>
      <c r="T86" s="4002"/>
      <c r="U86" s="4002"/>
      <c r="V86" s="4188"/>
      <c r="W86" s="4190"/>
      <c r="X86" s="4192"/>
      <c r="Y86" s="4192"/>
      <c r="Z86" s="4194"/>
      <c r="AA86" s="4195"/>
      <c r="AB86" s="4125"/>
      <c r="AC86" s="4082"/>
      <c r="AD86" s="4082"/>
      <c r="AE86" s="4082"/>
      <c r="AF86" s="4082"/>
      <c r="AG86" s="4082"/>
      <c r="AH86" s="4082"/>
      <c r="AI86" s="4082"/>
      <c r="AJ86" s="4082"/>
      <c r="AK86" s="4082"/>
      <c r="AL86" s="4082"/>
      <c r="AM86" s="4082"/>
      <c r="AN86" s="4082"/>
      <c r="AO86" s="4082"/>
      <c r="AP86" s="4082"/>
      <c r="AQ86" s="4082"/>
      <c r="AR86" s="4082"/>
      <c r="AS86" s="4082"/>
      <c r="AT86" s="4082"/>
      <c r="AU86" s="4082"/>
      <c r="AV86" s="4082"/>
      <c r="AW86" s="4082"/>
      <c r="AX86" s="4082"/>
      <c r="AY86" s="4082"/>
      <c r="AZ86" s="4082"/>
      <c r="BA86" s="4111"/>
      <c r="BB86" s="4082"/>
      <c r="BC86" s="4111"/>
      <c r="BD86" s="4082"/>
      <c r="BE86" s="4111"/>
      <c r="BF86" s="4082"/>
      <c r="BG86" s="4082"/>
      <c r="BH86" s="4082"/>
      <c r="BI86" s="4082"/>
      <c r="BJ86" s="4082"/>
      <c r="BK86" s="4142"/>
      <c r="BL86" s="4004"/>
      <c r="BM86" s="4082"/>
      <c r="BN86" s="4189"/>
      <c r="BO86" s="4164"/>
      <c r="BP86" s="4189"/>
      <c r="BQ86" s="4164"/>
      <c r="BR86" s="4122"/>
    </row>
    <row r="87" spans="1:70" s="162" customFormat="1" ht="15.75" x14ac:dyDescent="0.25">
      <c r="A87" s="369"/>
      <c r="B87" s="370"/>
      <c r="C87" s="370"/>
      <c r="D87" s="375"/>
      <c r="E87" s="376"/>
      <c r="F87" s="377"/>
      <c r="G87" s="4184"/>
      <c r="H87" s="4184"/>
      <c r="I87" s="4028"/>
      <c r="J87" s="4019"/>
      <c r="K87" s="4002"/>
      <c r="L87" s="4002"/>
      <c r="M87" s="4082"/>
      <c r="N87" s="4103"/>
      <c r="O87" s="372"/>
      <c r="P87" s="4004"/>
      <c r="Q87" s="4002"/>
      <c r="R87" s="4185"/>
      <c r="S87" s="4107"/>
      <c r="T87" s="4002"/>
      <c r="U87" s="4002"/>
      <c r="V87" s="4188"/>
      <c r="W87" s="4190"/>
      <c r="X87" s="4193"/>
      <c r="Y87" s="4193"/>
      <c r="Z87" s="4194"/>
      <c r="AA87" s="4195"/>
      <c r="AB87" s="4125"/>
      <c r="AC87" s="4103"/>
      <c r="AD87" s="4082"/>
      <c r="AE87" s="4103"/>
      <c r="AF87" s="4082"/>
      <c r="AG87" s="4103"/>
      <c r="AH87" s="4082"/>
      <c r="AI87" s="4103"/>
      <c r="AJ87" s="4082"/>
      <c r="AK87" s="4103"/>
      <c r="AL87" s="4082"/>
      <c r="AM87" s="4103"/>
      <c r="AN87" s="4082"/>
      <c r="AO87" s="4103"/>
      <c r="AP87" s="4082"/>
      <c r="AQ87" s="4103"/>
      <c r="AR87" s="4082"/>
      <c r="AS87" s="4103"/>
      <c r="AT87" s="4082"/>
      <c r="AU87" s="4103"/>
      <c r="AV87" s="4082"/>
      <c r="AW87" s="4103"/>
      <c r="AX87" s="4082"/>
      <c r="AY87" s="4103"/>
      <c r="AZ87" s="4082"/>
      <c r="BA87" s="4058"/>
      <c r="BB87" s="4082"/>
      <c r="BC87" s="4058"/>
      <c r="BD87" s="4082"/>
      <c r="BE87" s="4058"/>
      <c r="BF87" s="4082"/>
      <c r="BG87" s="4103"/>
      <c r="BH87" s="4103"/>
      <c r="BI87" s="4103"/>
      <c r="BJ87" s="4103"/>
      <c r="BK87" s="4143"/>
      <c r="BL87" s="4005"/>
      <c r="BM87" s="4103"/>
      <c r="BN87" s="4189"/>
      <c r="BO87" s="4165"/>
      <c r="BP87" s="4189"/>
      <c r="BQ87" s="4165"/>
      <c r="BR87" s="4122"/>
    </row>
    <row r="88" spans="1:70" s="162" customFormat="1" ht="15.75" x14ac:dyDescent="0.25">
      <c r="A88" s="378"/>
      <c r="B88" s="379"/>
      <c r="C88" s="380"/>
      <c r="D88" s="292">
        <v>7</v>
      </c>
      <c r="E88" s="293" t="s">
        <v>324</v>
      </c>
      <c r="F88" s="293"/>
      <c r="G88" s="381"/>
      <c r="H88" s="381"/>
      <c r="I88" s="381"/>
      <c r="J88" s="381"/>
      <c r="K88" s="382"/>
      <c r="L88" s="382"/>
      <c r="M88" s="381"/>
      <c r="N88" s="381"/>
      <c r="O88" s="383"/>
      <c r="P88" s="383"/>
      <c r="Q88" s="384"/>
      <c r="R88" s="385"/>
      <c r="S88" s="386"/>
      <c r="T88" s="382"/>
      <c r="U88" s="382"/>
      <c r="V88" s="382"/>
      <c r="W88" s="382"/>
      <c r="X88" s="387"/>
      <c r="Y88" s="387"/>
      <c r="Z88" s="387"/>
      <c r="AA88" s="388"/>
      <c r="AB88" s="383"/>
      <c r="AC88" s="383"/>
      <c r="AD88" s="383"/>
      <c r="AE88" s="383"/>
      <c r="AF88" s="389"/>
      <c r="AG88" s="389"/>
      <c r="AH88" s="389"/>
      <c r="AI88" s="389"/>
      <c r="AJ88" s="389"/>
      <c r="AK88" s="389"/>
      <c r="AL88" s="389"/>
      <c r="AM88" s="389"/>
      <c r="AN88" s="389"/>
      <c r="AO88" s="389"/>
      <c r="AP88" s="389"/>
      <c r="AQ88" s="389"/>
      <c r="AR88" s="389"/>
      <c r="AS88" s="389"/>
      <c r="AT88" s="390"/>
      <c r="AU88" s="390"/>
      <c r="AV88" s="390"/>
      <c r="AW88" s="390"/>
      <c r="AX88" s="391"/>
      <c r="AY88" s="391"/>
      <c r="AZ88" s="391"/>
      <c r="BA88" s="391"/>
      <c r="BB88" s="391"/>
      <c r="BC88" s="391"/>
      <c r="BD88" s="391"/>
      <c r="BE88" s="391"/>
      <c r="BF88" s="392"/>
      <c r="BG88" s="392"/>
      <c r="BH88" s="392"/>
      <c r="BI88" s="392"/>
      <c r="BJ88" s="392"/>
      <c r="BK88" s="392"/>
      <c r="BL88" s="392"/>
      <c r="BM88" s="392"/>
      <c r="BN88" s="392"/>
      <c r="BO88" s="392"/>
      <c r="BP88" s="392"/>
      <c r="BQ88" s="392"/>
      <c r="BR88" s="392"/>
    </row>
    <row r="89" spans="1:70" s="162" customFormat="1" ht="16.5" thickBot="1" x14ac:dyDescent="0.3">
      <c r="A89" s="378"/>
      <c r="B89" s="379"/>
      <c r="C89" s="379"/>
      <c r="D89" s="177"/>
      <c r="E89" s="178"/>
      <c r="F89" s="179"/>
      <c r="G89" s="393">
        <v>23</v>
      </c>
      <c r="H89" s="181" t="s">
        <v>325</v>
      </c>
      <c r="I89" s="338"/>
      <c r="J89" s="338"/>
      <c r="K89" s="394"/>
      <c r="L89" s="394"/>
      <c r="M89" s="222"/>
      <c r="N89" s="222"/>
      <c r="O89" s="223"/>
      <c r="P89" s="222"/>
      <c r="Q89" s="395"/>
      <c r="R89" s="222"/>
      <c r="S89" s="396"/>
      <c r="T89" s="394"/>
      <c r="U89" s="394"/>
      <c r="V89" s="394"/>
      <c r="W89" s="394"/>
      <c r="X89" s="397"/>
      <c r="Y89" s="397"/>
      <c r="Z89" s="223"/>
      <c r="AA89" s="338"/>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398"/>
      <c r="AY89" s="398"/>
      <c r="AZ89" s="398"/>
      <c r="BA89" s="398"/>
      <c r="BB89" s="398"/>
      <c r="BC89" s="398"/>
      <c r="BD89" s="398"/>
      <c r="BE89" s="398"/>
      <c r="BF89" s="398"/>
      <c r="BG89" s="398"/>
      <c r="BH89" s="398"/>
      <c r="BI89" s="398"/>
      <c r="BJ89" s="398"/>
      <c r="BK89" s="398"/>
      <c r="BL89" s="398"/>
      <c r="BM89" s="398"/>
      <c r="BN89" s="398"/>
      <c r="BO89" s="398"/>
      <c r="BP89" s="398"/>
      <c r="BQ89" s="398"/>
      <c r="BR89" s="398"/>
    </row>
    <row r="90" spans="1:70" s="162" customFormat="1" ht="89.25" customHeight="1" x14ac:dyDescent="0.25">
      <c r="A90" s="378"/>
      <c r="B90" s="379"/>
      <c r="C90" s="379"/>
      <c r="D90" s="194"/>
      <c r="E90" s="195"/>
      <c r="F90" s="196"/>
      <c r="G90" s="399"/>
      <c r="H90" s="400"/>
      <c r="I90" s="401"/>
      <c r="J90" s="266">
        <v>98</v>
      </c>
      <c r="K90" s="243" t="s">
        <v>326</v>
      </c>
      <c r="L90" s="243" t="s">
        <v>327</v>
      </c>
      <c r="M90" s="313">
        <v>55</v>
      </c>
      <c r="N90" s="498">
        <v>160</v>
      </c>
      <c r="O90" s="372"/>
      <c r="P90" s="4004" t="s">
        <v>328</v>
      </c>
      <c r="Q90" s="4002" t="s">
        <v>329</v>
      </c>
      <c r="R90" s="335"/>
      <c r="S90" s="4107">
        <f>+W92+W94</f>
        <v>0</v>
      </c>
      <c r="T90" s="4002" t="s">
        <v>330</v>
      </c>
      <c r="U90" s="243" t="s">
        <v>331</v>
      </c>
      <c r="V90" s="247" t="s">
        <v>332</v>
      </c>
      <c r="W90" s="325"/>
      <c r="X90" s="328"/>
      <c r="Y90" s="328"/>
      <c r="Z90" s="4057"/>
      <c r="AA90" s="4197"/>
      <c r="AB90" s="4095">
        <v>20555</v>
      </c>
      <c r="AC90" s="4081">
        <v>20555</v>
      </c>
      <c r="AD90" s="4095">
        <v>21361</v>
      </c>
      <c r="AE90" s="4081">
        <v>21361</v>
      </c>
      <c r="AF90" s="4092">
        <v>30460</v>
      </c>
      <c r="AG90" s="4057">
        <v>30460</v>
      </c>
      <c r="AH90" s="4092">
        <v>9593</v>
      </c>
      <c r="AI90" s="4057">
        <v>9593</v>
      </c>
      <c r="AJ90" s="4092">
        <v>1762</v>
      </c>
      <c r="AK90" s="4057">
        <v>1762</v>
      </c>
      <c r="AL90" s="4092">
        <v>101</v>
      </c>
      <c r="AM90" s="4057">
        <v>101</v>
      </c>
      <c r="AN90" s="4092">
        <v>308</v>
      </c>
      <c r="AO90" s="4057">
        <v>308</v>
      </c>
      <c r="AP90" s="4092">
        <v>277</v>
      </c>
      <c r="AQ90" s="4057">
        <v>277</v>
      </c>
      <c r="AR90" s="4092">
        <v>0</v>
      </c>
      <c r="AS90" s="4057"/>
      <c r="AT90" s="4092">
        <v>0</v>
      </c>
      <c r="AU90" s="4057"/>
      <c r="AV90" s="4092">
        <v>0</v>
      </c>
      <c r="AW90" s="4057"/>
      <c r="AX90" s="4200">
        <v>0</v>
      </c>
      <c r="AY90" s="4112"/>
      <c r="AZ90" s="4200">
        <v>2907</v>
      </c>
      <c r="BA90" s="4112">
        <v>2907</v>
      </c>
      <c r="BB90" s="4200">
        <v>2589</v>
      </c>
      <c r="BC90" s="4112">
        <v>2589</v>
      </c>
      <c r="BD90" s="4200">
        <v>2954</v>
      </c>
      <c r="BE90" s="4112">
        <v>2954</v>
      </c>
      <c r="BF90" s="4207">
        <v>41916</v>
      </c>
      <c r="BG90" s="4132">
        <v>41916</v>
      </c>
      <c r="BH90" s="4132"/>
      <c r="BI90" s="4126">
        <f>SUM(X90:X94)</f>
        <v>0</v>
      </c>
      <c r="BJ90" s="4126">
        <f>SUM(Y90:Y94)</f>
        <v>0</v>
      </c>
      <c r="BK90" s="4132"/>
      <c r="BL90" s="4132"/>
      <c r="BM90" s="4132"/>
      <c r="BN90" s="4163"/>
      <c r="BO90" s="4163"/>
      <c r="BP90" s="4096"/>
      <c r="BQ90" s="4096"/>
      <c r="BR90" s="4123" t="s">
        <v>129</v>
      </c>
    </row>
    <row r="91" spans="1:70" s="162" customFormat="1" ht="81" customHeight="1" x14ac:dyDescent="0.25">
      <c r="A91" s="378"/>
      <c r="B91" s="379"/>
      <c r="C91" s="379"/>
      <c r="D91" s="194"/>
      <c r="E91" s="402"/>
      <c r="F91" s="196"/>
      <c r="G91" s="400"/>
      <c r="H91" s="400"/>
      <c r="I91" s="401"/>
      <c r="J91" s="271">
        <v>99</v>
      </c>
      <c r="K91" s="242" t="s">
        <v>333</v>
      </c>
      <c r="L91" s="242" t="s">
        <v>334</v>
      </c>
      <c r="M91" s="244">
        <v>150</v>
      </c>
      <c r="N91" s="245">
        <v>750</v>
      </c>
      <c r="O91" s="403"/>
      <c r="P91" s="4004"/>
      <c r="Q91" s="4002"/>
      <c r="R91" s="315"/>
      <c r="S91" s="4107"/>
      <c r="T91" s="4002"/>
      <c r="U91" s="242" t="s">
        <v>335</v>
      </c>
      <c r="V91" s="404" t="s">
        <v>336</v>
      </c>
      <c r="W91" s="328"/>
      <c r="X91" s="328"/>
      <c r="Y91" s="328"/>
      <c r="Z91" s="4111"/>
      <c r="AA91" s="4198"/>
      <c r="AB91" s="4095"/>
      <c r="AC91" s="4082"/>
      <c r="AD91" s="4095"/>
      <c r="AE91" s="4082"/>
      <c r="AF91" s="4092"/>
      <c r="AG91" s="4111"/>
      <c r="AH91" s="4092"/>
      <c r="AI91" s="4111"/>
      <c r="AJ91" s="4092"/>
      <c r="AK91" s="4111"/>
      <c r="AL91" s="4092"/>
      <c r="AM91" s="4111"/>
      <c r="AN91" s="4092"/>
      <c r="AO91" s="4111"/>
      <c r="AP91" s="4092"/>
      <c r="AQ91" s="4111"/>
      <c r="AR91" s="4092"/>
      <c r="AS91" s="4111"/>
      <c r="AT91" s="4092"/>
      <c r="AU91" s="4111"/>
      <c r="AV91" s="4092"/>
      <c r="AW91" s="4111"/>
      <c r="AX91" s="4200"/>
      <c r="AY91" s="4113"/>
      <c r="AZ91" s="4200"/>
      <c r="BA91" s="4113"/>
      <c r="BB91" s="4200"/>
      <c r="BC91" s="4113"/>
      <c r="BD91" s="4200"/>
      <c r="BE91" s="4113"/>
      <c r="BF91" s="4207"/>
      <c r="BG91" s="4127"/>
      <c r="BH91" s="4127"/>
      <c r="BI91" s="4127"/>
      <c r="BJ91" s="4127"/>
      <c r="BK91" s="4127"/>
      <c r="BL91" s="4127"/>
      <c r="BM91" s="4127"/>
      <c r="BN91" s="4164"/>
      <c r="BO91" s="4164"/>
      <c r="BP91" s="4097"/>
      <c r="BQ91" s="4097"/>
      <c r="BR91" s="4201"/>
    </row>
    <row r="92" spans="1:70" s="162" customFormat="1" ht="98.25" customHeight="1" x14ac:dyDescent="0.25">
      <c r="A92" s="4202"/>
      <c r="B92" s="4202"/>
      <c r="C92" s="4202"/>
      <c r="D92" s="4203"/>
      <c r="E92" s="4203"/>
      <c r="F92" s="4203"/>
      <c r="G92" s="400"/>
      <c r="H92" s="400"/>
      <c r="I92" s="401"/>
      <c r="J92" s="271">
        <v>100</v>
      </c>
      <c r="K92" s="242" t="s">
        <v>337</v>
      </c>
      <c r="L92" s="242" t="s">
        <v>338</v>
      </c>
      <c r="M92" s="244">
        <v>6</v>
      </c>
      <c r="N92" s="244">
        <v>11</v>
      </c>
      <c r="O92" s="372"/>
      <c r="P92" s="4004"/>
      <c r="Q92" s="4002"/>
      <c r="R92" s="315"/>
      <c r="S92" s="4107"/>
      <c r="T92" s="4002"/>
      <c r="U92" s="242" t="s">
        <v>337</v>
      </c>
      <c r="V92" s="404" t="s">
        <v>339</v>
      </c>
      <c r="W92" s="258"/>
      <c r="X92" s="258"/>
      <c r="Y92" s="258"/>
      <c r="Z92" s="4111"/>
      <c r="AA92" s="4198"/>
      <c r="AB92" s="4095"/>
      <c r="AC92" s="4082"/>
      <c r="AD92" s="4095"/>
      <c r="AE92" s="4082"/>
      <c r="AF92" s="4092"/>
      <c r="AG92" s="4111"/>
      <c r="AH92" s="4092"/>
      <c r="AI92" s="4111"/>
      <c r="AJ92" s="4092"/>
      <c r="AK92" s="4111"/>
      <c r="AL92" s="4092"/>
      <c r="AM92" s="4111"/>
      <c r="AN92" s="4092"/>
      <c r="AO92" s="4111"/>
      <c r="AP92" s="4092"/>
      <c r="AQ92" s="4111"/>
      <c r="AR92" s="4092"/>
      <c r="AS92" s="4111"/>
      <c r="AT92" s="4092"/>
      <c r="AU92" s="4111"/>
      <c r="AV92" s="4092"/>
      <c r="AW92" s="4111"/>
      <c r="AX92" s="4200"/>
      <c r="AY92" s="4113"/>
      <c r="AZ92" s="4200"/>
      <c r="BA92" s="4113"/>
      <c r="BB92" s="4200"/>
      <c r="BC92" s="4113"/>
      <c r="BD92" s="4200"/>
      <c r="BE92" s="4113"/>
      <c r="BF92" s="4207"/>
      <c r="BG92" s="4127"/>
      <c r="BH92" s="4127"/>
      <c r="BI92" s="4127"/>
      <c r="BJ92" s="4127"/>
      <c r="BK92" s="4127"/>
      <c r="BL92" s="4127"/>
      <c r="BM92" s="4127"/>
      <c r="BN92" s="4164"/>
      <c r="BO92" s="4164"/>
      <c r="BP92" s="4097"/>
      <c r="BQ92" s="4097"/>
      <c r="BR92" s="4201"/>
    </row>
    <row r="93" spans="1:70" s="162" customFormat="1" ht="85.5" customHeight="1" x14ac:dyDescent="0.25">
      <c r="A93" s="4202"/>
      <c r="B93" s="4202"/>
      <c r="C93" s="4202"/>
      <c r="D93" s="4203"/>
      <c r="E93" s="4203"/>
      <c r="F93" s="4203"/>
      <c r="G93" s="400"/>
      <c r="H93" s="400"/>
      <c r="I93" s="401"/>
      <c r="J93" s="271">
        <v>101</v>
      </c>
      <c r="K93" s="242" t="s">
        <v>340</v>
      </c>
      <c r="L93" s="242" t="s">
        <v>341</v>
      </c>
      <c r="M93" s="244">
        <v>54</v>
      </c>
      <c r="N93" s="244">
        <v>0</v>
      </c>
      <c r="O93" s="372"/>
      <c r="P93" s="4004"/>
      <c r="Q93" s="4002"/>
      <c r="R93" s="315"/>
      <c r="S93" s="4107"/>
      <c r="T93" s="4002"/>
      <c r="U93" s="242" t="s">
        <v>342</v>
      </c>
      <c r="V93" s="250" t="s">
        <v>343</v>
      </c>
      <c r="W93" s="328"/>
      <c r="X93" s="328"/>
      <c r="Y93" s="328"/>
      <c r="Z93" s="4111"/>
      <c r="AA93" s="4198"/>
      <c r="AB93" s="4095"/>
      <c r="AC93" s="4082"/>
      <c r="AD93" s="4095"/>
      <c r="AE93" s="4082"/>
      <c r="AF93" s="4092"/>
      <c r="AG93" s="4111"/>
      <c r="AH93" s="4092"/>
      <c r="AI93" s="4111"/>
      <c r="AJ93" s="4092"/>
      <c r="AK93" s="4111"/>
      <c r="AL93" s="4092"/>
      <c r="AM93" s="4111"/>
      <c r="AN93" s="4092"/>
      <c r="AO93" s="4111"/>
      <c r="AP93" s="4092"/>
      <c r="AQ93" s="4111"/>
      <c r="AR93" s="4092"/>
      <c r="AS93" s="4111"/>
      <c r="AT93" s="4092"/>
      <c r="AU93" s="4111"/>
      <c r="AV93" s="4092"/>
      <c r="AW93" s="4111"/>
      <c r="AX93" s="4200"/>
      <c r="AY93" s="4113"/>
      <c r="AZ93" s="4200"/>
      <c r="BA93" s="4113"/>
      <c r="BB93" s="4200"/>
      <c r="BC93" s="4113"/>
      <c r="BD93" s="4200"/>
      <c r="BE93" s="4113"/>
      <c r="BF93" s="4207"/>
      <c r="BG93" s="4127"/>
      <c r="BH93" s="4127"/>
      <c r="BI93" s="4127"/>
      <c r="BJ93" s="4127"/>
      <c r="BK93" s="4127"/>
      <c r="BL93" s="4127"/>
      <c r="BM93" s="4127"/>
      <c r="BN93" s="4164"/>
      <c r="BO93" s="4164"/>
      <c r="BP93" s="4097"/>
      <c r="BQ93" s="4097"/>
      <c r="BR93" s="4201"/>
    </row>
    <row r="94" spans="1:70" s="162" customFormat="1" ht="70.5" customHeight="1" x14ac:dyDescent="0.25">
      <c r="A94" s="4202"/>
      <c r="B94" s="4202"/>
      <c r="C94" s="4202"/>
      <c r="D94" s="4203"/>
      <c r="E94" s="4203"/>
      <c r="F94" s="4203"/>
      <c r="G94" s="400"/>
      <c r="H94" s="400"/>
      <c r="I94" s="401"/>
      <c r="J94" s="332">
        <v>102</v>
      </c>
      <c r="K94" s="333" t="s">
        <v>344</v>
      </c>
      <c r="L94" s="333" t="s">
        <v>345</v>
      </c>
      <c r="M94" s="405">
        <v>1</v>
      </c>
      <c r="N94" s="256">
        <v>0</v>
      </c>
      <c r="O94" s="372"/>
      <c r="P94" s="4004"/>
      <c r="Q94" s="4002"/>
      <c r="R94" s="324"/>
      <c r="S94" s="4107"/>
      <c r="T94" s="4002"/>
      <c r="U94" s="333" t="s">
        <v>346</v>
      </c>
      <c r="V94" s="348" t="s">
        <v>347</v>
      </c>
      <c r="W94" s="406"/>
      <c r="X94" s="407"/>
      <c r="Y94" s="407"/>
      <c r="Z94" s="4058"/>
      <c r="AA94" s="4199"/>
      <c r="AB94" s="4095"/>
      <c r="AC94" s="4103"/>
      <c r="AD94" s="4095"/>
      <c r="AE94" s="4103"/>
      <c r="AF94" s="4092"/>
      <c r="AG94" s="4058"/>
      <c r="AH94" s="4092"/>
      <c r="AI94" s="4058"/>
      <c r="AJ94" s="4092"/>
      <c r="AK94" s="4058"/>
      <c r="AL94" s="4092"/>
      <c r="AM94" s="4058"/>
      <c r="AN94" s="4092"/>
      <c r="AO94" s="4058"/>
      <c r="AP94" s="4092"/>
      <c r="AQ94" s="4058"/>
      <c r="AR94" s="4092"/>
      <c r="AS94" s="4058"/>
      <c r="AT94" s="4092"/>
      <c r="AU94" s="4058"/>
      <c r="AV94" s="4092"/>
      <c r="AW94" s="4058"/>
      <c r="AX94" s="4200"/>
      <c r="AY94" s="4114"/>
      <c r="AZ94" s="4200"/>
      <c r="BA94" s="4114"/>
      <c r="BB94" s="4200"/>
      <c r="BC94" s="4114"/>
      <c r="BD94" s="4200"/>
      <c r="BE94" s="4114"/>
      <c r="BF94" s="4207"/>
      <c r="BG94" s="4128"/>
      <c r="BH94" s="4128"/>
      <c r="BI94" s="4128"/>
      <c r="BJ94" s="4128"/>
      <c r="BK94" s="4128"/>
      <c r="BL94" s="4128"/>
      <c r="BM94" s="4128"/>
      <c r="BN94" s="4165"/>
      <c r="BO94" s="4165"/>
      <c r="BP94" s="4134"/>
      <c r="BQ94" s="4134"/>
      <c r="BR94" s="4121"/>
    </row>
    <row r="95" spans="1:70" s="162" customFormat="1" ht="15.75" x14ac:dyDescent="0.25">
      <c r="A95" s="4202"/>
      <c r="B95" s="4202"/>
      <c r="C95" s="4202"/>
      <c r="D95" s="4203"/>
      <c r="E95" s="4203"/>
      <c r="F95" s="4203"/>
      <c r="G95" s="306">
        <v>24</v>
      </c>
      <c r="H95" s="181" t="s">
        <v>348</v>
      </c>
      <c r="I95" s="181"/>
      <c r="J95" s="181"/>
      <c r="K95" s="182"/>
      <c r="L95" s="182"/>
      <c r="M95" s="181"/>
      <c r="N95" s="181"/>
      <c r="O95" s="307"/>
      <c r="P95" s="181"/>
      <c r="Q95" s="368"/>
      <c r="R95" s="185"/>
      <c r="S95" s="408"/>
      <c r="T95" s="182"/>
      <c r="U95" s="182"/>
      <c r="V95" s="182"/>
      <c r="W95" s="182"/>
      <c r="X95" s="308"/>
      <c r="Y95" s="308"/>
      <c r="Z95" s="308"/>
      <c r="AA95" s="181"/>
      <c r="AB95" s="181"/>
      <c r="AC95" s="181"/>
      <c r="AD95" s="181"/>
      <c r="AE95" s="181"/>
      <c r="AF95" s="181"/>
      <c r="AG95" s="181"/>
      <c r="AH95" s="181"/>
      <c r="AI95" s="181"/>
      <c r="AJ95" s="181"/>
      <c r="AK95" s="181"/>
      <c r="AL95" s="181"/>
      <c r="AM95" s="181"/>
      <c r="AN95" s="181"/>
      <c r="AO95" s="181"/>
      <c r="AP95" s="181"/>
      <c r="AQ95" s="181"/>
      <c r="AR95" s="181"/>
      <c r="AS95" s="181"/>
      <c r="AT95" s="191"/>
      <c r="AU95" s="191"/>
      <c r="AV95" s="191"/>
      <c r="AW95" s="191"/>
      <c r="AX95" s="192"/>
      <c r="AY95" s="192"/>
      <c r="AZ95" s="192"/>
      <c r="BA95" s="192"/>
      <c r="BB95" s="192"/>
      <c r="BC95" s="192"/>
      <c r="BD95" s="192"/>
      <c r="BE95" s="192"/>
      <c r="BF95" s="192"/>
      <c r="BG95" s="192"/>
      <c r="BH95" s="192"/>
      <c r="BI95" s="192"/>
      <c r="BJ95" s="192"/>
      <c r="BK95" s="192"/>
      <c r="BL95" s="192"/>
      <c r="BM95" s="192"/>
      <c r="BN95" s="192"/>
      <c r="BO95" s="192"/>
      <c r="BP95" s="192"/>
      <c r="BQ95" s="192"/>
      <c r="BR95" s="192"/>
    </row>
    <row r="96" spans="1:70" s="162" customFormat="1" ht="68.25" customHeight="1" x14ac:dyDescent="0.25">
      <c r="A96" s="4202"/>
      <c r="B96" s="4202"/>
      <c r="C96" s="4202"/>
      <c r="D96" s="4203"/>
      <c r="E96" s="4203"/>
      <c r="F96" s="4203"/>
      <c r="G96" s="400"/>
      <c r="H96" s="400"/>
      <c r="I96" s="401"/>
      <c r="J96" s="266">
        <v>103</v>
      </c>
      <c r="K96" s="243" t="s">
        <v>349</v>
      </c>
      <c r="L96" s="243" t="s">
        <v>350</v>
      </c>
      <c r="M96" s="313">
        <v>1</v>
      </c>
      <c r="N96" s="244">
        <f>4+1</f>
        <v>5</v>
      </c>
      <c r="P96" s="4006" t="s">
        <v>351</v>
      </c>
      <c r="Q96" s="4040" t="s">
        <v>352</v>
      </c>
      <c r="R96" s="409">
        <f>+W96/S96</f>
        <v>1.3996309129478067E-2</v>
      </c>
      <c r="S96" s="4205">
        <f>SUM(W96:W103)</f>
        <v>709972887</v>
      </c>
      <c r="T96" s="4048" t="s">
        <v>353</v>
      </c>
      <c r="U96" s="4040" t="s">
        <v>354</v>
      </c>
      <c r="V96" s="410" t="s">
        <v>355</v>
      </c>
      <c r="W96" s="254">
        <v>9937000</v>
      </c>
      <c r="X96" s="411"/>
      <c r="Y96" s="411"/>
      <c r="Z96" s="412" t="s">
        <v>356</v>
      </c>
      <c r="AA96" s="270" t="s">
        <v>86</v>
      </c>
      <c r="AB96" s="4073">
        <v>20555</v>
      </c>
      <c r="AC96" s="4006">
        <v>20555</v>
      </c>
      <c r="AD96" s="4006">
        <v>21361</v>
      </c>
      <c r="AE96" s="4006">
        <v>21361</v>
      </c>
      <c r="AF96" s="4006">
        <v>30460</v>
      </c>
      <c r="AG96" s="4006">
        <v>30460</v>
      </c>
      <c r="AH96" s="4006">
        <v>9593</v>
      </c>
      <c r="AI96" s="4006">
        <v>9593</v>
      </c>
      <c r="AJ96" s="4006">
        <v>1762</v>
      </c>
      <c r="AK96" s="4006">
        <v>1762</v>
      </c>
      <c r="AL96" s="4006">
        <v>101</v>
      </c>
      <c r="AM96" s="4006">
        <v>101</v>
      </c>
      <c r="AN96" s="4006">
        <v>308</v>
      </c>
      <c r="AO96" s="4006">
        <v>308</v>
      </c>
      <c r="AP96" s="4006">
        <v>277</v>
      </c>
      <c r="AQ96" s="4006">
        <v>277</v>
      </c>
      <c r="AR96" s="4006">
        <v>0</v>
      </c>
      <c r="AS96" s="4006"/>
      <c r="AT96" s="4006">
        <v>0</v>
      </c>
      <c r="AU96" s="4006"/>
      <c r="AV96" s="4006">
        <v>0</v>
      </c>
      <c r="AW96" s="4006"/>
      <c r="AX96" s="4006">
        <v>0</v>
      </c>
      <c r="AY96" s="4006"/>
      <c r="AZ96" s="4006">
        <v>2907</v>
      </c>
      <c r="BA96" s="4006">
        <v>2907</v>
      </c>
      <c r="BB96" s="4006">
        <v>2589</v>
      </c>
      <c r="BC96" s="4006">
        <v>2589</v>
      </c>
      <c r="BD96" s="4006">
        <v>2954</v>
      </c>
      <c r="BE96" s="4006">
        <v>2954</v>
      </c>
      <c r="BF96" s="4006">
        <v>41916</v>
      </c>
      <c r="BG96" s="4006">
        <v>41916</v>
      </c>
      <c r="BH96" s="4006">
        <v>1</v>
      </c>
      <c r="BI96" s="4208">
        <f>SUM(X96:X103)</f>
        <v>522460770</v>
      </c>
      <c r="BJ96" s="4208">
        <f>SUM(Y96:Y103)</f>
        <v>242024510</v>
      </c>
      <c r="BK96" s="4209">
        <f>+BJ96/BI96</f>
        <v>0.46323958447636171</v>
      </c>
      <c r="BL96" s="4006" t="s">
        <v>357</v>
      </c>
      <c r="BM96" s="4006" t="s">
        <v>358</v>
      </c>
      <c r="BN96" s="4163">
        <v>43497</v>
      </c>
      <c r="BO96" s="4163">
        <v>43497</v>
      </c>
      <c r="BP96" s="4118">
        <v>43646</v>
      </c>
      <c r="BQ96" s="4118">
        <v>43646</v>
      </c>
      <c r="BR96" s="4118" t="s">
        <v>129</v>
      </c>
    </row>
    <row r="97" spans="1:70" s="162" customFormat="1" ht="56.25" customHeight="1" x14ac:dyDescent="0.25">
      <c r="A97" s="4202"/>
      <c r="B97" s="4202"/>
      <c r="C97" s="4202"/>
      <c r="D97" s="4203"/>
      <c r="E97" s="4203"/>
      <c r="F97" s="4203"/>
      <c r="G97" s="400"/>
      <c r="H97" s="400"/>
      <c r="I97" s="401"/>
      <c r="J97" s="4020">
        <v>104</v>
      </c>
      <c r="K97" s="4048" t="s">
        <v>359</v>
      </c>
      <c r="L97" s="4048" t="s">
        <v>360</v>
      </c>
      <c r="M97" s="4053">
        <v>50</v>
      </c>
      <c r="N97" s="4053">
        <v>54</v>
      </c>
      <c r="O97" s="413"/>
      <c r="P97" s="4004"/>
      <c r="Q97" s="4002"/>
      <c r="R97" s="4212">
        <f>(+W97+W98)/S96</f>
        <v>3.9936736344693684E-2</v>
      </c>
      <c r="S97" s="4013"/>
      <c r="T97" s="4049"/>
      <c r="U97" s="4002"/>
      <c r="V97" s="4048" t="s">
        <v>361</v>
      </c>
      <c r="W97" s="258">
        <v>9937000</v>
      </c>
      <c r="X97" s="353">
        <v>9924250</v>
      </c>
      <c r="Y97" s="353">
        <v>9924250</v>
      </c>
      <c r="Z97" s="412" t="s">
        <v>356</v>
      </c>
      <c r="AA97" s="270" t="s">
        <v>86</v>
      </c>
      <c r="AB97" s="4007"/>
      <c r="AC97" s="4004"/>
      <c r="AD97" s="4004"/>
      <c r="AE97" s="4004"/>
      <c r="AF97" s="4004"/>
      <c r="AG97" s="4004"/>
      <c r="AH97" s="4004"/>
      <c r="AI97" s="4004"/>
      <c r="AJ97" s="4004"/>
      <c r="AK97" s="4004"/>
      <c r="AL97" s="4004"/>
      <c r="AM97" s="4004"/>
      <c r="AN97" s="4004"/>
      <c r="AO97" s="4004"/>
      <c r="AP97" s="4004"/>
      <c r="AQ97" s="4004"/>
      <c r="AR97" s="4004"/>
      <c r="AS97" s="4004"/>
      <c r="AT97" s="4004"/>
      <c r="AU97" s="4004"/>
      <c r="AV97" s="4004"/>
      <c r="AW97" s="4004"/>
      <c r="AX97" s="4004"/>
      <c r="AY97" s="4004"/>
      <c r="AZ97" s="4004"/>
      <c r="BA97" s="4004"/>
      <c r="BB97" s="4004"/>
      <c r="BC97" s="4004"/>
      <c r="BD97" s="4004"/>
      <c r="BE97" s="4004"/>
      <c r="BF97" s="4004"/>
      <c r="BG97" s="4004"/>
      <c r="BH97" s="4004"/>
      <c r="BI97" s="4004"/>
      <c r="BJ97" s="4004"/>
      <c r="BK97" s="4210"/>
      <c r="BL97" s="4004"/>
      <c r="BM97" s="4004"/>
      <c r="BN97" s="4164"/>
      <c r="BO97" s="4164"/>
      <c r="BP97" s="4119"/>
      <c r="BQ97" s="4119"/>
      <c r="BR97" s="4119"/>
    </row>
    <row r="98" spans="1:70" s="162" customFormat="1" ht="33.75" customHeight="1" x14ac:dyDescent="0.25">
      <c r="A98" s="4202"/>
      <c r="B98" s="4202"/>
      <c r="C98" s="4202"/>
      <c r="D98" s="4203"/>
      <c r="E98" s="4203"/>
      <c r="F98" s="4203"/>
      <c r="G98" s="400"/>
      <c r="H98" s="400"/>
      <c r="I98" s="401"/>
      <c r="J98" s="4021"/>
      <c r="K98" s="4050"/>
      <c r="L98" s="4050"/>
      <c r="M98" s="4054"/>
      <c r="N98" s="4054"/>
      <c r="O98" s="413"/>
      <c r="P98" s="4004"/>
      <c r="Q98" s="4002"/>
      <c r="R98" s="4180"/>
      <c r="S98" s="4013"/>
      <c r="T98" s="4049"/>
      <c r="U98" s="4002"/>
      <c r="V98" s="4050"/>
      <c r="W98" s="353">
        <f>0+18417000</f>
        <v>18417000</v>
      </c>
      <c r="X98" s="353"/>
      <c r="Y98" s="353"/>
      <c r="Z98" s="412">
        <v>88</v>
      </c>
      <c r="AA98" s="270" t="s">
        <v>362</v>
      </c>
      <c r="AB98" s="4007"/>
      <c r="AC98" s="4004"/>
      <c r="AD98" s="4004"/>
      <c r="AE98" s="4004"/>
      <c r="AF98" s="4004"/>
      <c r="AG98" s="4004"/>
      <c r="AH98" s="4004"/>
      <c r="AI98" s="4004"/>
      <c r="AJ98" s="4004"/>
      <c r="AK98" s="4004"/>
      <c r="AL98" s="4004"/>
      <c r="AM98" s="4004"/>
      <c r="AN98" s="4004"/>
      <c r="AO98" s="4004"/>
      <c r="AP98" s="4004"/>
      <c r="AQ98" s="4004"/>
      <c r="AR98" s="4004"/>
      <c r="AS98" s="4004"/>
      <c r="AT98" s="4004"/>
      <c r="AU98" s="4004"/>
      <c r="AV98" s="4004"/>
      <c r="AW98" s="4004"/>
      <c r="AX98" s="4004"/>
      <c r="AY98" s="4004"/>
      <c r="AZ98" s="4004"/>
      <c r="BA98" s="4004"/>
      <c r="BB98" s="4004"/>
      <c r="BC98" s="4004"/>
      <c r="BD98" s="4004"/>
      <c r="BE98" s="4004"/>
      <c r="BF98" s="4004"/>
      <c r="BG98" s="4004"/>
      <c r="BH98" s="4004"/>
      <c r="BI98" s="4004"/>
      <c r="BJ98" s="4004"/>
      <c r="BK98" s="4210"/>
      <c r="BL98" s="4004"/>
      <c r="BM98" s="4004"/>
      <c r="BN98" s="4164"/>
      <c r="BO98" s="4164"/>
      <c r="BP98" s="4119"/>
      <c r="BQ98" s="4119"/>
      <c r="BR98" s="4119"/>
    </row>
    <row r="99" spans="1:70" s="162" customFormat="1" ht="47.25" customHeight="1" x14ac:dyDescent="0.25">
      <c r="A99" s="4202"/>
      <c r="B99" s="4202"/>
      <c r="C99" s="4202"/>
      <c r="D99" s="4203"/>
      <c r="E99" s="4203"/>
      <c r="F99" s="4203"/>
      <c r="G99" s="400"/>
      <c r="H99" s="400"/>
      <c r="I99" s="401"/>
      <c r="J99" s="4020">
        <v>105</v>
      </c>
      <c r="K99" s="4048" t="s">
        <v>363</v>
      </c>
      <c r="L99" s="4006" t="s">
        <v>360</v>
      </c>
      <c r="M99" s="4053">
        <v>47</v>
      </c>
      <c r="N99" s="4213">
        <v>49</v>
      </c>
      <c r="O99" s="413" t="s">
        <v>364</v>
      </c>
      <c r="P99" s="4004"/>
      <c r="Q99" s="4002"/>
      <c r="R99" s="4216">
        <f>(+W99+W100)/S96</f>
        <v>0.87564172996369649</v>
      </c>
      <c r="S99" s="4013"/>
      <c r="T99" s="4049"/>
      <c r="U99" s="4002"/>
      <c r="V99" s="4100" t="s">
        <v>365</v>
      </c>
      <c r="W99" s="353">
        <v>9937000</v>
      </c>
      <c r="X99" s="353"/>
      <c r="Y99" s="353"/>
      <c r="Z99" s="412" t="s">
        <v>356</v>
      </c>
      <c r="AA99" s="414" t="s">
        <v>86</v>
      </c>
      <c r="AB99" s="4007"/>
      <c r="AC99" s="4004"/>
      <c r="AD99" s="4004"/>
      <c r="AE99" s="4004"/>
      <c r="AF99" s="4004"/>
      <c r="AG99" s="4004"/>
      <c r="AH99" s="4004"/>
      <c r="AI99" s="4004"/>
      <c r="AJ99" s="4004"/>
      <c r="AK99" s="4004"/>
      <c r="AL99" s="4004"/>
      <c r="AM99" s="4004"/>
      <c r="AN99" s="4004"/>
      <c r="AO99" s="4004"/>
      <c r="AP99" s="4004"/>
      <c r="AQ99" s="4004"/>
      <c r="AR99" s="4004"/>
      <c r="AS99" s="4004"/>
      <c r="AT99" s="4004"/>
      <c r="AU99" s="4004"/>
      <c r="AV99" s="4004"/>
      <c r="AW99" s="4004"/>
      <c r="AX99" s="4004"/>
      <c r="AY99" s="4004"/>
      <c r="AZ99" s="4004"/>
      <c r="BA99" s="4004"/>
      <c r="BB99" s="4004"/>
      <c r="BC99" s="4004"/>
      <c r="BD99" s="4004"/>
      <c r="BE99" s="4004"/>
      <c r="BF99" s="4004"/>
      <c r="BG99" s="4004"/>
      <c r="BH99" s="4004"/>
      <c r="BI99" s="4004"/>
      <c r="BJ99" s="4004"/>
      <c r="BK99" s="4210"/>
      <c r="BL99" s="4004"/>
      <c r="BM99" s="4004"/>
      <c r="BN99" s="4164"/>
      <c r="BO99" s="4164"/>
      <c r="BP99" s="4119"/>
      <c r="BQ99" s="4119"/>
      <c r="BR99" s="4119"/>
    </row>
    <row r="100" spans="1:70" s="162" customFormat="1" ht="42.75" customHeight="1" x14ac:dyDescent="0.25">
      <c r="A100" s="4202"/>
      <c r="B100" s="4202"/>
      <c r="C100" s="4202"/>
      <c r="D100" s="4203"/>
      <c r="E100" s="4203"/>
      <c r="F100" s="4203"/>
      <c r="G100" s="400"/>
      <c r="H100" s="400"/>
      <c r="I100" s="401"/>
      <c r="J100" s="4019"/>
      <c r="K100" s="4049"/>
      <c r="L100" s="4004"/>
      <c r="M100" s="4173"/>
      <c r="N100" s="4214"/>
      <c r="O100" s="415" t="s">
        <v>366</v>
      </c>
      <c r="P100" s="4004"/>
      <c r="Q100" s="4002"/>
      <c r="R100" s="4217"/>
      <c r="S100" s="4013"/>
      <c r="T100" s="4049"/>
      <c r="U100" s="4002"/>
      <c r="V100" s="4059"/>
      <c r="W100" s="4219">
        <v>611744887</v>
      </c>
      <c r="X100" s="4219">
        <v>464200520</v>
      </c>
      <c r="Y100" s="4219">
        <v>232100260</v>
      </c>
      <c r="Z100" s="4025">
        <v>88</v>
      </c>
      <c r="AA100" s="4221" t="s">
        <v>362</v>
      </c>
      <c r="AB100" s="4007"/>
      <c r="AC100" s="4004"/>
      <c r="AD100" s="4004"/>
      <c r="AE100" s="4004"/>
      <c r="AF100" s="4004"/>
      <c r="AG100" s="4004"/>
      <c r="AH100" s="4004"/>
      <c r="AI100" s="4004"/>
      <c r="AJ100" s="4004"/>
      <c r="AK100" s="4004"/>
      <c r="AL100" s="4004"/>
      <c r="AM100" s="4004"/>
      <c r="AN100" s="4004"/>
      <c r="AO100" s="4004"/>
      <c r="AP100" s="4004"/>
      <c r="AQ100" s="4004"/>
      <c r="AR100" s="4004"/>
      <c r="AS100" s="4004"/>
      <c r="AT100" s="4004"/>
      <c r="AU100" s="4004"/>
      <c r="AV100" s="4004"/>
      <c r="AW100" s="4004"/>
      <c r="AX100" s="4004"/>
      <c r="AY100" s="4004"/>
      <c r="AZ100" s="4004"/>
      <c r="BA100" s="4004"/>
      <c r="BB100" s="4004"/>
      <c r="BC100" s="4004"/>
      <c r="BD100" s="4004"/>
      <c r="BE100" s="4004"/>
      <c r="BF100" s="4004"/>
      <c r="BG100" s="4004"/>
      <c r="BH100" s="4004"/>
      <c r="BI100" s="4004"/>
      <c r="BJ100" s="4004"/>
      <c r="BK100" s="4210"/>
      <c r="BL100" s="4004"/>
      <c r="BM100" s="4004"/>
      <c r="BN100" s="4164"/>
      <c r="BO100" s="4164"/>
      <c r="BP100" s="4119"/>
      <c r="BQ100" s="4119"/>
      <c r="BR100" s="4119"/>
    </row>
    <row r="101" spans="1:70" s="162" customFormat="1" ht="54" customHeight="1" x14ac:dyDescent="0.25">
      <c r="A101" s="4202"/>
      <c r="B101" s="4202"/>
      <c r="C101" s="4202"/>
      <c r="D101" s="4203"/>
      <c r="E101" s="4203"/>
      <c r="F101" s="4203"/>
      <c r="G101" s="400"/>
      <c r="H101" s="400"/>
      <c r="I101" s="401"/>
      <c r="J101" s="4021"/>
      <c r="K101" s="4050"/>
      <c r="L101" s="4005"/>
      <c r="M101" s="4054"/>
      <c r="N101" s="4215"/>
      <c r="O101" s="415"/>
      <c r="P101" s="4004"/>
      <c r="Q101" s="4002"/>
      <c r="R101" s="4218"/>
      <c r="S101" s="4013"/>
      <c r="T101" s="4049"/>
      <c r="U101" s="4002"/>
      <c r="V101" s="4060"/>
      <c r="W101" s="4220"/>
      <c r="X101" s="4220"/>
      <c r="Y101" s="4220"/>
      <c r="Z101" s="4026"/>
      <c r="AA101" s="4222"/>
      <c r="AB101" s="4007"/>
      <c r="AC101" s="4004"/>
      <c r="AD101" s="4004"/>
      <c r="AE101" s="4004"/>
      <c r="AF101" s="4004"/>
      <c r="AG101" s="4004"/>
      <c r="AH101" s="4004"/>
      <c r="AI101" s="4004"/>
      <c r="AJ101" s="4004"/>
      <c r="AK101" s="4004"/>
      <c r="AL101" s="4004"/>
      <c r="AM101" s="4004"/>
      <c r="AN101" s="4004"/>
      <c r="AO101" s="4004"/>
      <c r="AP101" s="4004"/>
      <c r="AQ101" s="4004"/>
      <c r="AR101" s="4004"/>
      <c r="AS101" s="4004"/>
      <c r="AT101" s="4004"/>
      <c r="AU101" s="4004"/>
      <c r="AV101" s="4004"/>
      <c r="AW101" s="4004"/>
      <c r="AX101" s="4004"/>
      <c r="AY101" s="4004"/>
      <c r="AZ101" s="4004"/>
      <c r="BA101" s="4004"/>
      <c r="BB101" s="4004"/>
      <c r="BC101" s="4004"/>
      <c r="BD101" s="4004"/>
      <c r="BE101" s="4004"/>
      <c r="BF101" s="4004"/>
      <c r="BG101" s="4004"/>
      <c r="BH101" s="4004"/>
      <c r="BI101" s="4004"/>
      <c r="BJ101" s="4004"/>
      <c r="BK101" s="4210"/>
      <c r="BL101" s="4004"/>
      <c r="BM101" s="4004"/>
      <c r="BN101" s="4164"/>
      <c r="BO101" s="4164"/>
      <c r="BP101" s="4119"/>
      <c r="BQ101" s="4119"/>
      <c r="BR101" s="4119"/>
    </row>
    <row r="102" spans="1:70" s="162" customFormat="1" ht="33" customHeight="1" x14ac:dyDescent="0.25">
      <c r="A102" s="4202"/>
      <c r="B102" s="4202"/>
      <c r="C102" s="4202"/>
      <c r="D102" s="4203"/>
      <c r="E102" s="4203"/>
      <c r="F102" s="4203"/>
      <c r="G102" s="400"/>
      <c r="H102" s="400"/>
      <c r="I102" s="401"/>
      <c r="J102" s="4020">
        <v>106</v>
      </c>
      <c r="K102" s="4048" t="s">
        <v>367</v>
      </c>
      <c r="L102" s="4048" t="s">
        <v>368</v>
      </c>
      <c r="M102" s="4020">
        <v>1</v>
      </c>
      <c r="N102" s="4020">
        <v>0.5</v>
      </c>
      <c r="O102" s="413"/>
      <c r="P102" s="4004"/>
      <c r="Q102" s="4002"/>
      <c r="R102" s="4212">
        <f>(+W102+W103)/S96</f>
        <v>7.0425224562131766E-2</v>
      </c>
      <c r="S102" s="4013"/>
      <c r="T102" s="4049"/>
      <c r="U102" s="4002"/>
      <c r="V102" s="4100" t="s">
        <v>369</v>
      </c>
      <c r="W102" s="238">
        <v>15900000</v>
      </c>
      <c r="X102" s="238">
        <v>14236000</v>
      </c>
      <c r="Y102" s="238"/>
      <c r="Z102" s="201" t="s">
        <v>356</v>
      </c>
      <c r="AA102" s="207" t="s">
        <v>86</v>
      </c>
      <c r="AB102" s="4007"/>
      <c r="AC102" s="4004"/>
      <c r="AD102" s="4004"/>
      <c r="AE102" s="4004"/>
      <c r="AF102" s="4004"/>
      <c r="AG102" s="4004"/>
      <c r="AH102" s="4004"/>
      <c r="AI102" s="4004"/>
      <c r="AJ102" s="4004"/>
      <c r="AK102" s="4004"/>
      <c r="AL102" s="4004"/>
      <c r="AM102" s="4004"/>
      <c r="AN102" s="4004"/>
      <c r="AO102" s="4004"/>
      <c r="AP102" s="4004"/>
      <c r="AQ102" s="4004"/>
      <c r="AR102" s="4004"/>
      <c r="AS102" s="4004"/>
      <c r="AT102" s="4004"/>
      <c r="AU102" s="4004"/>
      <c r="AV102" s="4004"/>
      <c r="AW102" s="4004"/>
      <c r="AX102" s="4004"/>
      <c r="AY102" s="4004"/>
      <c r="AZ102" s="4004"/>
      <c r="BA102" s="4004"/>
      <c r="BB102" s="4004"/>
      <c r="BC102" s="4004"/>
      <c r="BD102" s="4004"/>
      <c r="BE102" s="4004"/>
      <c r="BF102" s="4004"/>
      <c r="BG102" s="4004"/>
      <c r="BH102" s="4004"/>
      <c r="BI102" s="4004"/>
      <c r="BJ102" s="4004"/>
      <c r="BK102" s="4210"/>
      <c r="BL102" s="4004"/>
      <c r="BM102" s="4004"/>
      <c r="BN102" s="4164"/>
      <c r="BO102" s="4164"/>
      <c r="BP102" s="4119"/>
      <c r="BQ102" s="4119"/>
      <c r="BR102" s="4119"/>
    </row>
    <row r="103" spans="1:70" s="162" customFormat="1" ht="45" customHeight="1" x14ac:dyDescent="0.25">
      <c r="A103" s="4202"/>
      <c r="B103" s="4202"/>
      <c r="C103" s="4202"/>
      <c r="D103" s="4203"/>
      <c r="E103" s="4203"/>
      <c r="F103" s="4203"/>
      <c r="G103" s="400"/>
      <c r="H103" s="400"/>
      <c r="I103" s="400"/>
      <c r="J103" s="4021"/>
      <c r="K103" s="4050"/>
      <c r="L103" s="4050"/>
      <c r="M103" s="4021"/>
      <c r="N103" s="4021"/>
      <c r="O103" s="416"/>
      <c r="P103" s="417"/>
      <c r="Q103" s="259"/>
      <c r="R103" s="4180"/>
      <c r="S103" s="4206"/>
      <c r="T103" s="418"/>
      <c r="U103" s="259"/>
      <c r="V103" s="4060"/>
      <c r="W103" s="238">
        <f>0+34100000</f>
        <v>34100000</v>
      </c>
      <c r="X103" s="238">
        <v>34100000</v>
      </c>
      <c r="Y103" s="238"/>
      <c r="Z103" s="201">
        <v>88</v>
      </c>
      <c r="AA103" s="207" t="s">
        <v>362</v>
      </c>
      <c r="AB103" s="4078"/>
      <c r="AC103" s="4005"/>
      <c r="AD103" s="4005"/>
      <c r="AE103" s="4005"/>
      <c r="AF103" s="4005"/>
      <c r="AG103" s="4005"/>
      <c r="AH103" s="4005"/>
      <c r="AI103" s="4005"/>
      <c r="AJ103" s="4005"/>
      <c r="AK103" s="4005"/>
      <c r="AL103" s="4005"/>
      <c r="AM103" s="4005"/>
      <c r="AN103" s="4005"/>
      <c r="AO103" s="4005"/>
      <c r="AP103" s="4005"/>
      <c r="AQ103" s="4005"/>
      <c r="AR103" s="4005"/>
      <c r="AS103" s="4005"/>
      <c r="AT103" s="4005"/>
      <c r="AU103" s="4005"/>
      <c r="AV103" s="4005"/>
      <c r="AW103" s="4005"/>
      <c r="AX103" s="4005"/>
      <c r="AY103" s="4005"/>
      <c r="AZ103" s="4005"/>
      <c r="BA103" s="4005"/>
      <c r="BB103" s="4005"/>
      <c r="BC103" s="4005"/>
      <c r="BD103" s="4005"/>
      <c r="BE103" s="4005"/>
      <c r="BF103" s="4005"/>
      <c r="BG103" s="4005"/>
      <c r="BH103" s="4005"/>
      <c r="BI103" s="4005"/>
      <c r="BJ103" s="4005"/>
      <c r="BK103" s="4211"/>
      <c r="BL103" s="4005"/>
      <c r="BM103" s="4005"/>
      <c r="BN103" s="4165"/>
      <c r="BO103" s="4165"/>
      <c r="BP103" s="4120"/>
      <c r="BQ103" s="4120"/>
      <c r="BR103" s="4120"/>
    </row>
    <row r="104" spans="1:70" s="162" customFormat="1" ht="41.25" customHeight="1" x14ac:dyDescent="0.25">
      <c r="A104" s="4202"/>
      <c r="B104" s="4202"/>
      <c r="C104" s="4202"/>
      <c r="D104" s="4203"/>
      <c r="E104" s="4203"/>
      <c r="F104" s="4203"/>
      <c r="G104" s="400"/>
      <c r="H104" s="400"/>
      <c r="I104" s="400"/>
      <c r="J104" s="4225">
        <v>107</v>
      </c>
      <c r="K104" s="4224" t="s">
        <v>370</v>
      </c>
      <c r="L104" s="4224" t="s">
        <v>371</v>
      </c>
      <c r="M104" s="4225">
        <v>1</v>
      </c>
      <c r="N104" s="4020">
        <v>0.5</v>
      </c>
      <c r="O104" s="419"/>
      <c r="P104" s="4226" t="s">
        <v>372</v>
      </c>
      <c r="Q104" s="4226" t="s">
        <v>373</v>
      </c>
      <c r="R104" s="4227">
        <f>SUM(W104:W107)/S104</f>
        <v>1</v>
      </c>
      <c r="S104" s="4223">
        <f>SUM(W104:W107)</f>
        <v>1294717884</v>
      </c>
      <c r="T104" s="4224" t="s">
        <v>353</v>
      </c>
      <c r="U104" s="4224" t="s">
        <v>354</v>
      </c>
      <c r="V104" s="4145" t="s">
        <v>374</v>
      </c>
      <c r="W104" s="420">
        <v>150000000</v>
      </c>
      <c r="X104" s="420">
        <v>43960526</v>
      </c>
      <c r="Y104" s="420">
        <v>43960526</v>
      </c>
      <c r="Z104" s="362">
        <v>35</v>
      </c>
      <c r="AA104" s="363" t="s">
        <v>375</v>
      </c>
      <c r="AB104" s="4090">
        <v>20555</v>
      </c>
      <c r="AC104" s="4018">
        <v>20555</v>
      </c>
      <c r="AD104" s="4225">
        <v>21361</v>
      </c>
      <c r="AE104" s="4020">
        <v>21361</v>
      </c>
      <c r="AF104" s="4230">
        <v>30460</v>
      </c>
      <c r="AG104" s="4160">
        <v>30460</v>
      </c>
      <c r="AH104" s="4231">
        <v>9593</v>
      </c>
      <c r="AI104" s="4157">
        <v>9593</v>
      </c>
      <c r="AJ104" s="4230">
        <v>1762</v>
      </c>
      <c r="AK104" s="4160">
        <v>1762</v>
      </c>
      <c r="AL104" s="4231">
        <v>101</v>
      </c>
      <c r="AM104" s="4157">
        <v>101</v>
      </c>
      <c r="AN104" s="4231">
        <v>308</v>
      </c>
      <c r="AO104" s="4157">
        <v>308</v>
      </c>
      <c r="AP104" s="4230">
        <v>277</v>
      </c>
      <c r="AQ104" s="4160">
        <v>277</v>
      </c>
      <c r="AR104" s="4231">
        <v>0</v>
      </c>
      <c r="AS104" s="4157"/>
      <c r="AT104" s="4231">
        <v>0</v>
      </c>
      <c r="AU104" s="4157"/>
      <c r="AV104" s="4231">
        <v>0</v>
      </c>
      <c r="AW104" s="4157"/>
      <c r="AX104" s="4232">
        <v>0</v>
      </c>
      <c r="AY104" s="4233"/>
      <c r="AZ104" s="4232">
        <v>2907</v>
      </c>
      <c r="BA104" s="4233">
        <v>2907</v>
      </c>
      <c r="BB104" s="4232">
        <v>2589</v>
      </c>
      <c r="BC104" s="4233">
        <v>2589</v>
      </c>
      <c r="BD104" s="4232">
        <v>2954</v>
      </c>
      <c r="BE104" s="4233">
        <v>2954</v>
      </c>
      <c r="BF104" s="4242">
        <v>41916</v>
      </c>
      <c r="BG104" s="4133">
        <v>41916</v>
      </c>
      <c r="BH104" s="4133">
        <v>3</v>
      </c>
      <c r="BI104" s="4238">
        <f>SUM(X104:X107)</f>
        <v>1143960526</v>
      </c>
      <c r="BJ104" s="4238">
        <f>SUM(Y104:Y107)</f>
        <v>1143960526</v>
      </c>
      <c r="BK104" s="4239">
        <f>BJ104/BI104</f>
        <v>1</v>
      </c>
      <c r="BL104" s="4133" t="s">
        <v>376</v>
      </c>
      <c r="BM104" s="4133" t="s">
        <v>358</v>
      </c>
      <c r="BN104" s="4163">
        <v>43466</v>
      </c>
      <c r="BO104" s="4163">
        <v>43466</v>
      </c>
      <c r="BP104" s="4163">
        <v>43497</v>
      </c>
      <c r="BQ104" s="4163">
        <v>43497</v>
      </c>
      <c r="BR104" s="4201" t="s">
        <v>129</v>
      </c>
    </row>
    <row r="105" spans="1:70" s="162" customFormat="1" ht="32.25" customHeight="1" x14ac:dyDescent="0.25">
      <c r="A105" s="4202"/>
      <c r="B105" s="4202"/>
      <c r="C105" s="4202"/>
      <c r="D105" s="4203"/>
      <c r="E105" s="4203"/>
      <c r="F105" s="4203"/>
      <c r="G105" s="400"/>
      <c r="H105" s="400"/>
      <c r="I105" s="400"/>
      <c r="J105" s="4225"/>
      <c r="K105" s="4224"/>
      <c r="L105" s="4224"/>
      <c r="M105" s="4225"/>
      <c r="N105" s="4019"/>
      <c r="O105" s="421" t="s">
        <v>377</v>
      </c>
      <c r="P105" s="4226"/>
      <c r="Q105" s="4226"/>
      <c r="R105" s="4228"/>
      <c r="S105" s="4223"/>
      <c r="T105" s="4224"/>
      <c r="U105" s="4224"/>
      <c r="V105" s="4146"/>
      <c r="W105" s="422">
        <v>44717884</v>
      </c>
      <c r="X105" s="422"/>
      <c r="Y105" s="422"/>
      <c r="Z105" s="344">
        <v>20</v>
      </c>
      <c r="AA105" s="270" t="s">
        <v>378</v>
      </c>
      <c r="AB105" s="4090"/>
      <c r="AC105" s="4000"/>
      <c r="AD105" s="4225"/>
      <c r="AE105" s="4019"/>
      <c r="AF105" s="4230"/>
      <c r="AG105" s="4161"/>
      <c r="AH105" s="4231"/>
      <c r="AI105" s="4158"/>
      <c r="AJ105" s="4230"/>
      <c r="AK105" s="4161"/>
      <c r="AL105" s="4231"/>
      <c r="AM105" s="4158"/>
      <c r="AN105" s="4231"/>
      <c r="AO105" s="4158"/>
      <c r="AP105" s="4230"/>
      <c r="AQ105" s="4161"/>
      <c r="AR105" s="4231"/>
      <c r="AS105" s="4158"/>
      <c r="AT105" s="4231"/>
      <c r="AU105" s="4158"/>
      <c r="AV105" s="4231"/>
      <c r="AW105" s="4158"/>
      <c r="AX105" s="4232"/>
      <c r="AY105" s="4234"/>
      <c r="AZ105" s="4232"/>
      <c r="BA105" s="4234"/>
      <c r="BB105" s="4232"/>
      <c r="BC105" s="4234"/>
      <c r="BD105" s="4232"/>
      <c r="BE105" s="4234"/>
      <c r="BF105" s="4242"/>
      <c r="BG105" s="4236"/>
      <c r="BH105" s="4236"/>
      <c r="BI105" s="4236"/>
      <c r="BJ105" s="4236"/>
      <c r="BK105" s="4240"/>
      <c r="BL105" s="4236"/>
      <c r="BM105" s="4236"/>
      <c r="BN105" s="4164"/>
      <c r="BO105" s="4164"/>
      <c r="BP105" s="4164"/>
      <c r="BQ105" s="4164"/>
      <c r="BR105" s="4201"/>
    </row>
    <row r="106" spans="1:70" s="162" customFormat="1" ht="46.5" customHeight="1" x14ac:dyDescent="0.25">
      <c r="A106" s="4202"/>
      <c r="B106" s="4202"/>
      <c r="C106" s="4202"/>
      <c r="D106" s="4203"/>
      <c r="E106" s="4203"/>
      <c r="F106" s="4203"/>
      <c r="G106" s="400"/>
      <c r="H106" s="400"/>
      <c r="I106" s="400"/>
      <c r="J106" s="4225"/>
      <c r="K106" s="4224"/>
      <c r="L106" s="4224"/>
      <c r="M106" s="4225"/>
      <c r="N106" s="4019"/>
      <c r="O106" s="417" t="s">
        <v>379</v>
      </c>
      <c r="P106" s="4226"/>
      <c r="Q106" s="4226"/>
      <c r="R106" s="4228"/>
      <c r="S106" s="4223"/>
      <c r="T106" s="4224"/>
      <c r="U106" s="4224"/>
      <c r="V106" s="423" t="s">
        <v>380</v>
      </c>
      <c r="W106" s="422">
        <v>1000000000</v>
      </c>
      <c r="X106" s="422">
        <v>1000000000</v>
      </c>
      <c r="Y106" s="422">
        <v>1000000000</v>
      </c>
      <c r="Z106" s="201">
        <v>88</v>
      </c>
      <c r="AA106" s="207" t="s">
        <v>362</v>
      </c>
      <c r="AB106" s="4090"/>
      <c r="AC106" s="4000"/>
      <c r="AD106" s="4225"/>
      <c r="AE106" s="4019"/>
      <c r="AF106" s="4230"/>
      <c r="AG106" s="4161"/>
      <c r="AH106" s="4231"/>
      <c r="AI106" s="4158"/>
      <c r="AJ106" s="4230"/>
      <c r="AK106" s="4161"/>
      <c r="AL106" s="4231"/>
      <c r="AM106" s="4158"/>
      <c r="AN106" s="4231"/>
      <c r="AO106" s="4158"/>
      <c r="AP106" s="4230"/>
      <c r="AQ106" s="4161"/>
      <c r="AR106" s="4231"/>
      <c r="AS106" s="4158"/>
      <c r="AT106" s="4231"/>
      <c r="AU106" s="4158"/>
      <c r="AV106" s="4231"/>
      <c r="AW106" s="4158"/>
      <c r="AX106" s="4232"/>
      <c r="AY106" s="4234"/>
      <c r="AZ106" s="4232"/>
      <c r="BA106" s="4234"/>
      <c r="BB106" s="4232"/>
      <c r="BC106" s="4234"/>
      <c r="BD106" s="4232"/>
      <c r="BE106" s="4234"/>
      <c r="BF106" s="4242"/>
      <c r="BG106" s="4236"/>
      <c r="BH106" s="4236"/>
      <c r="BI106" s="4236"/>
      <c r="BJ106" s="4236"/>
      <c r="BK106" s="4240"/>
      <c r="BL106" s="4236"/>
      <c r="BM106" s="4236"/>
      <c r="BN106" s="4164"/>
      <c r="BO106" s="4164"/>
      <c r="BP106" s="4164"/>
      <c r="BQ106" s="4164"/>
      <c r="BR106" s="4201"/>
    </row>
    <row r="107" spans="1:70" s="162" customFormat="1" ht="76.5" customHeight="1" x14ac:dyDescent="0.25">
      <c r="A107" s="4202"/>
      <c r="B107" s="4202"/>
      <c r="C107" s="4202"/>
      <c r="D107" s="4204"/>
      <c r="E107" s="4204"/>
      <c r="F107" s="4204"/>
      <c r="G107" s="400"/>
      <c r="H107" s="400"/>
      <c r="I107" s="400"/>
      <c r="J107" s="4225"/>
      <c r="K107" s="4224"/>
      <c r="L107" s="4224"/>
      <c r="M107" s="4225"/>
      <c r="N107" s="4021"/>
      <c r="O107" s="424" t="s">
        <v>381</v>
      </c>
      <c r="P107" s="4226"/>
      <c r="Q107" s="4226"/>
      <c r="R107" s="4229"/>
      <c r="S107" s="4223"/>
      <c r="T107" s="4224"/>
      <c r="U107" s="4224"/>
      <c r="V107" s="253" t="s">
        <v>382</v>
      </c>
      <c r="W107" s="350">
        <v>100000000</v>
      </c>
      <c r="X107" s="350">
        <v>100000000</v>
      </c>
      <c r="Y107" s="350">
        <v>100000000</v>
      </c>
      <c r="Z107" s="344">
        <v>20</v>
      </c>
      <c r="AA107" s="270" t="s">
        <v>378</v>
      </c>
      <c r="AB107" s="4090"/>
      <c r="AC107" s="4001"/>
      <c r="AD107" s="4225"/>
      <c r="AE107" s="4021"/>
      <c r="AF107" s="4230"/>
      <c r="AG107" s="4162"/>
      <c r="AH107" s="4231"/>
      <c r="AI107" s="4159"/>
      <c r="AJ107" s="4230"/>
      <c r="AK107" s="4162"/>
      <c r="AL107" s="4231"/>
      <c r="AM107" s="4159"/>
      <c r="AN107" s="4231"/>
      <c r="AO107" s="4159"/>
      <c r="AP107" s="4230"/>
      <c r="AQ107" s="4162"/>
      <c r="AR107" s="4231"/>
      <c r="AS107" s="4159"/>
      <c r="AT107" s="4231"/>
      <c r="AU107" s="4159"/>
      <c r="AV107" s="4231"/>
      <c r="AW107" s="4159"/>
      <c r="AX107" s="4232"/>
      <c r="AY107" s="4235"/>
      <c r="AZ107" s="4232"/>
      <c r="BA107" s="4235"/>
      <c r="BB107" s="4232"/>
      <c r="BC107" s="4235"/>
      <c r="BD107" s="4232"/>
      <c r="BE107" s="4235"/>
      <c r="BF107" s="4242"/>
      <c r="BG107" s="4237"/>
      <c r="BH107" s="4237"/>
      <c r="BI107" s="4237"/>
      <c r="BJ107" s="4237"/>
      <c r="BK107" s="4241"/>
      <c r="BL107" s="4237"/>
      <c r="BM107" s="4237"/>
      <c r="BN107" s="4165"/>
      <c r="BO107" s="4165"/>
      <c r="BP107" s="4165"/>
      <c r="BQ107" s="4165"/>
      <c r="BR107" s="4201"/>
    </row>
    <row r="108" spans="1:70" s="162" customFormat="1" ht="15.75" x14ac:dyDescent="0.25">
      <c r="A108" s="378"/>
      <c r="B108" s="379"/>
      <c r="C108" s="380"/>
      <c r="D108" s="292">
        <v>8</v>
      </c>
      <c r="E108" s="293" t="s">
        <v>383</v>
      </c>
      <c r="F108" s="293"/>
      <c r="G108" s="167"/>
      <c r="H108" s="167"/>
      <c r="I108" s="167"/>
      <c r="J108" s="293"/>
      <c r="K108" s="294"/>
      <c r="L108" s="294"/>
      <c r="M108" s="425"/>
      <c r="N108" s="425"/>
      <c r="O108" s="426"/>
      <c r="P108" s="426"/>
      <c r="Q108" s="427"/>
      <c r="R108" s="428"/>
      <c r="S108" s="429"/>
      <c r="T108" s="294"/>
      <c r="U108" s="294"/>
      <c r="V108" s="294"/>
      <c r="W108" s="294"/>
      <c r="X108" s="298"/>
      <c r="Y108" s="298"/>
      <c r="Z108" s="430"/>
      <c r="AA108" s="293"/>
      <c r="AB108" s="426"/>
      <c r="AC108" s="426"/>
      <c r="AD108" s="426"/>
      <c r="AE108" s="426"/>
      <c r="AF108" s="431"/>
      <c r="AG108" s="431"/>
      <c r="AH108" s="431"/>
      <c r="AI108" s="431"/>
      <c r="AJ108" s="431"/>
      <c r="AK108" s="431"/>
      <c r="AL108" s="431"/>
      <c r="AM108" s="431"/>
      <c r="AN108" s="431"/>
      <c r="AO108" s="431"/>
      <c r="AP108" s="431"/>
      <c r="AQ108" s="431"/>
      <c r="AR108" s="431"/>
      <c r="AS108" s="431"/>
      <c r="AT108" s="430"/>
      <c r="AU108" s="430"/>
      <c r="AV108" s="430"/>
      <c r="AW108" s="430"/>
      <c r="AX108" s="432"/>
      <c r="AY108" s="432"/>
      <c r="AZ108" s="432"/>
      <c r="BA108" s="432"/>
      <c r="BB108" s="432"/>
      <c r="BC108" s="432"/>
      <c r="BD108" s="432"/>
      <c r="BE108" s="432"/>
      <c r="BF108" s="433"/>
      <c r="BG108" s="433"/>
      <c r="BH108" s="433"/>
      <c r="BI108" s="433"/>
      <c r="BJ108" s="433"/>
      <c r="BK108" s="433"/>
      <c r="BL108" s="433"/>
      <c r="BM108" s="433"/>
      <c r="BN108" s="433"/>
      <c r="BO108" s="433"/>
      <c r="BP108" s="433"/>
      <c r="BQ108" s="433"/>
      <c r="BR108" s="433"/>
    </row>
    <row r="109" spans="1:70" s="162" customFormat="1" ht="15.75" x14ac:dyDescent="0.25">
      <c r="A109" s="378"/>
      <c r="B109" s="379"/>
      <c r="C109" s="379"/>
      <c r="D109" s="434"/>
      <c r="E109" s="435"/>
      <c r="F109" s="436"/>
      <c r="G109" s="306">
        <v>25</v>
      </c>
      <c r="H109" s="181" t="s">
        <v>384</v>
      </c>
      <c r="I109" s="181"/>
      <c r="J109" s="181"/>
      <c r="K109" s="182"/>
      <c r="L109" s="182"/>
      <c r="M109" s="221"/>
      <c r="N109" s="221"/>
      <c r="O109" s="307"/>
      <c r="P109" s="221"/>
      <c r="Q109" s="368"/>
      <c r="R109" s="221"/>
      <c r="S109" s="224"/>
      <c r="T109" s="182"/>
      <c r="U109" s="182"/>
      <c r="V109" s="182"/>
      <c r="W109" s="182"/>
      <c r="X109" s="308"/>
      <c r="Y109" s="308"/>
      <c r="Z109" s="308"/>
      <c r="AA109" s="181"/>
      <c r="AB109" s="221"/>
      <c r="AC109" s="221"/>
      <c r="AD109" s="221"/>
      <c r="AE109" s="221"/>
      <c r="AF109" s="221"/>
      <c r="AG109" s="221"/>
      <c r="AH109" s="221"/>
      <c r="AI109" s="221"/>
      <c r="AJ109" s="221"/>
      <c r="AK109" s="221"/>
      <c r="AL109" s="221"/>
      <c r="AM109" s="221"/>
      <c r="AN109" s="221"/>
      <c r="AO109" s="221"/>
      <c r="AP109" s="221"/>
      <c r="AQ109" s="221"/>
      <c r="AR109" s="221"/>
      <c r="AS109" s="221"/>
      <c r="AT109" s="221"/>
      <c r="AU109" s="221"/>
      <c r="AV109" s="221"/>
      <c r="AW109" s="221"/>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row>
    <row r="110" spans="1:70" s="162" customFormat="1" ht="57" customHeight="1" x14ac:dyDescent="0.25">
      <c r="A110" s="378"/>
      <c r="B110" s="379"/>
      <c r="C110" s="379"/>
      <c r="D110" s="437"/>
      <c r="E110" s="438"/>
      <c r="F110" s="439"/>
      <c r="G110" s="310"/>
      <c r="H110" s="310"/>
      <c r="I110" s="310"/>
      <c r="J110" s="4020">
        <v>108</v>
      </c>
      <c r="K110" s="4048" t="s">
        <v>385</v>
      </c>
      <c r="L110" s="4048" t="s">
        <v>386</v>
      </c>
      <c r="M110" s="4053">
        <v>4</v>
      </c>
      <c r="N110" s="4176">
        <v>0</v>
      </c>
      <c r="O110" s="4006" t="s">
        <v>387</v>
      </c>
      <c r="P110" s="4006" t="s">
        <v>388</v>
      </c>
      <c r="Q110" s="4002" t="s">
        <v>389</v>
      </c>
      <c r="R110" s="4212">
        <f>W110/S110</f>
        <v>0.27072585259981274</v>
      </c>
      <c r="S110" s="4013">
        <f>+W110+W112</f>
        <v>36705028</v>
      </c>
      <c r="T110" s="4002" t="s">
        <v>390</v>
      </c>
      <c r="U110" s="4048" t="s">
        <v>391</v>
      </c>
      <c r="V110" s="4029" t="s">
        <v>392</v>
      </c>
      <c r="W110" s="4243">
        <v>9937000</v>
      </c>
      <c r="X110" s="4243"/>
      <c r="Y110" s="4243"/>
      <c r="Z110" s="4245">
        <v>20</v>
      </c>
      <c r="AA110" s="4091" t="s">
        <v>71</v>
      </c>
      <c r="AB110" s="4081">
        <v>20555</v>
      </c>
      <c r="AC110" s="4081">
        <v>20555</v>
      </c>
      <c r="AD110" s="4081">
        <v>21361</v>
      </c>
      <c r="AE110" s="4081">
        <v>21361</v>
      </c>
      <c r="AF110" s="4081">
        <v>30460</v>
      </c>
      <c r="AG110" s="4081">
        <v>30460</v>
      </c>
      <c r="AH110" s="4081">
        <v>9593</v>
      </c>
      <c r="AI110" s="4081">
        <v>9593</v>
      </c>
      <c r="AJ110" s="4081">
        <v>1762</v>
      </c>
      <c r="AK110" s="4081">
        <v>1762</v>
      </c>
      <c r="AL110" s="4081">
        <v>101</v>
      </c>
      <c r="AM110" s="4081">
        <v>101</v>
      </c>
      <c r="AN110" s="4081">
        <v>308</v>
      </c>
      <c r="AO110" s="4081">
        <v>308</v>
      </c>
      <c r="AP110" s="4081">
        <v>277</v>
      </c>
      <c r="AQ110" s="4081">
        <v>277</v>
      </c>
      <c r="AR110" s="4081">
        <v>0</v>
      </c>
      <c r="AS110" s="405"/>
      <c r="AT110" s="4081">
        <v>0</v>
      </c>
      <c r="AU110" s="405"/>
      <c r="AV110" s="4081">
        <v>0</v>
      </c>
      <c r="AW110" s="405"/>
      <c r="AX110" s="4081">
        <v>0</v>
      </c>
      <c r="AY110" s="405"/>
      <c r="AZ110" s="4081">
        <v>2907</v>
      </c>
      <c r="BA110" s="4081">
        <v>2907</v>
      </c>
      <c r="BB110" s="4081">
        <v>2589</v>
      </c>
      <c r="BC110" s="4081">
        <v>2589</v>
      </c>
      <c r="BD110" s="4081">
        <v>2954</v>
      </c>
      <c r="BE110" s="4081">
        <v>2954</v>
      </c>
      <c r="BF110" s="4081">
        <v>41916</v>
      </c>
      <c r="BG110" s="4081">
        <v>41916</v>
      </c>
      <c r="BH110" s="405"/>
      <c r="BI110" s="4196">
        <f>SUM(X110:X112)</f>
        <v>0</v>
      </c>
      <c r="BJ110" s="405"/>
      <c r="BK110" s="405"/>
      <c r="BL110" s="4081" t="s">
        <v>86</v>
      </c>
      <c r="BM110" s="405"/>
      <c r="BN110" s="4118"/>
      <c r="BO110" s="4118"/>
      <c r="BP110" s="4118"/>
      <c r="BQ110" s="4118"/>
      <c r="BR110" s="4121" t="s">
        <v>129</v>
      </c>
    </row>
    <row r="111" spans="1:70" s="162" customFormat="1" ht="56.25" customHeight="1" x14ac:dyDescent="0.25">
      <c r="A111" s="378"/>
      <c r="B111" s="379"/>
      <c r="C111" s="379"/>
      <c r="D111" s="437"/>
      <c r="E111" s="438"/>
      <c r="F111" s="439"/>
      <c r="G111" s="310"/>
      <c r="H111" s="310"/>
      <c r="I111" s="310"/>
      <c r="J111" s="4021"/>
      <c r="K111" s="4050"/>
      <c r="L111" s="4050"/>
      <c r="M111" s="4054"/>
      <c r="N111" s="4176"/>
      <c r="O111" s="4004"/>
      <c r="P111" s="4004"/>
      <c r="Q111" s="4002"/>
      <c r="R111" s="4180"/>
      <c r="S111" s="4013"/>
      <c r="T111" s="4002"/>
      <c r="U111" s="4050"/>
      <c r="V111" s="4144"/>
      <c r="W111" s="4244"/>
      <c r="X111" s="4244"/>
      <c r="Y111" s="4244"/>
      <c r="Z111" s="4245"/>
      <c r="AA111" s="4091"/>
      <c r="AB111" s="4082"/>
      <c r="AC111" s="4082"/>
      <c r="AD111" s="4082"/>
      <c r="AE111" s="4082"/>
      <c r="AF111" s="4082"/>
      <c r="AG111" s="4082"/>
      <c r="AH111" s="4082"/>
      <c r="AI111" s="4082"/>
      <c r="AJ111" s="4082"/>
      <c r="AK111" s="4082"/>
      <c r="AL111" s="4082"/>
      <c r="AM111" s="4082"/>
      <c r="AN111" s="4082"/>
      <c r="AO111" s="4082"/>
      <c r="AP111" s="4082"/>
      <c r="AQ111" s="4082"/>
      <c r="AR111" s="4082"/>
      <c r="AS111" s="372"/>
      <c r="AT111" s="4082"/>
      <c r="AU111" s="372"/>
      <c r="AV111" s="4082"/>
      <c r="AW111" s="372"/>
      <c r="AX111" s="4082"/>
      <c r="AY111" s="372"/>
      <c r="AZ111" s="4082"/>
      <c r="BA111" s="4082"/>
      <c r="BB111" s="4082"/>
      <c r="BC111" s="4082"/>
      <c r="BD111" s="4082"/>
      <c r="BE111" s="4082"/>
      <c r="BF111" s="4082"/>
      <c r="BG111" s="4082"/>
      <c r="BH111" s="372"/>
      <c r="BI111" s="4082"/>
      <c r="BJ111" s="372"/>
      <c r="BK111" s="372"/>
      <c r="BL111" s="4082"/>
      <c r="BM111" s="372"/>
      <c r="BN111" s="4119"/>
      <c r="BO111" s="4119"/>
      <c r="BP111" s="4119"/>
      <c r="BQ111" s="4119"/>
      <c r="BR111" s="4122"/>
    </row>
    <row r="112" spans="1:70" s="162" customFormat="1" ht="101.25" customHeight="1" x14ac:dyDescent="0.25">
      <c r="A112" s="378"/>
      <c r="B112" s="379"/>
      <c r="C112" s="379"/>
      <c r="D112" s="437"/>
      <c r="E112" s="438"/>
      <c r="F112" s="439"/>
      <c r="G112" s="310"/>
      <c r="H112" s="310"/>
      <c r="I112" s="310"/>
      <c r="J112" s="332">
        <v>109</v>
      </c>
      <c r="K112" s="333" t="s">
        <v>393</v>
      </c>
      <c r="L112" s="333" t="s">
        <v>394</v>
      </c>
      <c r="M112" s="334">
        <v>52</v>
      </c>
      <c r="N112" s="244">
        <v>0</v>
      </c>
      <c r="O112" s="4005"/>
      <c r="P112" s="4005"/>
      <c r="Q112" s="4002"/>
      <c r="R112" s="335">
        <f>W112/S110</f>
        <v>0.72927414740018726</v>
      </c>
      <c r="S112" s="4013"/>
      <c r="T112" s="4002"/>
      <c r="U112" s="333" t="s">
        <v>395</v>
      </c>
      <c r="V112" s="336" t="s">
        <v>396</v>
      </c>
      <c r="W112" s="353">
        <v>26768028</v>
      </c>
      <c r="X112" s="353"/>
      <c r="Y112" s="353"/>
      <c r="Z112" s="329">
        <v>20</v>
      </c>
      <c r="AA112" s="330" t="s">
        <v>86</v>
      </c>
      <c r="AB112" s="4103"/>
      <c r="AC112" s="4103"/>
      <c r="AD112" s="4103"/>
      <c r="AE112" s="4103"/>
      <c r="AF112" s="4103"/>
      <c r="AG112" s="4103"/>
      <c r="AH112" s="4103"/>
      <c r="AI112" s="4103"/>
      <c r="AJ112" s="4103"/>
      <c r="AK112" s="4103"/>
      <c r="AL112" s="4103"/>
      <c r="AM112" s="4103"/>
      <c r="AN112" s="4103"/>
      <c r="AO112" s="4103"/>
      <c r="AP112" s="4103"/>
      <c r="AQ112" s="4103"/>
      <c r="AR112" s="4103"/>
      <c r="AS112" s="440"/>
      <c r="AT112" s="4103"/>
      <c r="AU112" s="440"/>
      <c r="AV112" s="4103"/>
      <c r="AW112" s="440"/>
      <c r="AX112" s="4103"/>
      <c r="AY112" s="440"/>
      <c r="AZ112" s="4103"/>
      <c r="BA112" s="4103"/>
      <c r="BB112" s="4103"/>
      <c r="BC112" s="4103"/>
      <c r="BD112" s="4103"/>
      <c r="BE112" s="4103"/>
      <c r="BF112" s="4103"/>
      <c r="BG112" s="4103"/>
      <c r="BH112" s="372"/>
      <c r="BI112" s="4103"/>
      <c r="BJ112" s="372"/>
      <c r="BK112" s="372"/>
      <c r="BL112" s="4103"/>
      <c r="BM112" s="372"/>
      <c r="BN112" s="4120"/>
      <c r="BO112" s="4120"/>
      <c r="BP112" s="4120"/>
      <c r="BQ112" s="4120"/>
      <c r="BR112" s="4123"/>
    </row>
    <row r="113" spans="1:70" s="162" customFormat="1" ht="24.75" customHeight="1" x14ac:dyDescent="0.25">
      <c r="A113" s="441"/>
      <c r="B113" s="442"/>
      <c r="C113" s="442"/>
      <c r="D113" s="441"/>
      <c r="E113" s="442"/>
      <c r="F113" s="443"/>
      <c r="G113" s="306">
        <v>26</v>
      </c>
      <c r="H113" s="181" t="s">
        <v>397</v>
      </c>
      <c r="I113" s="181"/>
      <c r="J113" s="181"/>
      <c r="K113" s="182"/>
      <c r="L113" s="182"/>
      <c r="M113" s="221"/>
      <c r="N113" s="221"/>
      <c r="O113" s="307"/>
      <c r="P113" s="221"/>
      <c r="Q113" s="368"/>
      <c r="R113" s="221"/>
      <c r="S113" s="224"/>
      <c r="T113" s="182"/>
      <c r="U113" s="182"/>
      <c r="V113" s="182"/>
      <c r="W113" s="182"/>
      <c r="X113" s="182"/>
      <c r="Y113" s="308"/>
      <c r="Z113" s="308"/>
      <c r="AA113" s="181"/>
      <c r="AB113" s="221"/>
      <c r="AC113" s="221"/>
      <c r="AD113" s="221"/>
      <c r="AE113" s="221"/>
      <c r="AF113" s="221"/>
      <c r="AG113" s="221"/>
      <c r="AH113" s="221"/>
      <c r="AI113" s="221"/>
      <c r="AJ113" s="221"/>
      <c r="AK113" s="221"/>
      <c r="AL113" s="221"/>
      <c r="AM113" s="221"/>
      <c r="AN113" s="221"/>
      <c r="AO113" s="221"/>
      <c r="AP113" s="221"/>
      <c r="AQ113" s="221"/>
      <c r="AR113" s="221"/>
      <c r="AS113" s="221"/>
      <c r="AT113" s="221"/>
      <c r="AU113" s="221"/>
      <c r="AV113" s="221"/>
      <c r="AW113" s="221"/>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row>
    <row r="114" spans="1:70" s="162" customFormat="1" ht="53.25" customHeight="1" x14ac:dyDescent="0.25">
      <c r="A114" s="378" t="s">
        <v>398</v>
      </c>
      <c r="B114" s="379"/>
      <c r="C114" s="379"/>
      <c r="D114" s="378"/>
      <c r="E114" s="379"/>
      <c r="F114" s="380"/>
      <c r="G114" s="4246"/>
      <c r="H114" s="4247"/>
      <c r="I114" s="4248"/>
      <c r="J114" s="4090">
        <v>110</v>
      </c>
      <c r="K114" s="4080" t="s">
        <v>399</v>
      </c>
      <c r="L114" s="4044" t="s">
        <v>400</v>
      </c>
      <c r="M114" s="4254">
        <v>200</v>
      </c>
      <c r="N114" s="2732">
        <v>268</v>
      </c>
      <c r="O114" s="4044" t="s">
        <v>401</v>
      </c>
      <c r="P114" s="4044" t="s">
        <v>402</v>
      </c>
      <c r="Q114" s="4080" t="s">
        <v>403</v>
      </c>
      <c r="R114" s="4255">
        <f>(+W114+W115+W116)/S114</f>
        <v>1</v>
      </c>
      <c r="S114" s="4256">
        <f>+W114+W115+W116</f>
        <v>706195624</v>
      </c>
      <c r="T114" s="4257" t="s">
        <v>404</v>
      </c>
      <c r="U114" s="4080" t="s">
        <v>405</v>
      </c>
      <c r="V114" s="4226" t="s">
        <v>406</v>
      </c>
      <c r="W114" s="258">
        <v>656195624</v>
      </c>
      <c r="X114" s="258">
        <v>285612138</v>
      </c>
      <c r="Y114" s="258"/>
      <c r="Z114" s="444">
        <v>25</v>
      </c>
      <c r="AA114" s="330" t="s">
        <v>407</v>
      </c>
      <c r="AB114" s="4081">
        <v>20555</v>
      </c>
      <c r="AC114" s="4081">
        <v>20555</v>
      </c>
      <c r="AD114" s="4081">
        <v>21361</v>
      </c>
      <c r="AE114" s="4081">
        <v>21361</v>
      </c>
      <c r="AF114" s="4081">
        <v>30460</v>
      </c>
      <c r="AG114" s="4081">
        <v>30460</v>
      </c>
      <c r="AH114" s="4081">
        <v>9593</v>
      </c>
      <c r="AI114" s="4081">
        <v>9593</v>
      </c>
      <c r="AJ114" s="4081">
        <v>1762</v>
      </c>
      <c r="AK114" s="4081">
        <v>1762</v>
      </c>
      <c r="AL114" s="4081">
        <v>101</v>
      </c>
      <c r="AM114" s="4081">
        <v>101</v>
      </c>
      <c r="AN114" s="4081">
        <v>308</v>
      </c>
      <c r="AO114" s="4081">
        <v>308</v>
      </c>
      <c r="AP114" s="4081">
        <v>277</v>
      </c>
      <c r="AQ114" s="4081">
        <v>277</v>
      </c>
      <c r="AR114" s="4081">
        <v>0</v>
      </c>
      <c r="AS114" s="405"/>
      <c r="AT114" s="4081">
        <v>0</v>
      </c>
      <c r="AU114" s="405"/>
      <c r="AV114" s="4081">
        <v>0</v>
      </c>
      <c r="AW114" s="405"/>
      <c r="AX114" s="4081">
        <v>0</v>
      </c>
      <c r="AY114" s="405"/>
      <c r="AZ114" s="4081">
        <v>2907</v>
      </c>
      <c r="BA114" s="4081">
        <v>2907</v>
      </c>
      <c r="BB114" s="4081">
        <v>2589</v>
      </c>
      <c r="BC114" s="4081">
        <v>2589</v>
      </c>
      <c r="BD114" s="4081">
        <v>2954</v>
      </c>
      <c r="BE114" s="4081">
        <v>2954</v>
      </c>
      <c r="BF114" s="4081">
        <v>41916</v>
      </c>
      <c r="BG114" s="4081">
        <v>41916</v>
      </c>
      <c r="BH114" s="4081">
        <v>2</v>
      </c>
      <c r="BI114" s="4196">
        <f>SUM(X114:X116)</f>
        <v>315856138</v>
      </c>
      <c r="BJ114" s="4196">
        <f>SUM(Y114:Y116)</f>
        <v>10000000</v>
      </c>
      <c r="BK114" s="4141">
        <f>+BJ114/BI114</f>
        <v>3.1659983128141708E-2</v>
      </c>
      <c r="BL114" s="4006" t="s">
        <v>408</v>
      </c>
      <c r="BM114" s="4006" t="s">
        <v>409</v>
      </c>
      <c r="BN114" s="4260">
        <v>43617</v>
      </c>
      <c r="BO114" s="4118">
        <v>43617</v>
      </c>
      <c r="BP114" s="4032">
        <v>43799</v>
      </c>
      <c r="BQ114" s="4032">
        <v>43799</v>
      </c>
      <c r="BR114" s="4121" t="s">
        <v>129</v>
      </c>
    </row>
    <row r="115" spans="1:70" s="162" customFormat="1" ht="53.25" customHeight="1" x14ac:dyDescent="0.25">
      <c r="A115" s="378"/>
      <c r="B115" s="379"/>
      <c r="C115" s="379"/>
      <c r="D115" s="378"/>
      <c r="E115" s="379"/>
      <c r="F115" s="380"/>
      <c r="G115" s="4249"/>
      <c r="H115" s="4250"/>
      <c r="I115" s="4125"/>
      <c r="J115" s="4090"/>
      <c r="K115" s="4080"/>
      <c r="L115" s="4044"/>
      <c r="M115" s="4254"/>
      <c r="N115" s="2733"/>
      <c r="O115" s="4044"/>
      <c r="P115" s="4044"/>
      <c r="Q115" s="4080"/>
      <c r="R115" s="4255"/>
      <c r="S115" s="4256"/>
      <c r="T115" s="4257"/>
      <c r="U115" s="4080"/>
      <c r="V115" s="4226"/>
      <c r="W115" s="258">
        <v>10000000</v>
      </c>
      <c r="X115" s="258">
        <v>10000000</v>
      </c>
      <c r="Y115" s="258">
        <v>10000000</v>
      </c>
      <c r="Z115" s="445">
        <v>20</v>
      </c>
      <c r="AA115" s="446" t="s">
        <v>86</v>
      </c>
      <c r="AB115" s="4082"/>
      <c r="AC115" s="4082"/>
      <c r="AD115" s="4082"/>
      <c r="AE115" s="4082"/>
      <c r="AF115" s="4082"/>
      <c r="AG115" s="4082"/>
      <c r="AH115" s="4082"/>
      <c r="AI115" s="4082"/>
      <c r="AJ115" s="4082"/>
      <c r="AK115" s="4082"/>
      <c r="AL115" s="4082"/>
      <c r="AM115" s="4082"/>
      <c r="AN115" s="4082"/>
      <c r="AO115" s="4082"/>
      <c r="AP115" s="4082"/>
      <c r="AQ115" s="4082"/>
      <c r="AR115" s="4082"/>
      <c r="AS115" s="372"/>
      <c r="AT115" s="4082"/>
      <c r="AU115" s="372"/>
      <c r="AV115" s="4082"/>
      <c r="AW115" s="372"/>
      <c r="AX115" s="4082"/>
      <c r="AY115" s="372"/>
      <c r="AZ115" s="4082"/>
      <c r="BA115" s="4082"/>
      <c r="BB115" s="4082"/>
      <c r="BC115" s="4082"/>
      <c r="BD115" s="4082"/>
      <c r="BE115" s="4082"/>
      <c r="BF115" s="4082"/>
      <c r="BG115" s="4082"/>
      <c r="BH115" s="4082"/>
      <c r="BI115" s="4258"/>
      <c r="BJ115" s="4258"/>
      <c r="BK115" s="4142"/>
      <c r="BL115" s="4082"/>
      <c r="BM115" s="4082"/>
      <c r="BN115" s="4261"/>
      <c r="BO115" s="4119"/>
      <c r="BP115" s="4033"/>
      <c r="BQ115" s="4033"/>
      <c r="BR115" s="4122"/>
    </row>
    <row r="116" spans="1:70" s="162" customFormat="1" ht="48.75" customHeight="1" x14ac:dyDescent="0.25">
      <c r="A116" s="378"/>
      <c r="B116" s="379"/>
      <c r="C116" s="379"/>
      <c r="D116" s="378"/>
      <c r="E116" s="379"/>
      <c r="F116" s="380"/>
      <c r="G116" s="4251"/>
      <c r="H116" s="4252"/>
      <c r="I116" s="4253"/>
      <c r="J116" s="4090"/>
      <c r="K116" s="4080"/>
      <c r="L116" s="4044"/>
      <c r="M116" s="4254"/>
      <c r="N116" s="2734"/>
      <c r="O116" s="4044"/>
      <c r="P116" s="4044"/>
      <c r="Q116" s="4080"/>
      <c r="R116" s="4255"/>
      <c r="S116" s="4256"/>
      <c r="T116" s="4257"/>
      <c r="U116" s="4080"/>
      <c r="V116" s="4226"/>
      <c r="W116" s="258">
        <v>40000000</v>
      </c>
      <c r="X116" s="258">
        <v>20244000</v>
      </c>
      <c r="Y116" s="258"/>
      <c r="Z116" s="447">
        <v>88</v>
      </c>
      <c r="AA116" s="215" t="s">
        <v>131</v>
      </c>
      <c r="AB116" s="4253"/>
      <c r="AC116" s="4103"/>
      <c r="AD116" s="4103"/>
      <c r="AE116" s="4103"/>
      <c r="AF116" s="4103"/>
      <c r="AG116" s="4103"/>
      <c r="AH116" s="4103"/>
      <c r="AI116" s="4103"/>
      <c r="AJ116" s="4103"/>
      <c r="AK116" s="4103"/>
      <c r="AL116" s="4103"/>
      <c r="AM116" s="4103"/>
      <c r="AN116" s="4103"/>
      <c r="AO116" s="4103"/>
      <c r="AP116" s="4103"/>
      <c r="AQ116" s="4103"/>
      <c r="AR116" s="4103"/>
      <c r="AS116" s="440"/>
      <c r="AT116" s="4103"/>
      <c r="AU116" s="440"/>
      <c r="AV116" s="4103"/>
      <c r="AW116" s="440"/>
      <c r="AX116" s="4103"/>
      <c r="AY116" s="440"/>
      <c r="AZ116" s="4103"/>
      <c r="BA116" s="4103"/>
      <c r="BB116" s="4103"/>
      <c r="BC116" s="4103"/>
      <c r="BD116" s="4103"/>
      <c r="BE116" s="4103"/>
      <c r="BF116" s="4103"/>
      <c r="BG116" s="4103"/>
      <c r="BH116" s="4103"/>
      <c r="BI116" s="4259"/>
      <c r="BJ116" s="4259"/>
      <c r="BK116" s="4143"/>
      <c r="BL116" s="4103"/>
      <c r="BM116" s="4103"/>
      <c r="BN116" s="4262"/>
      <c r="BO116" s="4120"/>
      <c r="BP116" s="4263"/>
      <c r="BQ116" s="4034"/>
      <c r="BR116" s="4122"/>
    </row>
    <row r="117" spans="1:70" s="162" customFormat="1" ht="15.75" x14ac:dyDescent="0.25">
      <c r="A117" s="441"/>
      <c r="B117" s="442"/>
      <c r="C117" s="442"/>
      <c r="D117" s="441"/>
      <c r="E117" s="442"/>
      <c r="F117" s="443"/>
      <c r="G117" s="306">
        <v>27</v>
      </c>
      <c r="H117" s="181" t="s">
        <v>410</v>
      </c>
      <c r="I117" s="181"/>
      <c r="J117" s="181"/>
      <c r="K117" s="182"/>
      <c r="L117" s="182"/>
      <c r="M117" s="221"/>
      <c r="N117" s="221"/>
      <c r="O117" s="307"/>
      <c r="P117" s="221"/>
      <c r="Q117" s="368"/>
      <c r="R117" s="221"/>
      <c r="S117" s="224"/>
      <c r="T117" s="182"/>
      <c r="U117" s="182"/>
      <c r="V117" s="182"/>
      <c r="W117" s="182"/>
      <c r="X117" s="182"/>
      <c r="Y117" s="397"/>
      <c r="Z117" s="397"/>
      <c r="AA117" s="338"/>
      <c r="AB117" s="221"/>
      <c r="AC117" s="221"/>
      <c r="AD117" s="221"/>
      <c r="AE117" s="221"/>
      <c r="AF117" s="221"/>
      <c r="AG117" s="221"/>
      <c r="AH117" s="221"/>
      <c r="AI117" s="221"/>
      <c r="AJ117" s="221"/>
      <c r="AK117" s="221"/>
      <c r="AL117" s="221"/>
      <c r="AM117" s="221"/>
      <c r="AN117" s="221"/>
      <c r="AO117" s="221"/>
      <c r="AP117" s="221"/>
      <c r="AQ117" s="221"/>
      <c r="AR117" s="221"/>
      <c r="AS117" s="221"/>
      <c r="AT117" s="221"/>
      <c r="AU117" s="221"/>
      <c r="AV117" s="221"/>
      <c r="AW117" s="221"/>
      <c r="AX117" s="192"/>
      <c r="AY117" s="192"/>
      <c r="AZ117" s="192"/>
      <c r="BA117" s="192"/>
      <c r="BB117" s="192"/>
      <c r="BC117" s="192"/>
      <c r="BD117" s="192"/>
      <c r="BE117" s="192"/>
      <c r="BF117" s="192"/>
      <c r="BG117" s="192"/>
      <c r="BH117" s="192"/>
      <c r="BI117" s="192"/>
      <c r="BJ117" s="192"/>
      <c r="BK117" s="192"/>
      <c r="BL117" s="192"/>
      <c r="BM117" s="192"/>
      <c r="BN117" s="192"/>
      <c r="BO117" s="192"/>
      <c r="BP117" s="192"/>
      <c r="BQ117" s="192"/>
      <c r="BR117" s="192"/>
    </row>
    <row r="118" spans="1:70" s="162" customFormat="1" ht="155.25" customHeight="1" x14ac:dyDescent="0.25">
      <c r="A118" s="441"/>
      <c r="B118" s="442"/>
      <c r="C118" s="442"/>
      <c r="D118" s="441"/>
      <c r="E118" s="442"/>
      <c r="F118" s="443"/>
      <c r="G118" s="310"/>
      <c r="H118" s="310"/>
      <c r="I118" s="310"/>
      <c r="J118" s="261">
        <v>111</v>
      </c>
      <c r="K118" s="448" t="s">
        <v>411</v>
      </c>
      <c r="L118" s="448" t="s">
        <v>412</v>
      </c>
      <c r="M118" s="449">
        <v>1</v>
      </c>
      <c r="N118" s="449">
        <v>0.5</v>
      </c>
      <c r="O118" s="343" t="s">
        <v>413</v>
      </c>
      <c r="P118" s="417" t="s">
        <v>414</v>
      </c>
      <c r="Q118" s="259" t="s">
        <v>415</v>
      </c>
      <c r="R118" s="315">
        <f>+W118/S118</f>
        <v>1</v>
      </c>
      <c r="S118" s="450">
        <f>+W118</f>
        <v>3503000000</v>
      </c>
      <c r="T118" s="448" t="s">
        <v>416</v>
      </c>
      <c r="U118" s="448" t="s">
        <v>417</v>
      </c>
      <c r="V118" s="316" t="s">
        <v>418</v>
      </c>
      <c r="W118" s="451">
        <v>3503000000</v>
      </c>
      <c r="X118" s="451">
        <v>966769607</v>
      </c>
      <c r="Y118" s="451">
        <v>925522951</v>
      </c>
      <c r="Z118" s="452">
        <v>25</v>
      </c>
      <c r="AA118" s="418" t="s">
        <v>281</v>
      </c>
      <c r="AB118" s="372">
        <v>20555</v>
      </c>
      <c r="AC118" s="372">
        <v>20555</v>
      </c>
      <c r="AD118" s="372">
        <v>21361</v>
      </c>
      <c r="AE118" s="372">
        <v>21361</v>
      </c>
      <c r="AF118" s="453">
        <v>30460</v>
      </c>
      <c r="AG118" s="453">
        <v>30460</v>
      </c>
      <c r="AH118" s="453">
        <v>9593</v>
      </c>
      <c r="AI118" s="453">
        <v>9593</v>
      </c>
      <c r="AJ118" s="453">
        <v>1762</v>
      </c>
      <c r="AK118" s="453">
        <v>1762</v>
      </c>
      <c r="AL118" s="453">
        <v>101</v>
      </c>
      <c r="AM118" s="453">
        <v>101</v>
      </c>
      <c r="AN118" s="453">
        <v>308</v>
      </c>
      <c r="AO118" s="453">
        <v>308</v>
      </c>
      <c r="AP118" s="453">
        <v>277</v>
      </c>
      <c r="AQ118" s="453">
        <v>277</v>
      </c>
      <c r="AR118" s="453">
        <v>0</v>
      </c>
      <c r="AS118" s="453"/>
      <c r="AT118" s="453">
        <v>0</v>
      </c>
      <c r="AU118" s="454"/>
      <c r="AV118" s="454">
        <v>0</v>
      </c>
      <c r="AW118" s="454"/>
      <c r="AX118" s="455">
        <v>0</v>
      </c>
      <c r="AY118" s="455"/>
      <c r="AZ118" s="455">
        <v>2907</v>
      </c>
      <c r="BA118" s="455">
        <v>2907</v>
      </c>
      <c r="BB118" s="455">
        <v>2589</v>
      </c>
      <c r="BC118" s="455">
        <v>2589</v>
      </c>
      <c r="BD118" s="455">
        <v>2954</v>
      </c>
      <c r="BE118" s="455">
        <v>2954</v>
      </c>
      <c r="BF118" s="456">
        <f>AB118+AD118</f>
        <v>41916</v>
      </c>
      <c r="BG118" s="456">
        <v>41916</v>
      </c>
      <c r="BH118" s="456"/>
      <c r="BI118" s="457">
        <f>SUM(X118)</f>
        <v>966769607</v>
      </c>
      <c r="BJ118" s="457">
        <f>SUM(Y118)</f>
        <v>925522951</v>
      </c>
      <c r="BK118" s="458">
        <f>+BJ118/BI118</f>
        <v>0.95733558885038472</v>
      </c>
      <c r="BL118" s="456" t="s">
        <v>281</v>
      </c>
      <c r="BM118" s="459" t="s">
        <v>186</v>
      </c>
      <c r="BN118" s="460">
        <v>43466</v>
      </c>
      <c r="BO118" s="460">
        <v>43466</v>
      </c>
      <c r="BP118" s="460">
        <v>43830</v>
      </c>
      <c r="BQ118" s="460">
        <v>43830</v>
      </c>
      <c r="BR118" s="461" t="s">
        <v>129</v>
      </c>
    </row>
    <row r="119" spans="1:70" s="162" customFormat="1" ht="15.75" x14ac:dyDescent="0.25">
      <c r="A119" s="441"/>
      <c r="B119" s="442"/>
      <c r="C119" s="442"/>
      <c r="D119" s="441"/>
      <c r="E119" s="442"/>
      <c r="F119" s="443"/>
      <c r="G119" s="306">
        <v>28</v>
      </c>
      <c r="H119" s="181" t="s">
        <v>419</v>
      </c>
      <c r="I119" s="181"/>
      <c r="J119" s="181"/>
      <c r="K119" s="182"/>
      <c r="L119" s="182"/>
      <c r="M119" s="221"/>
      <c r="N119" s="221"/>
      <c r="O119" s="307"/>
      <c r="P119" s="307"/>
      <c r="Q119" s="368"/>
      <c r="R119" s="462"/>
      <c r="S119" s="224"/>
      <c r="T119" s="182"/>
      <c r="U119" s="182"/>
      <c r="V119" s="182"/>
      <c r="W119" s="182"/>
      <c r="X119" s="182"/>
      <c r="Y119" s="308"/>
      <c r="Z119" s="308"/>
      <c r="AA119" s="181"/>
      <c r="AB119" s="307"/>
      <c r="AC119" s="307"/>
      <c r="AD119" s="307"/>
      <c r="AE119" s="307"/>
      <c r="AF119" s="221"/>
      <c r="AG119" s="221"/>
      <c r="AH119" s="221"/>
      <c r="AI119" s="221"/>
      <c r="AJ119" s="221"/>
      <c r="AK119" s="221"/>
      <c r="AL119" s="221"/>
      <c r="AM119" s="221"/>
      <c r="AN119" s="221"/>
      <c r="AO119" s="221"/>
      <c r="AP119" s="221"/>
      <c r="AQ119" s="221"/>
      <c r="AR119" s="221"/>
      <c r="AS119" s="221"/>
      <c r="AT119" s="463"/>
      <c r="AU119" s="463"/>
      <c r="AV119" s="463"/>
      <c r="AW119" s="463"/>
      <c r="AX119" s="192"/>
      <c r="AY119" s="192"/>
      <c r="AZ119" s="192"/>
      <c r="BA119" s="192"/>
      <c r="BB119" s="192"/>
      <c r="BC119" s="192"/>
      <c r="BD119" s="192"/>
      <c r="BE119" s="192"/>
      <c r="BF119" s="192"/>
      <c r="BG119" s="192"/>
      <c r="BH119" s="192"/>
      <c r="BI119" s="192"/>
      <c r="BJ119" s="192"/>
      <c r="BK119" s="192"/>
      <c r="BL119" s="192"/>
      <c r="BM119" s="192"/>
      <c r="BN119" s="192"/>
      <c r="BO119" s="192"/>
      <c r="BP119" s="192"/>
      <c r="BQ119" s="192"/>
      <c r="BR119" s="192"/>
    </row>
    <row r="120" spans="1:70" s="162" customFormat="1" ht="48" customHeight="1" x14ac:dyDescent="0.25">
      <c r="A120" s="441"/>
      <c r="B120" s="442"/>
      <c r="C120" s="442"/>
      <c r="D120" s="437"/>
      <c r="E120" s="438"/>
      <c r="F120" s="439"/>
      <c r="G120" s="400"/>
      <c r="H120" s="400"/>
      <c r="I120" s="400"/>
      <c r="J120" s="4019">
        <v>112</v>
      </c>
      <c r="K120" s="4002" t="s">
        <v>420</v>
      </c>
      <c r="L120" s="4002" t="s">
        <v>421</v>
      </c>
      <c r="M120" s="4082">
        <v>12</v>
      </c>
      <c r="N120" s="4095">
        <v>0</v>
      </c>
      <c r="O120" s="4004" t="s">
        <v>422</v>
      </c>
      <c r="P120" s="4004" t="s">
        <v>423</v>
      </c>
      <c r="Q120" s="4002" t="s">
        <v>424</v>
      </c>
      <c r="R120" s="4185">
        <f>+W120/S120</f>
        <v>0.14375937670534561</v>
      </c>
      <c r="S120" s="4107">
        <f>+W120+W122</f>
        <v>20868204</v>
      </c>
      <c r="T120" s="4040" t="s">
        <v>425</v>
      </c>
      <c r="U120" s="4002" t="s">
        <v>426</v>
      </c>
      <c r="V120" s="4002" t="s">
        <v>427</v>
      </c>
      <c r="W120" s="4186">
        <v>3000000</v>
      </c>
      <c r="X120" s="4186">
        <v>3000000</v>
      </c>
      <c r="Y120" s="4186"/>
      <c r="Z120" s="4245">
        <v>20</v>
      </c>
      <c r="AA120" s="4091" t="s">
        <v>86</v>
      </c>
      <c r="AB120" s="4082">
        <v>20555</v>
      </c>
      <c r="AC120" s="4081">
        <v>20555</v>
      </c>
      <c r="AD120" s="4082">
        <v>21361</v>
      </c>
      <c r="AE120" s="4081">
        <v>21361</v>
      </c>
      <c r="AF120" s="4082">
        <v>30460</v>
      </c>
      <c r="AG120" s="4081">
        <v>30460</v>
      </c>
      <c r="AH120" s="4082">
        <v>9593</v>
      </c>
      <c r="AI120" s="4081">
        <v>9593</v>
      </c>
      <c r="AJ120" s="4082">
        <v>1762</v>
      </c>
      <c r="AK120" s="4081">
        <v>1762</v>
      </c>
      <c r="AL120" s="4082">
        <v>101</v>
      </c>
      <c r="AM120" s="4081">
        <v>101</v>
      </c>
      <c r="AN120" s="4082">
        <v>308</v>
      </c>
      <c r="AO120" s="4081">
        <v>308</v>
      </c>
      <c r="AP120" s="4082">
        <v>277</v>
      </c>
      <c r="AQ120" s="4081">
        <v>277</v>
      </c>
      <c r="AR120" s="4082">
        <v>0</v>
      </c>
      <c r="AS120" s="372"/>
      <c r="AT120" s="4082">
        <v>0</v>
      </c>
      <c r="AU120" s="372"/>
      <c r="AV120" s="4082">
        <v>0</v>
      </c>
      <c r="AW120" s="372"/>
      <c r="AX120" s="4082">
        <v>0</v>
      </c>
      <c r="AY120" s="372"/>
      <c r="AZ120" s="4082">
        <v>2907</v>
      </c>
      <c r="BA120" s="4081">
        <v>2907</v>
      </c>
      <c r="BB120" s="4082">
        <v>2589</v>
      </c>
      <c r="BC120" s="4081">
        <v>2589</v>
      </c>
      <c r="BD120" s="4082">
        <v>2594</v>
      </c>
      <c r="BE120" s="4081">
        <v>2594</v>
      </c>
      <c r="BF120" s="4249">
        <f>AB120+AD120</f>
        <v>41916</v>
      </c>
      <c r="BG120" s="4081">
        <v>41916</v>
      </c>
      <c r="BH120" s="4081">
        <v>2</v>
      </c>
      <c r="BI120" s="4196">
        <f>SUM(X120:X122)</f>
        <v>20868204</v>
      </c>
      <c r="BJ120" s="4196">
        <f>SUM(Y120:Y122)</f>
        <v>0</v>
      </c>
      <c r="BK120" s="4196">
        <f>+BJ120/BI120</f>
        <v>0</v>
      </c>
      <c r="BL120" s="4081" t="s">
        <v>428</v>
      </c>
      <c r="BM120" s="4006" t="s">
        <v>429</v>
      </c>
      <c r="BN120" s="4118">
        <v>43466</v>
      </c>
      <c r="BO120" s="4118">
        <v>43466</v>
      </c>
      <c r="BP120" s="4163">
        <v>43692</v>
      </c>
      <c r="BQ120" s="4163">
        <v>43738</v>
      </c>
      <c r="BR120" s="4122" t="s">
        <v>129</v>
      </c>
    </row>
    <row r="121" spans="1:70" s="162" customFormat="1" ht="90.75" customHeight="1" x14ac:dyDescent="0.25">
      <c r="A121" s="441"/>
      <c r="B121" s="442"/>
      <c r="C121" s="442"/>
      <c r="D121" s="437"/>
      <c r="E121" s="438"/>
      <c r="F121" s="439"/>
      <c r="G121" s="400"/>
      <c r="H121" s="400"/>
      <c r="I121" s="400"/>
      <c r="J121" s="4021"/>
      <c r="K121" s="4003"/>
      <c r="L121" s="4003"/>
      <c r="M121" s="4103"/>
      <c r="N121" s="4095"/>
      <c r="O121" s="4004"/>
      <c r="P121" s="4004"/>
      <c r="Q121" s="4002"/>
      <c r="R121" s="4180"/>
      <c r="S121" s="4107"/>
      <c r="T121" s="4002"/>
      <c r="U121" s="4003"/>
      <c r="V121" s="4003"/>
      <c r="W121" s="4187"/>
      <c r="X121" s="4187"/>
      <c r="Y121" s="4187"/>
      <c r="Z121" s="4245"/>
      <c r="AA121" s="4091"/>
      <c r="AB121" s="4082"/>
      <c r="AC121" s="4082"/>
      <c r="AD121" s="4082"/>
      <c r="AE121" s="4082"/>
      <c r="AF121" s="4082"/>
      <c r="AG121" s="4082"/>
      <c r="AH121" s="4082"/>
      <c r="AI121" s="4082"/>
      <c r="AJ121" s="4082"/>
      <c r="AK121" s="4082"/>
      <c r="AL121" s="4082"/>
      <c r="AM121" s="4082"/>
      <c r="AN121" s="4082"/>
      <c r="AO121" s="4082"/>
      <c r="AP121" s="4082"/>
      <c r="AQ121" s="4082"/>
      <c r="AR121" s="4082"/>
      <c r="AS121" s="372"/>
      <c r="AT121" s="4082"/>
      <c r="AU121" s="372"/>
      <c r="AV121" s="4082"/>
      <c r="AW121" s="372"/>
      <c r="AX121" s="4082"/>
      <c r="AY121" s="372"/>
      <c r="AZ121" s="4082"/>
      <c r="BA121" s="4082"/>
      <c r="BB121" s="4082"/>
      <c r="BC121" s="4082"/>
      <c r="BD121" s="4082"/>
      <c r="BE121" s="4082"/>
      <c r="BF121" s="4249"/>
      <c r="BG121" s="4082"/>
      <c r="BH121" s="4082"/>
      <c r="BI121" s="4082"/>
      <c r="BJ121" s="4082"/>
      <c r="BK121" s="4082"/>
      <c r="BL121" s="4082"/>
      <c r="BM121" s="4004"/>
      <c r="BN121" s="4119"/>
      <c r="BO121" s="4119"/>
      <c r="BP121" s="4164"/>
      <c r="BQ121" s="4164"/>
      <c r="BR121" s="4122"/>
    </row>
    <row r="122" spans="1:70" s="162" customFormat="1" ht="88.5" customHeight="1" x14ac:dyDescent="0.25">
      <c r="A122" s="441"/>
      <c r="B122" s="442"/>
      <c r="C122" s="442"/>
      <c r="D122" s="437"/>
      <c r="E122" s="438"/>
      <c r="F122" s="439"/>
      <c r="G122" s="400"/>
      <c r="H122" s="400"/>
      <c r="I122" s="400"/>
      <c r="J122" s="332">
        <v>113</v>
      </c>
      <c r="K122" s="367" t="s">
        <v>430</v>
      </c>
      <c r="L122" s="367" t="s">
        <v>431</v>
      </c>
      <c r="M122" s="405">
        <v>1</v>
      </c>
      <c r="N122" s="372">
        <v>0</v>
      </c>
      <c r="O122" s="4004"/>
      <c r="P122" s="4004"/>
      <c r="Q122" s="4002"/>
      <c r="R122" s="335">
        <f>+W122/S120</f>
        <v>0.85624062329465445</v>
      </c>
      <c r="S122" s="4107"/>
      <c r="T122" s="4002"/>
      <c r="U122" s="367" t="s">
        <v>432</v>
      </c>
      <c r="V122" s="367" t="s">
        <v>433</v>
      </c>
      <c r="W122" s="406">
        <v>17868204</v>
      </c>
      <c r="X122" s="406">
        <v>17868204</v>
      </c>
      <c r="Y122" s="406"/>
      <c r="Z122" s="251">
        <v>20</v>
      </c>
      <c r="AA122" s="252" t="s">
        <v>86</v>
      </c>
      <c r="AB122" s="4082"/>
      <c r="AC122" s="4103"/>
      <c r="AD122" s="4082"/>
      <c r="AE122" s="4103"/>
      <c r="AF122" s="4082"/>
      <c r="AG122" s="4103"/>
      <c r="AH122" s="4082"/>
      <c r="AI122" s="4103"/>
      <c r="AJ122" s="4082"/>
      <c r="AK122" s="4103"/>
      <c r="AL122" s="4082"/>
      <c r="AM122" s="4103"/>
      <c r="AN122" s="4082"/>
      <c r="AO122" s="4103"/>
      <c r="AP122" s="4082"/>
      <c r="AQ122" s="4103"/>
      <c r="AR122" s="4082"/>
      <c r="AS122" s="372"/>
      <c r="AT122" s="4082"/>
      <c r="AU122" s="372"/>
      <c r="AV122" s="4082"/>
      <c r="AW122" s="372"/>
      <c r="AX122" s="4082"/>
      <c r="AY122" s="372"/>
      <c r="AZ122" s="4082"/>
      <c r="BA122" s="4103"/>
      <c r="BB122" s="4082"/>
      <c r="BC122" s="4103"/>
      <c r="BD122" s="4082"/>
      <c r="BE122" s="4103"/>
      <c r="BF122" s="4082"/>
      <c r="BG122" s="4103"/>
      <c r="BH122" s="4103"/>
      <c r="BI122" s="4103"/>
      <c r="BJ122" s="4103"/>
      <c r="BK122" s="4103"/>
      <c r="BL122" s="4103"/>
      <c r="BM122" s="4005"/>
      <c r="BN122" s="4120"/>
      <c r="BO122" s="4120"/>
      <c r="BP122" s="4165"/>
      <c r="BQ122" s="4165"/>
      <c r="BR122" s="4122"/>
    </row>
    <row r="123" spans="1:70" s="162" customFormat="1" ht="21.75" customHeight="1" x14ac:dyDescent="0.25">
      <c r="A123" s="4264"/>
      <c r="B123" s="4264"/>
      <c r="C123" s="4264"/>
      <c r="D123" s="292">
        <v>16</v>
      </c>
      <c r="E123" s="293" t="s">
        <v>434</v>
      </c>
      <c r="F123" s="293"/>
      <c r="G123" s="167"/>
      <c r="H123" s="167"/>
      <c r="I123" s="167"/>
      <c r="J123" s="167"/>
      <c r="K123" s="168"/>
      <c r="L123" s="168"/>
      <c r="M123" s="295"/>
      <c r="N123" s="295"/>
      <c r="O123" s="169"/>
      <c r="P123" s="169"/>
      <c r="Q123" s="464"/>
      <c r="R123" s="296"/>
      <c r="S123" s="297"/>
      <c r="T123" s="168"/>
      <c r="U123" s="168"/>
      <c r="V123" s="168"/>
      <c r="W123" s="168"/>
      <c r="X123" s="168"/>
      <c r="Y123" s="465"/>
      <c r="Z123" s="465"/>
      <c r="AA123" s="167"/>
      <c r="AB123" s="169"/>
      <c r="AC123" s="169"/>
      <c r="AD123" s="169"/>
      <c r="AE123" s="169"/>
      <c r="AF123" s="295"/>
      <c r="AG123" s="295"/>
      <c r="AH123" s="295"/>
      <c r="AI123" s="295"/>
      <c r="AJ123" s="295"/>
      <c r="AK123" s="295"/>
      <c r="AL123" s="295"/>
      <c r="AM123" s="295"/>
      <c r="AN123" s="295"/>
      <c r="AO123" s="295"/>
      <c r="AP123" s="295"/>
      <c r="AQ123" s="295"/>
      <c r="AR123" s="295"/>
      <c r="AS123" s="295"/>
      <c r="AT123" s="300"/>
      <c r="AU123" s="300"/>
      <c r="AV123" s="300"/>
      <c r="AW123" s="300"/>
      <c r="AX123" s="173"/>
      <c r="AY123" s="173"/>
      <c r="AZ123" s="173"/>
      <c r="BA123" s="173"/>
      <c r="BB123" s="173"/>
      <c r="BC123" s="173"/>
      <c r="BD123" s="173"/>
      <c r="BE123" s="173"/>
      <c r="BF123" s="173"/>
      <c r="BG123" s="173"/>
      <c r="BH123" s="173"/>
      <c r="BI123" s="173"/>
      <c r="BJ123" s="173"/>
      <c r="BK123" s="173"/>
      <c r="BL123" s="173"/>
      <c r="BM123" s="173"/>
      <c r="BN123" s="173"/>
      <c r="BO123" s="173"/>
      <c r="BP123" s="173"/>
      <c r="BQ123" s="173"/>
      <c r="BR123" s="173"/>
    </row>
    <row r="124" spans="1:70" s="162" customFormat="1" ht="24.75" customHeight="1" x14ac:dyDescent="0.25">
      <c r="A124" s="4264"/>
      <c r="B124" s="4264"/>
      <c r="C124" s="4264"/>
      <c r="D124" s="4265"/>
      <c r="E124" s="4265"/>
      <c r="F124" s="4265"/>
      <c r="G124" s="306">
        <v>57</v>
      </c>
      <c r="H124" s="221" t="s">
        <v>435</v>
      </c>
      <c r="I124" s="221"/>
      <c r="J124" s="221"/>
      <c r="K124" s="368"/>
      <c r="L124" s="368"/>
      <c r="M124" s="466"/>
      <c r="N124" s="466"/>
      <c r="O124" s="467"/>
      <c r="P124" s="307"/>
      <c r="Q124" s="368"/>
      <c r="R124" s="462"/>
      <c r="S124" s="224"/>
      <c r="T124" s="182"/>
      <c r="U124" s="182"/>
      <c r="V124" s="182"/>
      <c r="W124" s="182"/>
      <c r="X124" s="182"/>
      <c r="Y124" s="308"/>
      <c r="Z124" s="308"/>
      <c r="AA124" s="181"/>
      <c r="AB124" s="307"/>
      <c r="AC124" s="307"/>
      <c r="AD124" s="307"/>
      <c r="AE124" s="307"/>
      <c r="AF124" s="221"/>
      <c r="AG124" s="221"/>
      <c r="AH124" s="221"/>
      <c r="AI124" s="221"/>
      <c r="AJ124" s="221"/>
      <c r="AK124" s="221"/>
      <c r="AL124" s="221"/>
      <c r="AM124" s="221"/>
      <c r="AN124" s="221"/>
      <c r="AO124" s="221"/>
      <c r="AP124" s="221"/>
      <c r="AQ124" s="221"/>
      <c r="AR124" s="221"/>
      <c r="AS124" s="221"/>
      <c r="AT124" s="463"/>
      <c r="AU124" s="463"/>
      <c r="AV124" s="463"/>
      <c r="AW124" s="463"/>
      <c r="AX124" s="192"/>
      <c r="AY124" s="192"/>
      <c r="AZ124" s="192"/>
      <c r="BA124" s="192"/>
      <c r="BB124" s="192"/>
      <c r="BC124" s="192"/>
      <c r="BD124" s="192"/>
      <c r="BE124" s="192"/>
      <c r="BF124" s="192"/>
      <c r="BG124" s="192"/>
      <c r="BH124" s="192"/>
      <c r="BI124" s="192"/>
      <c r="BJ124" s="192"/>
      <c r="BK124" s="192"/>
      <c r="BL124" s="192"/>
      <c r="BM124" s="192"/>
      <c r="BN124" s="192"/>
      <c r="BO124" s="192"/>
      <c r="BP124" s="192"/>
      <c r="BQ124" s="192"/>
      <c r="BR124" s="192"/>
    </row>
    <row r="125" spans="1:70" s="162" customFormat="1" ht="87" customHeight="1" x14ac:dyDescent="0.25">
      <c r="A125" s="4264"/>
      <c r="B125" s="4264"/>
      <c r="C125" s="4264"/>
      <c r="D125" s="4265"/>
      <c r="E125" s="4265"/>
      <c r="F125" s="4265"/>
      <c r="G125" s="4266"/>
      <c r="H125" s="4266"/>
      <c r="I125" s="4267"/>
      <c r="J125" s="4020">
        <v>182</v>
      </c>
      <c r="K125" s="4081" t="s">
        <v>436</v>
      </c>
      <c r="L125" s="4006" t="s">
        <v>437</v>
      </c>
      <c r="M125" s="4081">
        <v>1</v>
      </c>
      <c r="N125" s="4081">
        <v>0.5</v>
      </c>
      <c r="O125" s="4006" t="s">
        <v>438</v>
      </c>
      <c r="P125" s="4006" t="s">
        <v>439</v>
      </c>
      <c r="Q125" s="4006" t="s">
        <v>440</v>
      </c>
      <c r="R125" s="4212">
        <f>(+W125+W126)/S125</f>
        <v>1</v>
      </c>
      <c r="S125" s="4106">
        <f>W125+W126</f>
        <v>18817998</v>
      </c>
      <c r="T125" s="4048" t="s">
        <v>441</v>
      </c>
      <c r="U125" s="4048" t="s">
        <v>436</v>
      </c>
      <c r="V125" s="468" t="s">
        <v>442</v>
      </c>
      <c r="W125" s="234">
        <f>18817998-11342000</f>
        <v>7475998</v>
      </c>
      <c r="X125" s="234"/>
      <c r="Y125" s="234"/>
      <c r="Z125" s="248">
        <v>20</v>
      </c>
      <c r="AA125" s="267" t="s">
        <v>86</v>
      </c>
      <c r="AB125" s="4081">
        <v>20555</v>
      </c>
      <c r="AC125" s="4081">
        <v>20555</v>
      </c>
      <c r="AD125" s="4081">
        <v>21361</v>
      </c>
      <c r="AE125" s="4081">
        <v>21361</v>
      </c>
      <c r="AF125" s="4057">
        <v>30460</v>
      </c>
      <c r="AG125" s="4057">
        <v>30460</v>
      </c>
      <c r="AH125" s="4057">
        <v>9593</v>
      </c>
      <c r="AI125" s="4057">
        <v>9593</v>
      </c>
      <c r="AJ125" s="4057">
        <v>1762</v>
      </c>
      <c r="AK125" s="4057">
        <v>1762</v>
      </c>
      <c r="AL125" s="4057">
        <v>101</v>
      </c>
      <c r="AM125" s="4057">
        <v>101</v>
      </c>
      <c r="AN125" s="4057">
        <v>308</v>
      </c>
      <c r="AO125" s="4057">
        <v>308</v>
      </c>
      <c r="AP125" s="4057">
        <v>277</v>
      </c>
      <c r="AQ125" s="4057">
        <v>277</v>
      </c>
      <c r="AR125" s="4057">
        <v>0</v>
      </c>
      <c r="AS125" s="4057"/>
      <c r="AT125" s="4057">
        <v>0</v>
      </c>
      <c r="AU125" s="4057"/>
      <c r="AV125" s="4057">
        <v>0</v>
      </c>
      <c r="AW125" s="4057"/>
      <c r="AX125" s="4112">
        <v>0</v>
      </c>
      <c r="AY125" s="4112"/>
      <c r="AZ125" s="4112">
        <v>2907</v>
      </c>
      <c r="BA125" s="4112">
        <v>2907</v>
      </c>
      <c r="BB125" s="4112">
        <v>2589</v>
      </c>
      <c r="BC125" s="4112">
        <v>2589</v>
      </c>
      <c r="BD125" s="4112">
        <v>2954</v>
      </c>
      <c r="BE125" s="4112">
        <v>2954</v>
      </c>
      <c r="BF125" s="4132">
        <v>41916</v>
      </c>
      <c r="BG125" s="4132">
        <v>41916</v>
      </c>
      <c r="BH125" s="4132">
        <v>1</v>
      </c>
      <c r="BI125" s="4126">
        <f>SUM(X125:X126)</f>
        <v>11342000</v>
      </c>
      <c r="BJ125" s="4126">
        <f>SUM(Y125:Y126)</f>
        <v>11342000</v>
      </c>
      <c r="BK125" s="4132"/>
      <c r="BL125" s="4132" t="s">
        <v>86</v>
      </c>
      <c r="BM125" s="4133" t="s">
        <v>443</v>
      </c>
      <c r="BN125" s="4163">
        <v>43497</v>
      </c>
      <c r="BO125" s="4163">
        <v>43497</v>
      </c>
      <c r="BP125" s="4163" t="s">
        <v>444</v>
      </c>
      <c r="BQ125" s="4163">
        <v>43646</v>
      </c>
      <c r="BR125" s="4121" t="s">
        <v>129</v>
      </c>
    </row>
    <row r="126" spans="1:70" s="162" customFormat="1" ht="73.5" customHeight="1" x14ac:dyDescent="0.25">
      <c r="A126" s="4264"/>
      <c r="B126" s="4264"/>
      <c r="C126" s="4264"/>
      <c r="D126" s="4265"/>
      <c r="E126" s="4265"/>
      <c r="F126" s="4265"/>
      <c r="G126" s="4268"/>
      <c r="H126" s="4268"/>
      <c r="I126" s="4269"/>
      <c r="J126" s="4021"/>
      <c r="K126" s="4103"/>
      <c r="L126" s="4005"/>
      <c r="M126" s="4103"/>
      <c r="N126" s="4103"/>
      <c r="O126" s="4005"/>
      <c r="P126" s="4005"/>
      <c r="Q126" s="4005"/>
      <c r="R126" s="4180"/>
      <c r="S126" s="4108"/>
      <c r="T126" s="4050"/>
      <c r="U126" s="4050"/>
      <c r="V126" s="468" t="s">
        <v>445</v>
      </c>
      <c r="W126" s="234">
        <f>0+11342000</f>
        <v>11342000</v>
      </c>
      <c r="X126" s="234">
        <v>11342000</v>
      </c>
      <c r="Y126" s="234">
        <v>11342000</v>
      </c>
      <c r="Z126" s="248">
        <v>20</v>
      </c>
      <c r="AA126" s="267" t="s">
        <v>86</v>
      </c>
      <c r="AB126" s="4103"/>
      <c r="AC126" s="4103"/>
      <c r="AD126" s="4103"/>
      <c r="AE126" s="4103"/>
      <c r="AF126" s="4058"/>
      <c r="AG126" s="4058"/>
      <c r="AH126" s="4058"/>
      <c r="AI126" s="4058"/>
      <c r="AJ126" s="4058"/>
      <c r="AK126" s="4058"/>
      <c r="AL126" s="4058"/>
      <c r="AM126" s="4058"/>
      <c r="AN126" s="4058"/>
      <c r="AO126" s="4058"/>
      <c r="AP126" s="4058"/>
      <c r="AQ126" s="4058"/>
      <c r="AR126" s="4058"/>
      <c r="AS126" s="4058"/>
      <c r="AT126" s="4058"/>
      <c r="AU126" s="4058"/>
      <c r="AV126" s="4058"/>
      <c r="AW126" s="4058"/>
      <c r="AX126" s="4114"/>
      <c r="AY126" s="4114"/>
      <c r="AZ126" s="4114"/>
      <c r="BA126" s="4114"/>
      <c r="BB126" s="4114"/>
      <c r="BC126" s="4114"/>
      <c r="BD126" s="4114"/>
      <c r="BE126" s="4114"/>
      <c r="BF126" s="4128"/>
      <c r="BG126" s="4128"/>
      <c r="BH126" s="4128"/>
      <c r="BI126" s="4128"/>
      <c r="BJ126" s="4128"/>
      <c r="BK126" s="4128"/>
      <c r="BL126" s="4128"/>
      <c r="BM126" s="4237"/>
      <c r="BN126" s="4165"/>
      <c r="BO126" s="4165"/>
      <c r="BP126" s="4165"/>
      <c r="BQ126" s="4165"/>
      <c r="BR126" s="4123"/>
    </row>
    <row r="127" spans="1:70" s="481" customFormat="1" ht="31.5" customHeight="1" x14ac:dyDescent="0.25">
      <c r="A127" s="4270"/>
      <c r="B127" s="4271"/>
      <c r="C127" s="4271"/>
      <c r="D127" s="4271"/>
      <c r="E127" s="4271"/>
      <c r="F127" s="4271"/>
      <c r="G127" s="4271"/>
      <c r="H127" s="4271"/>
      <c r="I127" s="4272"/>
      <c r="J127" s="144"/>
      <c r="K127" s="469"/>
      <c r="L127" s="469"/>
      <c r="M127" s="470"/>
      <c r="N127" s="471"/>
      <c r="O127" s="470"/>
      <c r="P127" s="472"/>
      <c r="Q127" s="469"/>
      <c r="R127" s="473"/>
      <c r="S127" s="474">
        <f>SUM(S12:S126)</f>
        <v>176099878858.38995</v>
      </c>
      <c r="T127" s="475"/>
      <c r="U127" s="475"/>
      <c r="V127" s="475"/>
      <c r="W127" s="474">
        <f>SUM(W12:W126)</f>
        <v>176099878858.38998</v>
      </c>
      <c r="X127" s="474">
        <f>SUM(X12:X126)</f>
        <v>80197334892</v>
      </c>
      <c r="Y127" s="474">
        <f>SUM(Y12:Y126)</f>
        <v>68534139707</v>
      </c>
      <c r="Z127" s="476"/>
      <c r="AA127" s="477"/>
      <c r="AB127" s="476"/>
      <c r="AC127" s="476"/>
      <c r="AD127" s="476"/>
      <c r="AE127" s="476"/>
      <c r="AF127" s="476"/>
      <c r="AG127" s="476"/>
      <c r="AH127" s="476"/>
      <c r="AI127" s="476"/>
      <c r="AJ127" s="476"/>
      <c r="AK127" s="476"/>
      <c r="AL127" s="476"/>
      <c r="AM127" s="476"/>
      <c r="AN127" s="476"/>
      <c r="AO127" s="476"/>
      <c r="AP127" s="476"/>
      <c r="AQ127" s="476"/>
      <c r="AR127" s="476"/>
      <c r="AS127" s="476"/>
      <c r="AT127" s="476"/>
      <c r="AU127" s="476"/>
      <c r="AV127" s="476"/>
      <c r="AW127" s="476"/>
      <c r="AX127" s="476"/>
      <c r="AY127" s="476"/>
      <c r="AZ127" s="476"/>
      <c r="BA127" s="476"/>
      <c r="BB127" s="476"/>
      <c r="BC127" s="476"/>
      <c r="BD127" s="476"/>
      <c r="BE127" s="476"/>
      <c r="BF127" s="476"/>
      <c r="BG127" s="476"/>
      <c r="BH127" s="476"/>
      <c r="BI127" s="478">
        <f>SUM(BI12:BI126)</f>
        <v>80197334892</v>
      </c>
      <c r="BJ127" s="478">
        <f>SUM(BJ12:BJ126)</f>
        <v>68534139707</v>
      </c>
      <c r="BK127" s="476"/>
      <c r="BL127" s="476"/>
      <c r="BM127" s="476"/>
      <c r="BN127" s="479"/>
      <c r="BO127" s="479"/>
      <c r="BP127" s="479"/>
      <c r="BQ127" s="479"/>
      <c r="BR127" s="480"/>
    </row>
    <row r="128" spans="1:70" s="162" customFormat="1" ht="15.75" x14ac:dyDescent="0.25">
      <c r="A128" s="482"/>
      <c r="B128" s="136"/>
      <c r="C128" s="136"/>
      <c r="D128" s="136"/>
      <c r="E128" s="136"/>
      <c r="F128" s="136"/>
      <c r="G128" s="136"/>
      <c r="H128" s="136"/>
      <c r="I128" s="136"/>
      <c r="J128" s="136"/>
      <c r="K128" s="483"/>
      <c r="L128" s="484"/>
      <c r="M128" s="136"/>
      <c r="N128" s="136"/>
      <c r="O128" s="485"/>
      <c r="P128" s="485"/>
      <c r="Q128" s="483"/>
      <c r="R128" s="486"/>
      <c r="S128" s="487"/>
      <c r="T128" s="483"/>
      <c r="U128" s="483"/>
      <c r="V128" s="483"/>
      <c r="W128" s="488"/>
      <c r="X128" s="488"/>
      <c r="Y128" s="488"/>
      <c r="Z128" s="485"/>
      <c r="AA128" s="489"/>
      <c r="AB128" s="136"/>
      <c r="AC128" s="136"/>
      <c r="AD128" s="136"/>
      <c r="AE128" s="136"/>
      <c r="AF128" s="136"/>
      <c r="AG128" s="136"/>
      <c r="AH128" s="136"/>
      <c r="AI128" s="136"/>
      <c r="AJ128" s="136"/>
      <c r="AK128" s="136"/>
      <c r="AL128" s="136"/>
      <c r="AM128" s="136"/>
      <c r="AN128" s="136"/>
      <c r="AO128" s="136"/>
      <c r="AP128" s="136"/>
      <c r="AQ128" s="136"/>
      <c r="AR128" s="136"/>
      <c r="AS128" s="136"/>
      <c r="BR128" s="490"/>
    </row>
    <row r="129" spans="1:70" s="162" customFormat="1" ht="15.75" x14ac:dyDescent="0.25">
      <c r="A129" s="482"/>
      <c r="B129" s="136"/>
      <c r="C129" s="136"/>
      <c r="D129" s="136"/>
      <c r="E129" s="136"/>
      <c r="F129" s="136"/>
      <c r="G129" s="136"/>
      <c r="H129" s="136"/>
      <c r="I129" s="136"/>
      <c r="J129" s="136"/>
      <c r="K129" s="483"/>
      <c r="L129" s="484"/>
      <c r="M129" s="136"/>
      <c r="N129" s="136"/>
      <c r="O129" s="485"/>
      <c r="P129" s="485"/>
      <c r="Q129" s="483"/>
      <c r="R129" s="486"/>
      <c r="S129" s="491"/>
      <c r="T129" s="483"/>
      <c r="U129" s="483"/>
      <c r="V129" s="483"/>
      <c r="W129" s="491"/>
      <c r="X129" s="491"/>
      <c r="Y129" s="491"/>
      <c r="Z129" s="485"/>
      <c r="AA129" s="489"/>
      <c r="AB129" s="136"/>
      <c r="AC129" s="136"/>
      <c r="AD129" s="136"/>
      <c r="AE129" s="136"/>
      <c r="AF129" s="136"/>
      <c r="AG129" s="136"/>
      <c r="AH129" s="136"/>
      <c r="AI129" s="136"/>
      <c r="AJ129" s="136"/>
      <c r="AK129" s="136"/>
      <c r="AL129" s="136"/>
      <c r="AM129" s="136"/>
      <c r="AN129" s="136"/>
      <c r="AO129" s="136"/>
      <c r="AP129" s="136"/>
      <c r="AQ129" s="136"/>
      <c r="AR129" s="136"/>
      <c r="AS129" s="136"/>
      <c r="BH129" s="491"/>
      <c r="BI129" s="491"/>
      <c r="BJ129" s="491"/>
      <c r="BR129" s="490"/>
    </row>
    <row r="130" spans="1:70" s="162" customFormat="1" ht="15.75" x14ac:dyDescent="0.25">
      <c r="A130" s="482"/>
      <c r="B130" s="136"/>
      <c r="C130" s="136"/>
      <c r="D130" s="136"/>
      <c r="E130" s="136"/>
      <c r="F130" s="136"/>
      <c r="G130" s="136"/>
      <c r="H130" s="136"/>
      <c r="I130" s="136"/>
      <c r="J130" s="136"/>
      <c r="K130" s="483"/>
      <c r="L130" s="484"/>
      <c r="M130" s="136"/>
      <c r="N130" s="136"/>
      <c r="O130" s="485"/>
      <c r="P130" s="485"/>
      <c r="Q130" s="483"/>
      <c r="R130" s="486"/>
      <c r="S130" s="488"/>
      <c r="T130" s="483"/>
      <c r="U130" s="483"/>
      <c r="V130" s="483"/>
      <c r="W130" s="492"/>
      <c r="X130" s="492"/>
      <c r="Y130" s="492"/>
      <c r="Z130" s="485"/>
      <c r="AA130" s="489"/>
      <c r="AB130" s="136"/>
      <c r="AC130" s="136"/>
      <c r="AD130" s="136"/>
      <c r="AE130" s="136"/>
      <c r="AF130" s="136"/>
      <c r="AG130" s="136"/>
      <c r="AH130" s="136"/>
      <c r="AI130" s="136"/>
      <c r="AJ130" s="136"/>
      <c r="AK130" s="136"/>
      <c r="AL130" s="136"/>
      <c r="AM130" s="136"/>
      <c r="AN130" s="136"/>
      <c r="AO130" s="136"/>
      <c r="AP130" s="136"/>
      <c r="AQ130" s="136"/>
      <c r="AR130" s="136"/>
      <c r="AS130" s="136"/>
      <c r="BI130" s="493"/>
      <c r="BJ130" s="493"/>
      <c r="BR130" s="490"/>
    </row>
    <row r="131" spans="1:70" s="162" customFormat="1" ht="15.75" x14ac:dyDescent="0.25">
      <c r="A131" s="482"/>
      <c r="B131" s="136"/>
      <c r="C131" s="136"/>
      <c r="D131" s="136"/>
      <c r="E131" s="136"/>
      <c r="F131" s="136"/>
      <c r="G131" s="136"/>
      <c r="H131" s="136"/>
      <c r="I131" s="136"/>
      <c r="J131" s="136"/>
      <c r="K131" s="483"/>
      <c r="L131" s="484"/>
      <c r="M131" s="136"/>
      <c r="N131" s="136"/>
      <c r="O131" s="485"/>
      <c r="P131" s="485"/>
      <c r="Q131" s="483"/>
      <c r="R131" s="486"/>
      <c r="S131" s="488"/>
      <c r="T131" s="483"/>
      <c r="U131" s="483"/>
      <c r="V131" s="483"/>
      <c r="W131" s="494"/>
      <c r="X131" s="494"/>
      <c r="Y131" s="494"/>
      <c r="Z131" s="485"/>
      <c r="AA131" s="489"/>
      <c r="AB131" s="136"/>
      <c r="AC131" s="136"/>
      <c r="AD131" s="136"/>
      <c r="AE131" s="136"/>
      <c r="AF131" s="136"/>
      <c r="AG131" s="136"/>
      <c r="AH131" s="136"/>
      <c r="AI131" s="136"/>
      <c r="AJ131" s="136"/>
      <c r="AK131" s="136"/>
      <c r="AL131" s="136"/>
      <c r="AM131" s="136"/>
      <c r="AN131" s="136"/>
      <c r="AO131" s="136"/>
      <c r="AP131" s="136"/>
      <c r="AQ131" s="136"/>
      <c r="AR131" s="136"/>
      <c r="AS131" s="136"/>
      <c r="BR131" s="490"/>
    </row>
    <row r="132" spans="1:70" s="162" customFormat="1" ht="15.75" x14ac:dyDescent="0.25">
      <c r="A132" s="482"/>
      <c r="B132" s="136"/>
      <c r="C132" s="136"/>
      <c r="D132" s="136"/>
      <c r="E132" s="136"/>
      <c r="F132" s="136"/>
      <c r="G132" s="136"/>
      <c r="H132" s="136"/>
      <c r="I132" s="136"/>
      <c r="J132" s="136"/>
      <c r="K132" s="483"/>
      <c r="L132" s="484"/>
      <c r="M132" s="136"/>
      <c r="N132" s="136"/>
      <c r="O132" s="485"/>
      <c r="P132" s="485"/>
      <c r="Q132" s="483"/>
      <c r="R132" s="486"/>
      <c r="S132" s="488"/>
      <c r="T132" s="483"/>
      <c r="U132" s="483"/>
      <c r="V132" s="483"/>
      <c r="W132" s="483"/>
      <c r="X132" s="483"/>
      <c r="Y132" s="483"/>
      <c r="Z132" s="485"/>
      <c r="AA132" s="489"/>
      <c r="AB132" s="136"/>
      <c r="AC132" s="136"/>
      <c r="AD132" s="136"/>
      <c r="AE132" s="136"/>
      <c r="AF132" s="136"/>
      <c r="AG132" s="136"/>
      <c r="AH132" s="136"/>
      <c r="AI132" s="136"/>
      <c r="AJ132" s="136"/>
      <c r="AK132" s="136"/>
      <c r="AL132" s="136"/>
      <c r="AM132" s="136"/>
      <c r="AN132" s="136"/>
      <c r="AO132" s="136"/>
      <c r="AP132" s="136"/>
      <c r="AQ132" s="136"/>
      <c r="AR132" s="136"/>
      <c r="AS132" s="136"/>
      <c r="BR132" s="490"/>
    </row>
    <row r="133" spans="1:70" s="162" customFormat="1" ht="15.75" x14ac:dyDescent="0.25">
      <c r="A133" s="136"/>
      <c r="B133" s="136"/>
      <c r="C133" s="136"/>
      <c r="D133" s="136"/>
      <c r="E133" s="136"/>
      <c r="F133" s="136"/>
      <c r="G133" s="485"/>
      <c r="H133" s="484"/>
      <c r="I133" s="136"/>
      <c r="J133" s="136"/>
      <c r="K133" s="484"/>
      <c r="L133" s="484"/>
      <c r="M133" s="136"/>
      <c r="N133" s="136"/>
      <c r="O133" s="4273" t="s">
        <v>446</v>
      </c>
      <c r="P133" s="4273"/>
      <c r="Q133" s="4273"/>
      <c r="R133" s="136"/>
      <c r="S133" s="484"/>
      <c r="T133" s="484"/>
      <c r="U133" s="495"/>
      <c r="V133" s="495"/>
      <c r="W133" s="495"/>
      <c r="X133" s="495"/>
      <c r="Y133" s="495"/>
      <c r="Z133" s="485"/>
      <c r="AA133" s="489"/>
      <c r="AB133" s="136"/>
      <c r="AC133" s="136"/>
      <c r="AD133" s="136"/>
      <c r="AE133" s="136"/>
      <c r="AF133" s="136"/>
      <c r="AG133" s="136"/>
      <c r="AH133" s="136"/>
      <c r="AI133" s="136"/>
      <c r="AJ133" s="136"/>
      <c r="AK133" s="136"/>
      <c r="AL133" s="136"/>
      <c r="AM133" s="136"/>
      <c r="AN133" s="136"/>
      <c r="AO133" s="136"/>
      <c r="AP133" s="136"/>
      <c r="AQ133" s="136"/>
      <c r="AR133" s="136"/>
      <c r="AS133" s="136"/>
      <c r="BR133" s="490"/>
    </row>
    <row r="134" spans="1:70" s="162" customFormat="1" ht="15.75" x14ac:dyDescent="0.25">
      <c r="A134" s="136"/>
      <c r="B134" s="136"/>
      <c r="C134" s="136"/>
      <c r="D134" s="136"/>
      <c r="E134" s="136"/>
      <c r="F134" s="136"/>
      <c r="G134" s="485"/>
      <c r="H134" s="484"/>
      <c r="I134" s="136"/>
      <c r="J134" s="136"/>
      <c r="K134" s="484"/>
      <c r="L134" s="484"/>
      <c r="M134" s="136"/>
      <c r="N134" s="136"/>
      <c r="O134" s="489" t="s">
        <v>447</v>
      </c>
      <c r="P134" s="136"/>
      <c r="Q134" s="496"/>
      <c r="R134" s="136"/>
      <c r="S134" s="484"/>
      <c r="T134" s="484"/>
      <c r="U134" s="495"/>
      <c r="V134" s="495"/>
      <c r="W134" s="495"/>
      <c r="X134" s="495"/>
      <c r="Y134" s="495"/>
      <c r="Z134" s="485"/>
      <c r="AA134" s="489"/>
      <c r="AB134" s="136"/>
      <c r="AC134" s="136"/>
      <c r="AD134" s="136"/>
      <c r="AE134" s="136"/>
      <c r="AF134" s="136"/>
      <c r="AG134" s="136"/>
      <c r="AH134" s="136"/>
      <c r="AI134" s="136"/>
      <c r="AJ134" s="136"/>
      <c r="AK134" s="136"/>
      <c r="AL134" s="136"/>
      <c r="AM134" s="136"/>
      <c r="AN134" s="136"/>
      <c r="AO134" s="136"/>
      <c r="AP134" s="136"/>
      <c r="AQ134" s="136"/>
      <c r="AR134" s="136"/>
      <c r="AS134" s="136"/>
      <c r="BR134" s="490"/>
    </row>
    <row r="135" spans="1:70" s="162" customFormat="1" ht="15.75" x14ac:dyDescent="0.25">
      <c r="A135" s="136"/>
      <c r="B135" s="136"/>
      <c r="C135" s="136"/>
      <c r="D135" s="136"/>
      <c r="E135" s="136"/>
      <c r="F135" s="136"/>
      <c r="G135" s="485"/>
      <c r="H135" s="484"/>
      <c r="I135" s="136"/>
      <c r="J135" s="136"/>
      <c r="K135" s="484"/>
      <c r="L135" s="484"/>
      <c r="M135" s="136"/>
      <c r="N135" s="136"/>
      <c r="O135" s="497"/>
      <c r="P135" s="136"/>
      <c r="Q135" s="496"/>
      <c r="R135" s="136"/>
      <c r="S135" s="484"/>
      <c r="T135" s="484"/>
      <c r="U135" s="495"/>
      <c r="V135" s="495"/>
      <c r="W135" s="495"/>
      <c r="X135" s="495"/>
      <c r="Y135" s="495"/>
      <c r="Z135" s="485"/>
      <c r="AA135" s="489"/>
      <c r="AB135" s="136"/>
      <c r="AC135" s="136"/>
      <c r="AD135" s="136"/>
      <c r="AE135" s="136"/>
      <c r="AF135" s="136"/>
      <c r="AG135" s="136"/>
      <c r="AH135" s="136"/>
      <c r="AI135" s="136"/>
      <c r="AJ135" s="136"/>
      <c r="AK135" s="136"/>
      <c r="AL135" s="136"/>
      <c r="AM135" s="136"/>
      <c r="AN135" s="136"/>
      <c r="AO135" s="136"/>
      <c r="AP135" s="136"/>
      <c r="AQ135" s="136"/>
      <c r="AR135" s="136"/>
      <c r="AS135" s="136"/>
      <c r="BR135" s="490"/>
    </row>
  </sheetData>
  <sheetProtection password="CBEB" sheet="1" objects="1" scenarios="1"/>
  <mergeCells count="947">
    <mergeCell ref="BO125:BO126"/>
    <mergeCell ref="BP125:BP126"/>
    <mergeCell ref="BQ125:BQ126"/>
    <mergeCell ref="BR125:BR126"/>
    <mergeCell ref="A127:I127"/>
    <mergeCell ref="O133:Q133"/>
    <mergeCell ref="BI125:BI126"/>
    <mergeCell ref="BJ125:BJ126"/>
    <mergeCell ref="BK125:BK126"/>
    <mergeCell ref="BL125:BL126"/>
    <mergeCell ref="BM125:BM126"/>
    <mergeCell ref="BN125:BN126"/>
    <mergeCell ref="BC125:BC126"/>
    <mergeCell ref="BD125:BD126"/>
    <mergeCell ref="BE125:BE126"/>
    <mergeCell ref="BF125:BF126"/>
    <mergeCell ref="BG125:BG126"/>
    <mergeCell ref="BH125:BH126"/>
    <mergeCell ref="AW125:AW126"/>
    <mergeCell ref="AX125:AX126"/>
    <mergeCell ref="AY125:AY126"/>
    <mergeCell ref="AZ125:AZ126"/>
    <mergeCell ref="BA125:BA126"/>
    <mergeCell ref="BB125:BB126"/>
    <mergeCell ref="AQ125:AQ126"/>
    <mergeCell ref="AR125:AR126"/>
    <mergeCell ref="AS125:AS126"/>
    <mergeCell ref="AT125:AT126"/>
    <mergeCell ref="AU125:AU126"/>
    <mergeCell ref="AV125:AV126"/>
    <mergeCell ref="AK125:AK126"/>
    <mergeCell ref="AL125:AL126"/>
    <mergeCell ref="AM125:AM126"/>
    <mergeCell ref="AN125:AN126"/>
    <mergeCell ref="AO125:AO126"/>
    <mergeCell ref="AP125:AP126"/>
    <mergeCell ref="AE125:AE126"/>
    <mergeCell ref="AF125:AF126"/>
    <mergeCell ref="AG125:AG126"/>
    <mergeCell ref="AH125:AH126"/>
    <mergeCell ref="AI125:AI126"/>
    <mergeCell ref="AJ125:AJ126"/>
    <mergeCell ref="S125:S126"/>
    <mergeCell ref="T125:T126"/>
    <mergeCell ref="U125:U126"/>
    <mergeCell ref="AB125:AB126"/>
    <mergeCell ref="AC125:AC126"/>
    <mergeCell ref="AD125:AD126"/>
    <mergeCell ref="M125:M126"/>
    <mergeCell ref="N125:N126"/>
    <mergeCell ref="O125:O126"/>
    <mergeCell ref="P125:P126"/>
    <mergeCell ref="Q125:Q126"/>
    <mergeCell ref="R125:R126"/>
    <mergeCell ref="BO120:BO122"/>
    <mergeCell ref="BP120:BP122"/>
    <mergeCell ref="BQ120:BQ122"/>
    <mergeCell ref="BB120:BB122"/>
    <mergeCell ref="AM120:AM122"/>
    <mergeCell ref="AN120:AN122"/>
    <mergeCell ref="AO120:AO122"/>
    <mergeCell ref="AP120:AP122"/>
    <mergeCell ref="AQ120:AQ122"/>
    <mergeCell ref="AR120:AR122"/>
    <mergeCell ref="AG120:AG122"/>
    <mergeCell ref="AH120:AH122"/>
    <mergeCell ref="AI120:AI122"/>
    <mergeCell ref="AJ120:AJ122"/>
    <mergeCell ref="AK120:AK122"/>
    <mergeCell ref="AL120:AL122"/>
    <mergeCell ref="AA120:AA121"/>
    <mergeCell ref="AB120:AB122"/>
    <mergeCell ref="BR120:BR122"/>
    <mergeCell ref="A123:C126"/>
    <mergeCell ref="D124:F126"/>
    <mergeCell ref="G125:I126"/>
    <mergeCell ref="J125:J126"/>
    <mergeCell ref="K125:K126"/>
    <mergeCell ref="L125:L126"/>
    <mergeCell ref="BI120:BI122"/>
    <mergeCell ref="BJ120:BJ122"/>
    <mergeCell ref="BK120:BK122"/>
    <mergeCell ref="BL120:BL122"/>
    <mergeCell ref="BM120:BM122"/>
    <mergeCell ref="BN120:BN122"/>
    <mergeCell ref="BC120:BC122"/>
    <mergeCell ref="BD120:BD122"/>
    <mergeCell ref="BE120:BE122"/>
    <mergeCell ref="BF120:BF122"/>
    <mergeCell ref="BG120:BG122"/>
    <mergeCell ref="BH120:BH122"/>
    <mergeCell ref="AT120:AT122"/>
    <mergeCell ref="AV120:AV122"/>
    <mergeCell ref="AX120:AX122"/>
    <mergeCell ref="AZ120:AZ122"/>
    <mergeCell ref="BA120:BA122"/>
    <mergeCell ref="AC120:AC122"/>
    <mergeCell ref="AD120:AD122"/>
    <mergeCell ref="AE120:AE122"/>
    <mergeCell ref="AF120:AF122"/>
    <mergeCell ref="U120:U121"/>
    <mergeCell ref="V120:V121"/>
    <mergeCell ref="W120:W121"/>
    <mergeCell ref="X120:X121"/>
    <mergeCell ref="Y120:Y121"/>
    <mergeCell ref="Z120:Z121"/>
    <mergeCell ref="O120:O122"/>
    <mergeCell ref="P120:P122"/>
    <mergeCell ref="Q120:Q122"/>
    <mergeCell ref="R120:R121"/>
    <mergeCell ref="S120:S122"/>
    <mergeCell ref="T120:T122"/>
    <mergeCell ref="BN114:BN116"/>
    <mergeCell ref="BO114:BO116"/>
    <mergeCell ref="BP114:BP116"/>
    <mergeCell ref="BA114:BA116"/>
    <mergeCell ref="AL114:AL116"/>
    <mergeCell ref="AM114:AM116"/>
    <mergeCell ref="AN114:AN116"/>
    <mergeCell ref="AO114:AO116"/>
    <mergeCell ref="AP114:AP116"/>
    <mergeCell ref="AQ114:AQ116"/>
    <mergeCell ref="AF114:AF116"/>
    <mergeCell ref="AG114:AG116"/>
    <mergeCell ref="AH114:AH116"/>
    <mergeCell ref="AI114:AI116"/>
    <mergeCell ref="AJ114:AJ116"/>
    <mergeCell ref="AK114:AK116"/>
    <mergeCell ref="U114:U116"/>
    <mergeCell ref="V114:V116"/>
    <mergeCell ref="BQ114:BQ116"/>
    <mergeCell ref="BR114:BR116"/>
    <mergeCell ref="J120:J121"/>
    <mergeCell ref="K120:K121"/>
    <mergeCell ref="L120:L121"/>
    <mergeCell ref="M120:M121"/>
    <mergeCell ref="N120:N121"/>
    <mergeCell ref="BH114:BH116"/>
    <mergeCell ref="BI114:BI116"/>
    <mergeCell ref="BJ114:BJ116"/>
    <mergeCell ref="BK114:BK116"/>
    <mergeCell ref="BL114:BL116"/>
    <mergeCell ref="BM114:BM116"/>
    <mergeCell ref="BB114:BB116"/>
    <mergeCell ref="BC114:BC116"/>
    <mergeCell ref="BD114:BD116"/>
    <mergeCell ref="BE114:BE116"/>
    <mergeCell ref="BF114:BF116"/>
    <mergeCell ref="BG114:BG116"/>
    <mergeCell ref="AR114:AR116"/>
    <mergeCell ref="AT114:AT116"/>
    <mergeCell ref="AV114:AV116"/>
    <mergeCell ref="AX114:AX116"/>
    <mergeCell ref="AZ114:AZ116"/>
    <mergeCell ref="AB114:AB116"/>
    <mergeCell ref="AC114:AC116"/>
    <mergeCell ref="AD114:AD116"/>
    <mergeCell ref="AE114:AE116"/>
    <mergeCell ref="O114:O116"/>
    <mergeCell ref="P114:P116"/>
    <mergeCell ref="Q114:Q116"/>
    <mergeCell ref="R114:R116"/>
    <mergeCell ref="S114:S116"/>
    <mergeCell ref="T114:T116"/>
    <mergeCell ref="G114:I116"/>
    <mergeCell ref="J114:J116"/>
    <mergeCell ref="K114:K116"/>
    <mergeCell ref="L114:L116"/>
    <mergeCell ref="M114:M116"/>
    <mergeCell ref="N114:N116"/>
    <mergeCell ref="BL110:BL112"/>
    <mergeCell ref="BN110:BN112"/>
    <mergeCell ref="BO110:BO112"/>
    <mergeCell ref="AT110:AT112"/>
    <mergeCell ref="AV110:AV112"/>
    <mergeCell ref="AX110:AX112"/>
    <mergeCell ref="AZ110:AZ112"/>
    <mergeCell ref="BA110:BA112"/>
    <mergeCell ref="BB110:BB112"/>
    <mergeCell ref="AM110:AM112"/>
    <mergeCell ref="AN110:AN112"/>
    <mergeCell ref="AO110:AO112"/>
    <mergeCell ref="AP110:AP112"/>
    <mergeCell ref="AQ110:AQ112"/>
    <mergeCell ref="AR110:AR112"/>
    <mergeCell ref="AG110:AG112"/>
    <mergeCell ref="AH110:AH112"/>
    <mergeCell ref="AI110:AI112"/>
    <mergeCell ref="BP110:BP112"/>
    <mergeCell ref="BQ110:BQ112"/>
    <mergeCell ref="BR110:BR112"/>
    <mergeCell ref="BC110:BC112"/>
    <mergeCell ref="BD110:BD112"/>
    <mergeCell ref="BE110:BE112"/>
    <mergeCell ref="BF110:BF112"/>
    <mergeCell ref="BG110:BG112"/>
    <mergeCell ref="BI110:BI112"/>
    <mergeCell ref="AJ110:AJ112"/>
    <mergeCell ref="AK110:AK112"/>
    <mergeCell ref="AL110:AL112"/>
    <mergeCell ref="AA110:AA111"/>
    <mergeCell ref="AB110:AB112"/>
    <mergeCell ref="AC110:AC112"/>
    <mergeCell ref="AD110:AD112"/>
    <mergeCell ref="AE110:AE112"/>
    <mergeCell ref="AF110:AF112"/>
    <mergeCell ref="U110:U111"/>
    <mergeCell ref="V110:V111"/>
    <mergeCell ref="W110:W111"/>
    <mergeCell ref="X110:X111"/>
    <mergeCell ref="Y110:Y111"/>
    <mergeCell ref="Z110:Z111"/>
    <mergeCell ref="O110:O112"/>
    <mergeCell ref="P110:P112"/>
    <mergeCell ref="Q110:Q112"/>
    <mergeCell ref="R110:R111"/>
    <mergeCell ref="S110:S112"/>
    <mergeCell ref="T110:T112"/>
    <mergeCell ref="BN104:BN107"/>
    <mergeCell ref="BO104:BO107"/>
    <mergeCell ref="BP104:BP107"/>
    <mergeCell ref="BQ104:BQ107"/>
    <mergeCell ref="BR104:BR107"/>
    <mergeCell ref="J110:J111"/>
    <mergeCell ref="K110:K111"/>
    <mergeCell ref="L110:L111"/>
    <mergeCell ref="M110:M111"/>
    <mergeCell ref="N110:N111"/>
    <mergeCell ref="BH104:BH107"/>
    <mergeCell ref="BI104:BI107"/>
    <mergeCell ref="BJ104:BJ107"/>
    <mergeCell ref="BK104:BK107"/>
    <mergeCell ref="BL104:BL107"/>
    <mergeCell ref="BM104:BM107"/>
    <mergeCell ref="BB104:BB107"/>
    <mergeCell ref="BC104:BC107"/>
    <mergeCell ref="BD104:BD107"/>
    <mergeCell ref="BE104:BE107"/>
    <mergeCell ref="BF104:BF107"/>
    <mergeCell ref="BG104:BG107"/>
    <mergeCell ref="AV104:AV107"/>
    <mergeCell ref="AW104:AW107"/>
    <mergeCell ref="AX104:AX107"/>
    <mergeCell ref="AY104:AY107"/>
    <mergeCell ref="AZ104:AZ107"/>
    <mergeCell ref="BA104:BA107"/>
    <mergeCell ref="AP104:AP107"/>
    <mergeCell ref="AQ104:AQ107"/>
    <mergeCell ref="AR104:AR107"/>
    <mergeCell ref="AS104:AS107"/>
    <mergeCell ref="AT104:AT107"/>
    <mergeCell ref="AU104:AU107"/>
    <mergeCell ref="AJ104:AJ107"/>
    <mergeCell ref="AK104:AK107"/>
    <mergeCell ref="AL104:AL107"/>
    <mergeCell ref="AM104:AM107"/>
    <mergeCell ref="AN104:AN107"/>
    <mergeCell ref="AO104:AO107"/>
    <mergeCell ref="AD104:AD107"/>
    <mergeCell ref="AE104:AE107"/>
    <mergeCell ref="AF104:AF107"/>
    <mergeCell ref="AG104:AG107"/>
    <mergeCell ref="AH104:AH107"/>
    <mergeCell ref="AI104:AI107"/>
    <mergeCell ref="S104:S107"/>
    <mergeCell ref="T104:T107"/>
    <mergeCell ref="U104:U107"/>
    <mergeCell ref="V104:V105"/>
    <mergeCell ref="AB104:AB107"/>
    <mergeCell ref="AC104:AC107"/>
    <mergeCell ref="R102:R103"/>
    <mergeCell ref="V102:V103"/>
    <mergeCell ref="J104:J107"/>
    <mergeCell ref="K104:K107"/>
    <mergeCell ref="L104:L107"/>
    <mergeCell ref="M104:M107"/>
    <mergeCell ref="N104:N107"/>
    <mergeCell ref="P104:P107"/>
    <mergeCell ref="Q104:Q107"/>
    <mergeCell ref="R104:R107"/>
    <mergeCell ref="W100:W101"/>
    <mergeCell ref="X100:X101"/>
    <mergeCell ref="Y100:Y101"/>
    <mergeCell ref="Z100:Z101"/>
    <mergeCell ref="AA100:AA101"/>
    <mergeCell ref="J102:J103"/>
    <mergeCell ref="K102:K103"/>
    <mergeCell ref="L102:L103"/>
    <mergeCell ref="M102:M103"/>
    <mergeCell ref="N102:N103"/>
    <mergeCell ref="R97:R98"/>
    <mergeCell ref="V97:V98"/>
    <mergeCell ref="J99:J101"/>
    <mergeCell ref="K99:K101"/>
    <mergeCell ref="L99:L101"/>
    <mergeCell ref="M99:M101"/>
    <mergeCell ref="N99:N101"/>
    <mergeCell ref="R99:R101"/>
    <mergeCell ref="V99:V101"/>
    <mergeCell ref="BN96:BN103"/>
    <mergeCell ref="BO96:BO103"/>
    <mergeCell ref="BP96:BP103"/>
    <mergeCell ref="BQ96:BQ103"/>
    <mergeCell ref="BR96:BR103"/>
    <mergeCell ref="J97:J98"/>
    <mergeCell ref="K97:K98"/>
    <mergeCell ref="L97:L98"/>
    <mergeCell ref="M97:M98"/>
    <mergeCell ref="N97:N98"/>
    <mergeCell ref="BH96:BH103"/>
    <mergeCell ref="BI96:BI103"/>
    <mergeCell ref="BJ96:BJ103"/>
    <mergeCell ref="BK96:BK103"/>
    <mergeCell ref="BL96:BL103"/>
    <mergeCell ref="BM96:BM103"/>
    <mergeCell ref="BB96:BB103"/>
    <mergeCell ref="BC96:BC103"/>
    <mergeCell ref="BD96:BD103"/>
    <mergeCell ref="BE96:BE103"/>
    <mergeCell ref="BF96:BF103"/>
    <mergeCell ref="BG96:BG103"/>
    <mergeCell ref="AV96:AV103"/>
    <mergeCell ref="AW96:AW103"/>
    <mergeCell ref="AX96:AX103"/>
    <mergeCell ref="AY96:AY103"/>
    <mergeCell ref="AZ96:AZ103"/>
    <mergeCell ref="BA96:BA103"/>
    <mergeCell ref="AP96:AP103"/>
    <mergeCell ref="AQ96:AQ103"/>
    <mergeCell ref="AR96:AR103"/>
    <mergeCell ref="AS96:AS103"/>
    <mergeCell ref="AT96:AT103"/>
    <mergeCell ref="AU96:AU103"/>
    <mergeCell ref="AJ96:AJ103"/>
    <mergeCell ref="AK96:AK103"/>
    <mergeCell ref="AL96:AL103"/>
    <mergeCell ref="AM96:AM103"/>
    <mergeCell ref="AN96:AN103"/>
    <mergeCell ref="AO96:AO103"/>
    <mergeCell ref="AD96:AD103"/>
    <mergeCell ref="AE96:AE103"/>
    <mergeCell ref="AF96:AF103"/>
    <mergeCell ref="AG96:AG103"/>
    <mergeCell ref="AH96:AH103"/>
    <mergeCell ref="AI96:AI103"/>
    <mergeCell ref="BR90:BR94"/>
    <mergeCell ref="A92:C107"/>
    <mergeCell ref="D92:F107"/>
    <mergeCell ref="P96:P102"/>
    <mergeCell ref="Q96:Q102"/>
    <mergeCell ref="S96:S103"/>
    <mergeCell ref="T96:T102"/>
    <mergeCell ref="U96:U102"/>
    <mergeCell ref="AB96:AB103"/>
    <mergeCell ref="AC96:AC103"/>
    <mergeCell ref="BL90:BL94"/>
    <mergeCell ref="BM90:BM94"/>
    <mergeCell ref="BN90:BN94"/>
    <mergeCell ref="BO90:BO94"/>
    <mergeCell ref="BP90:BP94"/>
    <mergeCell ref="BQ90:BQ94"/>
    <mergeCell ref="BF90:BF94"/>
    <mergeCell ref="BG90:BG94"/>
    <mergeCell ref="BH90:BH94"/>
    <mergeCell ref="BI90:BI94"/>
    <mergeCell ref="BJ90:BJ94"/>
    <mergeCell ref="BK90:BK94"/>
    <mergeCell ref="AZ90:AZ94"/>
    <mergeCell ref="BA90:BA94"/>
    <mergeCell ref="BB90:BB94"/>
    <mergeCell ref="BC90:BC94"/>
    <mergeCell ref="BD90:BD94"/>
    <mergeCell ref="BE90:BE94"/>
    <mergeCell ref="AT90:AT94"/>
    <mergeCell ref="AU90:AU94"/>
    <mergeCell ref="AV90:AV94"/>
    <mergeCell ref="AW90:AW94"/>
    <mergeCell ref="AX90:AX94"/>
    <mergeCell ref="AY90:AY94"/>
    <mergeCell ref="AN90:AN94"/>
    <mergeCell ref="AO90:AO94"/>
    <mergeCell ref="AP90:AP94"/>
    <mergeCell ref="AQ90:AQ94"/>
    <mergeCell ref="AR90:AR94"/>
    <mergeCell ref="AS90:AS94"/>
    <mergeCell ref="AH90:AH94"/>
    <mergeCell ref="AI90:AI94"/>
    <mergeCell ref="AJ90:AJ94"/>
    <mergeCell ref="AK90:AK94"/>
    <mergeCell ref="AL90:AL94"/>
    <mergeCell ref="AM90:AM94"/>
    <mergeCell ref="AB90:AB94"/>
    <mergeCell ref="AC90:AC94"/>
    <mergeCell ref="AD90:AD94"/>
    <mergeCell ref="AE90:AE94"/>
    <mergeCell ref="AF90:AF94"/>
    <mergeCell ref="AG90:AG94"/>
    <mergeCell ref="P90:P94"/>
    <mergeCell ref="Q90:Q94"/>
    <mergeCell ref="S90:S94"/>
    <mergeCell ref="T90:T94"/>
    <mergeCell ref="Z90:Z94"/>
    <mergeCell ref="AA90:AA94"/>
    <mergeCell ref="BP83:BP87"/>
    <mergeCell ref="BQ83:BQ87"/>
    <mergeCell ref="BR83:BR87"/>
    <mergeCell ref="W84:W87"/>
    <mergeCell ref="X84:X87"/>
    <mergeCell ref="Y84:Y87"/>
    <mergeCell ref="Z84:Z87"/>
    <mergeCell ref="AA84:AA87"/>
    <mergeCell ref="BJ83:BJ87"/>
    <mergeCell ref="BK83:BK87"/>
    <mergeCell ref="BL83:BL87"/>
    <mergeCell ref="BM83:BM87"/>
    <mergeCell ref="BN83:BN87"/>
    <mergeCell ref="BO83:BO87"/>
    <mergeCell ref="BD83:BD87"/>
    <mergeCell ref="BE83:BE87"/>
    <mergeCell ref="BF83:BF87"/>
    <mergeCell ref="BG83:BG87"/>
    <mergeCell ref="BH83:BH87"/>
    <mergeCell ref="BI83:BI87"/>
    <mergeCell ref="AX83:AX87"/>
    <mergeCell ref="AY83:AY87"/>
    <mergeCell ref="AZ83:AZ87"/>
    <mergeCell ref="BA83:BA87"/>
    <mergeCell ref="BB83:BB87"/>
    <mergeCell ref="BC83:BC87"/>
    <mergeCell ref="AR83:AR87"/>
    <mergeCell ref="AS83:AS87"/>
    <mergeCell ref="AT83:AT87"/>
    <mergeCell ref="AU83:AU87"/>
    <mergeCell ref="AV83:AV87"/>
    <mergeCell ref="AW83:AW87"/>
    <mergeCell ref="AL83:AL87"/>
    <mergeCell ref="AM83:AM87"/>
    <mergeCell ref="AN83:AN87"/>
    <mergeCell ref="AO83:AO87"/>
    <mergeCell ref="AP83:AP87"/>
    <mergeCell ref="AQ83:AQ87"/>
    <mergeCell ref="AF83:AF87"/>
    <mergeCell ref="AG83:AG87"/>
    <mergeCell ref="AH83:AH87"/>
    <mergeCell ref="AI83:AI87"/>
    <mergeCell ref="AJ83:AJ87"/>
    <mergeCell ref="AK83:AK87"/>
    <mergeCell ref="U83:U87"/>
    <mergeCell ref="V83:V87"/>
    <mergeCell ref="AB83:AB87"/>
    <mergeCell ref="AC83:AC87"/>
    <mergeCell ref="AD83:AD87"/>
    <mergeCell ref="AE83:AE87"/>
    <mergeCell ref="N83:N87"/>
    <mergeCell ref="P83:P87"/>
    <mergeCell ref="Q83:Q87"/>
    <mergeCell ref="R83:R87"/>
    <mergeCell ref="S83:S87"/>
    <mergeCell ref="T83:T87"/>
    <mergeCell ref="W79:W80"/>
    <mergeCell ref="X79:X80"/>
    <mergeCell ref="Y79:Y80"/>
    <mergeCell ref="G83:I87"/>
    <mergeCell ref="J83:J87"/>
    <mergeCell ref="K83:K87"/>
    <mergeCell ref="L83:L87"/>
    <mergeCell ref="M83:M87"/>
    <mergeCell ref="J79:J80"/>
    <mergeCell ref="K79:K80"/>
    <mergeCell ref="L79:L80"/>
    <mergeCell ref="M79:M80"/>
    <mergeCell ref="BO75:BO81"/>
    <mergeCell ref="BP75:BP81"/>
    <mergeCell ref="BQ75:BQ81"/>
    <mergeCell ref="BR75:BR81"/>
    <mergeCell ref="J77:J78"/>
    <mergeCell ref="K77:K78"/>
    <mergeCell ref="L77:L78"/>
    <mergeCell ref="M77:M78"/>
    <mergeCell ref="N77:N78"/>
    <mergeCell ref="R77:R78"/>
    <mergeCell ref="BI75:BI81"/>
    <mergeCell ref="BJ75:BJ81"/>
    <mergeCell ref="BK75:BK81"/>
    <mergeCell ref="BL75:BL81"/>
    <mergeCell ref="BM75:BM81"/>
    <mergeCell ref="BN75:BN81"/>
    <mergeCell ref="BC75:BC81"/>
    <mergeCell ref="BD75:BD81"/>
    <mergeCell ref="BE75:BE81"/>
    <mergeCell ref="BF75:BF81"/>
    <mergeCell ref="BG75:BG81"/>
    <mergeCell ref="BH75:BH81"/>
    <mergeCell ref="AW75:AW81"/>
    <mergeCell ref="AX75:AX81"/>
    <mergeCell ref="AY75:AY81"/>
    <mergeCell ref="AZ75:AZ81"/>
    <mergeCell ref="BA75:BA81"/>
    <mergeCell ref="BB75:BB81"/>
    <mergeCell ref="AQ75:AQ81"/>
    <mergeCell ref="AR75:AR81"/>
    <mergeCell ref="AS75:AS81"/>
    <mergeCell ref="AT75:AT81"/>
    <mergeCell ref="AU75:AU81"/>
    <mergeCell ref="AV75:AV81"/>
    <mergeCell ref="AK75:AK81"/>
    <mergeCell ref="AL75:AL81"/>
    <mergeCell ref="AM75:AM81"/>
    <mergeCell ref="AN75:AN81"/>
    <mergeCell ref="AO75:AO81"/>
    <mergeCell ref="AP75:AP81"/>
    <mergeCell ref="AE75:AE81"/>
    <mergeCell ref="AF75:AF81"/>
    <mergeCell ref="AG75:AG81"/>
    <mergeCell ref="AH75:AH81"/>
    <mergeCell ref="AI75:AI81"/>
    <mergeCell ref="AJ75:AJ81"/>
    <mergeCell ref="AB75:AB81"/>
    <mergeCell ref="AC75:AC81"/>
    <mergeCell ref="AD75:AD81"/>
    <mergeCell ref="U77:U78"/>
    <mergeCell ref="V77:V78"/>
    <mergeCell ref="U79:U80"/>
    <mergeCell ref="V79:V80"/>
    <mergeCell ref="V70:V72"/>
    <mergeCell ref="J75:J76"/>
    <mergeCell ref="K75:K76"/>
    <mergeCell ref="L75:L76"/>
    <mergeCell ref="M75:M76"/>
    <mergeCell ref="N75:N76"/>
    <mergeCell ref="P75:P81"/>
    <mergeCell ref="Q75:Q81"/>
    <mergeCell ref="R75:R76"/>
    <mergeCell ref="S75:S81"/>
    <mergeCell ref="Z79:Z80"/>
    <mergeCell ref="AA79:AA80"/>
    <mergeCell ref="N79:N80"/>
    <mergeCell ref="R79:R80"/>
    <mergeCell ref="T75:T81"/>
    <mergeCell ref="U75:U76"/>
    <mergeCell ref="V75:V76"/>
    <mergeCell ref="U67:U69"/>
    <mergeCell ref="J70:J72"/>
    <mergeCell ref="K70:K72"/>
    <mergeCell ref="L70:L72"/>
    <mergeCell ref="M70:M72"/>
    <mergeCell ref="N70:N72"/>
    <mergeCell ref="R70:R72"/>
    <mergeCell ref="U70:U72"/>
    <mergeCell ref="J67:J69"/>
    <mergeCell ref="K67:K69"/>
    <mergeCell ref="L67:L69"/>
    <mergeCell ref="M67:M69"/>
    <mergeCell ref="N67:N69"/>
    <mergeCell ref="R67:R69"/>
    <mergeCell ref="S55:S73"/>
    <mergeCell ref="T55:T73"/>
    <mergeCell ref="U55:U56"/>
    <mergeCell ref="M63:M65"/>
    <mergeCell ref="N63:N65"/>
    <mergeCell ref="R63:R65"/>
    <mergeCell ref="J61:J62"/>
    <mergeCell ref="K61:K62"/>
    <mergeCell ref="L61:L62"/>
    <mergeCell ref="M61:M62"/>
    <mergeCell ref="N61:N62"/>
    <mergeCell ref="R61:R62"/>
    <mergeCell ref="Q55:Q73"/>
    <mergeCell ref="R55:R56"/>
    <mergeCell ref="BR55:BR73"/>
    <mergeCell ref="AQ56:AQ73"/>
    <mergeCell ref="AS56:AS73"/>
    <mergeCell ref="AU56:AU73"/>
    <mergeCell ref="AW56:AW73"/>
    <mergeCell ref="AY56:AY73"/>
    <mergeCell ref="BC56:BC73"/>
    <mergeCell ref="BL55:BL73"/>
    <mergeCell ref="BM55:BM73"/>
    <mergeCell ref="BN55:BN73"/>
    <mergeCell ref="BO55:BO73"/>
    <mergeCell ref="BP55:BP73"/>
    <mergeCell ref="BQ55:BQ73"/>
    <mergeCell ref="BF55:BF73"/>
    <mergeCell ref="BG55:BG73"/>
    <mergeCell ref="BH55:BH73"/>
    <mergeCell ref="BI55:BI73"/>
    <mergeCell ref="BJ55:BJ73"/>
    <mergeCell ref="BK55:BK73"/>
    <mergeCell ref="AX55:AX73"/>
    <mergeCell ref="AZ55:AZ73"/>
    <mergeCell ref="BA55:BA73"/>
    <mergeCell ref="BB55:BB73"/>
    <mergeCell ref="BD55:BD73"/>
    <mergeCell ref="BE55:BE73"/>
    <mergeCell ref="AN55:AN73"/>
    <mergeCell ref="AO55:AO73"/>
    <mergeCell ref="AP55:AP73"/>
    <mergeCell ref="AR55:AR73"/>
    <mergeCell ref="AT55:AT73"/>
    <mergeCell ref="AV55:AV73"/>
    <mergeCell ref="AH55:AH73"/>
    <mergeCell ref="AI55:AI73"/>
    <mergeCell ref="AJ55:AJ73"/>
    <mergeCell ref="AK55:AK73"/>
    <mergeCell ref="AL55:AL73"/>
    <mergeCell ref="AM55:AM73"/>
    <mergeCell ref="AB55:AB73"/>
    <mergeCell ref="AC55:AC73"/>
    <mergeCell ref="AD55:AD73"/>
    <mergeCell ref="AE55:AE73"/>
    <mergeCell ref="AF55:AF73"/>
    <mergeCell ref="AG55:AG73"/>
    <mergeCell ref="V55:V56"/>
    <mergeCell ref="U59:U60"/>
    <mergeCell ref="V59:V60"/>
    <mergeCell ref="U61:U62"/>
    <mergeCell ref="U63:U65"/>
    <mergeCell ref="U46:U47"/>
    <mergeCell ref="V46:V47"/>
    <mergeCell ref="O47:O53"/>
    <mergeCell ref="G55:I73"/>
    <mergeCell ref="J55:J56"/>
    <mergeCell ref="K55:K56"/>
    <mergeCell ref="L55:L56"/>
    <mergeCell ref="M55:M56"/>
    <mergeCell ref="N55:N56"/>
    <mergeCell ref="P55:P73"/>
    <mergeCell ref="J59:J60"/>
    <mergeCell ref="K59:K60"/>
    <mergeCell ref="L59:L60"/>
    <mergeCell ref="M59:M60"/>
    <mergeCell ref="N59:N60"/>
    <mergeCell ref="R59:R60"/>
    <mergeCell ref="J63:J65"/>
    <mergeCell ref="K63:K65"/>
    <mergeCell ref="L63:L65"/>
    <mergeCell ref="BO45:BO53"/>
    <mergeCell ref="BP45:BP53"/>
    <mergeCell ref="BQ45:BQ53"/>
    <mergeCell ref="BR45:BR53"/>
    <mergeCell ref="J46:J47"/>
    <mergeCell ref="K46:K47"/>
    <mergeCell ref="L46:L47"/>
    <mergeCell ref="M46:M47"/>
    <mergeCell ref="N46:N47"/>
    <mergeCell ref="R46:R47"/>
    <mergeCell ref="BI45:BI53"/>
    <mergeCell ref="BJ45:BJ53"/>
    <mergeCell ref="BK45:BK53"/>
    <mergeCell ref="BL45:BL53"/>
    <mergeCell ref="BM45:BM53"/>
    <mergeCell ref="BN45:BN53"/>
    <mergeCell ref="BC45:BC53"/>
    <mergeCell ref="BD45:BD53"/>
    <mergeCell ref="BE45:BE53"/>
    <mergeCell ref="BF45:BF53"/>
    <mergeCell ref="BG45:BG53"/>
    <mergeCell ref="BH45:BH53"/>
    <mergeCell ref="AW45:AW53"/>
    <mergeCell ref="AX45:AX53"/>
    <mergeCell ref="AY45:AY53"/>
    <mergeCell ref="AZ45:AZ53"/>
    <mergeCell ref="BA45:BA53"/>
    <mergeCell ref="BB45:BB53"/>
    <mergeCell ref="AQ45:AQ53"/>
    <mergeCell ref="AR45:AR53"/>
    <mergeCell ref="AS45:AS53"/>
    <mergeCell ref="AT45:AT53"/>
    <mergeCell ref="AU45:AU53"/>
    <mergeCell ref="AV45:AV53"/>
    <mergeCell ref="AK45:AK53"/>
    <mergeCell ref="AL45:AL53"/>
    <mergeCell ref="AM45:AM53"/>
    <mergeCell ref="AN45:AN53"/>
    <mergeCell ref="AO45:AO53"/>
    <mergeCell ref="AP45:AP53"/>
    <mergeCell ref="AE45:AE53"/>
    <mergeCell ref="AF45:AF53"/>
    <mergeCell ref="AG45:AG53"/>
    <mergeCell ref="AH45:AH53"/>
    <mergeCell ref="AI45:AI53"/>
    <mergeCell ref="AJ45:AJ53"/>
    <mergeCell ref="BP35:BP42"/>
    <mergeCell ref="BQ35:BQ42"/>
    <mergeCell ref="BR35:BR42"/>
    <mergeCell ref="P45:P53"/>
    <mergeCell ref="Q45:Q53"/>
    <mergeCell ref="S45:S53"/>
    <mergeCell ref="T45:T53"/>
    <mergeCell ref="AB45:AB53"/>
    <mergeCell ref="AC45:AC53"/>
    <mergeCell ref="AD45:AD53"/>
    <mergeCell ref="BJ35:BJ42"/>
    <mergeCell ref="BK35:BK42"/>
    <mergeCell ref="BL35:BL42"/>
    <mergeCell ref="BM35:BM42"/>
    <mergeCell ref="BN35:BN42"/>
    <mergeCell ref="BO35:BO42"/>
    <mergeCell ref="BD35:BD42"/>
    <mergeCell ref="BE35:BE42"/>
    <mergeCell ref="BF35:BF42"/>
    <mergeCell ref="BG35:BG42"/>
    <mergeCell ref="BH35:BH42"/>
    <mergeCell ref="BI35:BI42"/>
    <mergeCell ref="AV35:AV42"/>
    <mergeCell ref="AX35:AX42"/>
    <mergeCell ref="AZ35:AZ42"/>
    <mergeCell ref="BA35:BA42"/>
    <mergeCell ref="BB35:BB42"/>
    <mergeCell ref="BC35:BC42"/>
    <mergeCell ref="AN35:AN42"/>
    <mergeCell ref="AO35:AO42"/>
    <mergeCell ref="AP35:AP42"/>
    <mergeCell ref="AQ35:AQ42"/>
    <mergeCell ref="AR35:AR42"/>
    <mergeCell ref="AT35:AT42"/>
    <mergeCell ref="AH35:AH42"/>
    <mergeCell ref="AI35:AI42"/>
    <mergeCell ref="AJ35:AJ42"/>
    <mergeCell ref="AK35:AK42"/>
    <mergeCell ref="AL35:AL42"/>
    <mergeCell ref="AM35:AM42"/>
    <mergeCell ref="AB35:AB42"/>
    <mergeCell ref="AC35:AC42"/>
    <mergeCell ref="AD35:AD42"/>
    <mergeCell ref="AE35:AE42"/>
    <mergeCell ref="AF35:AF42"/>
    <mergeCell ref="AG35:AG42"/>
    <mergeCell ref="Q35:Q42"/>
    <mergeCell ref="R35:R42"/>
    <mergeCell ref="S35:S42"/>
    <mergeCell ref="T35:T42"/>
    <mergeCell ref="U35:U42"/>
    <mergeCell ref="V35:V42"/>
    <mergeCell ref="N32:N33"/>
    <mergeCell ref="R32:R33"/>
    <mergeCell ref="V32:V33"/>
    <mergeCell ref="P26:P34"/>
    <mergeCell ref="Q26:Q34"/>
    <mergeCell ref="R26:R27"/>
    <mergeCell ref="S26:S34"/>
    <mergeCell ref="T26:T32"/>
    <mergeCell ref="U26:U34"/>
    <mergeCell ref="R29:R30"/>
    <mergeCell ref="J35:J42"/>
    <mergeCell ref="K35:K42"/>
    <mergeCell ref="L35:L42"/>
    <mergeCell ref="M35:M42"/>
    <mergeCell ref="N35:N42"/>
    <mergeCell ref="O35:O42"/>
    <mergeCell ref="P35:P42"/>
    <mergeCell ref="BQ26:BQ32"/>
    <mergeCell ref="BR26:BR32"/>
    <mergeCell ref="BL26:BL33"/>
    <mergeCell ref="BM26:BM32"/>
    <mergeCell ref="BN26:BN32"/>
    <mergeCell ref="BO26:BO32"/>
    <mergeCell ref="BP26:BP32"/>
    <mergeCell ref="AV26:AV32"/>
    <mergeCell ref="AW26:AW32"/>
    <mergeCell ref="AX26:AX32"/>
    <mergeCell ref="AM26:AM32"/>
    <mergeCell ref="AN26:AN32"/>
    <mergeCell ref="AO26:AO32"/>
    <mergeCell ref="AP26:AP32"/>
    <mergeCell ref="AQ26:AQ32"/>
    <mergeCell ref="AR26:AR32"/>
    <mergeCell ref="AG26:AG32"/>
    <mergeCell ref="A28:C42"/>
    <mergeCell ref="D28:F42"/>
    <mergeCell ref="G28:I42"/>
    <mergeCell ref="J29:J30"/>
    <mergeCell ref="K29:K30"/>
    <mergeCell ref="L29:L30"/>
    <mergeCell ref="M29:M30"/>
    <mergeCell ref="N29:N30"/>
    <mergeCell ref="BK26:BK33"/>
    <mergeCell ref="BE26:BE32"/>
    <mergeCell ref="BF26:BF32"/>
    <mergeCell ref="BG26:BG32"/>
    <mergeCell ref="BH26:BH33"/>
    <mergeCell ref="BI26:BI33"/>
    <mergeCell ref="BJ26:BJ33"/>
    <mergeCell ref="AY26:AY32"/>
    <mergeCell ref="AZ26:AZ32"/>
    <mergeCell ref="BA26:BA32"/>
    <mergeCell ref="BB26:BB32"/>
    <mergeCell ref="BC26:BC32"/>
    <mergeCell ref="BD26:BD32"/>
    <mergeCell ref="AS26:AS32"/>
    <mergeCell ref="AT26:AT32"/>
    <mergeCell ref="AU26:AU32"/>
    <mergeCell ref="AH26:AH32"/>
    <mergeCell ref="AI26:AI32"/>
    <mergeCell ref="AJ26:AJ32"/>
    <mergeCell ref="AK26:AK32"/>
    <mergeCell ref="AL26:AL32"/>
    <mergeCell ref="V26:V27"/>
    <mergeCell ref="AB26:AB32"/>
    <mergeCell ref="AC26:AC32"/>
    <mergeCell ref="AD26:AD32"/>
    <mergeCell ref="AE26:AE32"/>
    <mergeCell ref="AF26:AF32"/>
    <mergeCell ref="J26:J27"/>
    <mergeCell ref="K26:K27"/>
    <mergeCell ref="L26:L27"/>
    <mergeCell ref="M26:M27"/>
    <mergeCell ref="N26:N27"/>
    <mergeCell ref="O26:O34"/>
    <mergeCell ref="J32:J33"/>
    <mergeCell ref="K32:K33"/>
    <mergeCell ref="L32:L33"/>
    <mergeCell ref="M32:M33"/>
    <mergeCell ref="J21:J24"/>
    <mergeCell ref="K21:K24"/>
    <mergeCell ref="L21:L24"/>
    <mergeCell ref="M21:M24"/>
    <mergeCell ref="N21:N24"/>
    <mergeCell ref="R21:R24"/>
    <mergeCell ref="J17:J20"/>
    <mergeCell ref="K17:K20"/>
    <mergeCell ref="L17:L20"/>
    <mergeCell ref="M17:M20"/>
    <mergeCell ref="N17:N20"/>
    <mergeCell ref="R17:R20"/>
    <mergeCell ref="Q12:Q24"/>
    <mergeCell ref="R12:R16"/>
    <mergeCell ref="BN12:BN24"/>
    <mergeCell ref="BO12:BO24"/>
    <mergeCell ref="BP12:BP24"/>
    <mergeCell ref="BQ12:BQ24"/>
    <mergeCell ref="BR12:BR24"/>
    <mergeCell ref="BG12:BG24"/>
    <mergeCell ref="BH12:BH24"/>
    <mergeCell ref="BI12:BI24"/>
    <mergeCell ref="BJ12:BJ24"/>
    <mergeCell ref="BK12:BK24"/>
    <mergeCell ref="BL12:BL24"/>
    <mergeCell ref="BE12:BE24"/>
    <mergeCell ref="BF12:BF24"/>
    <mergeCell ref="AU12:AU24"/>
    <mergeCell ref="AV12:AV24"/>
    <mergeCell ref="AW12:AW24"/>
    <mergeCell ref="AX12:AX24"/>
    <mergeCell ref="AY12:AY24"/>
    <mergeCell ref="AZ12:AZ24"/>
    <mergeCell ref="BM12:BM24"/>
    <mergeCell ref="AJ12:AJ24"/>
    <mergeCell ref="AK12:AK24"/>
    <mergeCell ref="AL12:AL24"/>
    <mergeCell ref="AM12:AM24"/>
    <mergeCell ref="AN12:AN24"/>
    <mergeCell ref="BA12:BA24"/>
    <mergeCell ref="BB12:BB24"/>
    <mergeCell ref="BC12:BC24"/>
    <mergeCell ref="BD12:BD24"/>
    <mergeCell ref="BK7:BK8"/>
    <mergeCell ref="S6:S8"/>
    <mergeCell ref="T6:T8"/>
    <mergeCell ref="U6:U8"/>
    <mergeCell ref="V6:V8"/>
    <mergeCell ref="AC12:AC24"/>
    <mergeCell ref="AD12:AD24"/>
    <mergeCell ref="AE12:AE24"/>
    <mergeCell ref="AF12:AF24"/>
    <mergeCell ref="AG12:AG24"/>
    <mergeCell ref="AH12:AH24"/>
    <mergeCell ref="W12:W13"/>
    <mergeCell ref="X12:X13"/>
    <mergeCell ref="Y12:Y13"/>
    <mergeCell ref="Z12:Z13"/>
    <mergeCell ref="AA12:AA13"/>
    <mergeCell ref="AB12:AB24"/>
    <mergeCell ref="AO12:AO24"/>
    <mergeCell ref="AP12:AP24"/>
    <mergeCell ref="AQ12:AQ24"/>
    <mergeCell ref="AR12:AR24"/>
    <mergeCell ref="AS12:AS24"/>
    <mergeCell ref="AT12:AT24"/>
    <mergeCell ref="AI12:AI24"/>
    <mergeCell ref="R6:R8"/>
    <mergeCell ref="S12:S24"/>
    <mergeCell ref="T12:T24"/>
    <mergeCell ref="U12:U16"/>
    <mergeCell ref="V12:V16"/>
    <mergeCell ref="U17:U20"/>
    <mergeCell ref="V17:V19"/>
    <mergeCell ref="U21:U24"/>
    <mergeCell ref="V21:V24"/>
    <mergeCell ref="W6:Y6"/>
    <mergeCell ref="BL7:BL8"/>
    <mergeCell ref="BM7:BM8"/>
    <mergeCell ref="J12:J16"/>
    <mergeCell ref="K12:K16"/>
    <mergeCell ref="L12:L16"/>
    <mergeCell ref="M12:M16"/>
    <mergeCell ref="N12:N16"/>
    <mergeCell ref="O12:O24"/>
    <mergeCell ref="P12:P24"/>
    <mergeCell ref="AZ7:BA7"/>
    <mergeCell ref="BB7:BC7"/>
    <mergeCell ref="BD7:BE7"/>
    <mergeCell ref="BH7:BH8"/>
    <mergeCell ref="BI7:BI8"/>
    <mergeCell ref="BJ7:BJ8"/>
    <mergeCell ref="AN7:AO7"/>
    <mergeCell ref="AP7:AQ7"/>
    <mergeCell ref="AR7:AS7"/>
    <mergeCell ref="AT7:AU7"/>
    <mergeCell ref="AV7:AW7"/>
    <mergeCell ref="AX7:AY7"/>
    <mergeCell ref="BF6:BG7"/>
    <mergeCell ref="BH6:BM6"/>
    <mergeCell ref="Z6:Z8"/>
    <mergeCell ref="AA6:AA8"/>
    <mergeCell ref="AB6:AD6"/>
    <mergeCell ref="AF6:AL6"/>
    <mergeCell ref="AN6:AX6"/>
    <mergeCell ref="AZ6:BE6"/>
    <mergeCell ref="AF7:AG7"/>
    <mergeCell ref="AH7:AI7"/>
    <mergeCell ref="AJ7:AK7"/>
    <mergeCell ref="AL7:AM7"/>
    <mergeCell ref="K6:K8"/>
    <mergeCell ref="L6:L8"/>
    <mergeCell ref="M6:N7"/>
    <mergeCell ref="O6:O8"/>
    <mergeCell ref="P6:P8"/>
    <mergeCell ref="Q6:Q8"/>
    <mergeCell ref="A1:BP4"/>
    <mergeCell ref="A5:L5"/>
    <mergeCell ref="Q5:BR5"/>
    <mergeCell ref="A6:A8"/>
    <mergeCell ref="B6:C8"/>
    <mergeCell ref="D6:D8"/>
    <mergeCell ref="E6:F8"/>
    <mergeCell ref="G6:G8"/>
    <mergeCell ref="H6:I8"/>
    <mergeCell ref="J6:J8"/>
    <mergeCell ref="BN6:BO7"/>
    <mergeCell ref="BP6:BQ7"/>
    <mergeCell ref="BR6:BR7"/>
    <mergeCell ref="W7:W8"/>
    <mergeCell ref="X7:X8"/>
    <mergeCell ref="Y7:Y8"/>
    <mergeCell ref="AB7:AC7"/>
    <mergeCell ref="AD7:AE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JW151"/>
  <sheetViews>
    <sheetView showGridLines="0" zoomScale="60" zoomScaleNormal="60" workbookViewId="0">
      <selection sqref="A1:BM5"/>
    </sheetView>
  </sheetViews>
  <sheetFormatPr baseColWidth="10" defaultColWidth="11.42578125" defaultRowHeight="14.25" x14ac:dyDescent="0.2"/>
  <cols>
    <col min="1" max="1" width="10" style="657" customWidth="1"/>
    <col min="2" max="2" width="16.140625" style="657" customWidth="1"/>
    <col min="3" max="3" width="6.7109375" style="657" customWidth="1"/>
    <col min="4" max="4" width="18.28515625" style="657" customWidth="1"/>
    <col min="5" max="5" width="9.140625" style="657" customWidth="1"/>
    <col min="6" max="6" width="20.85546875" style="1850" customWidth="1"/>
    <col min="7" max="7" width="9.85546875" style="657" bestFit="1" customWidth="1"/>
    <col min="8" max="8" width="41" style="2345" customWidth="1"/>
    <col min="9" max="9" width="17.5703125" style="2345" customWidth="1"/>
    <col min="10" max="10" width="10.140625" style="657" customWidth="1"/>
    <col min="11" max="11" width="10.140625" style="2347" customWidth="1"/>
    <col min="12" max="12" width="21.42578125" style="657" customWidth="1"/>
    <col min="13" max="13" width="9.5703125" style="657" customWidth="1"/>
    <col min="14" max="14" width="58.140625" style="2345" bestFit="1" customWidth="1"/>
    <col min="15" max="15" width="15.85546875" style="657" customWidth="1"/>
    <col min="16" max="16" width="29.5703125" style="2196" customWidth="1"/>
    <col min="17" max="17" width="32.42578125" style="2345" customWidth="1"/>
    <col min="18" max="18" width="43.5703125" style="2345" customWidth="1"/>
    <col min="19" max="19" width="56.140625" style="1310" bestFit="1" customWidth="1"/>
    <col min="20" max="20" width="31" style="2346" customWidth="1"/>
    <col min="21" max="21" width="29.5703125" style="2346" customWidth="1"/>
    <col min="22" max="22" width="28.28515625" style="2346" customWidth="1"/>
    <col min="23" max="23" width="14.85546875" style="1850" customWidth="1"/>
    <col min="24" max="24" width="24.42578125" style="2345" customWidth="1"/>
    <col min="25" max="25" width="8.7109375" style="657" bestFit="1" customWidth="1"/>
    <col min="26" max="26" width="8.7109375" style="657" customWidth="1"/>
    <col min="27" max="27" width="10" style="657" customWidth="1"/>
    <col min="28" max="28" width="7.5703125" style="657" customWidth="1"/>
    <col min="29" max="29" width="7.5703125" style="657" bestFit="1" customWidth="1"/>
    <col min="30" max="30" width="8.28515625" style="657" customWidth="1"/>
    <col min="31" max="31" width="9.28515625" style="657" customWidth="1"/>
    <col min="32" max="32" width="10.85546875" style="657" customWidth="1"/>
    <col min="33" max="33" width="7.7109375" style="657" bestFit="1" customWidth="1"/>
    <col min="34" max="34" width="11.28515625" style="657" customWidth="1"/>
    <col min="35" max="35" width="9.7109375" style="657" customWidth="1"/>
    <col min="36" max="36" width="9" style="657" customWidth="1"/>
    <col min="37" max="37" width="6.85546875" style="657" customWidth="1"/>
    <col min="38" max="38" width="7.85546875" style="657" customWidth="1"/>
    <col min="39" max="39" width="12" style="657" customWidth="1"/>
    <col min="40" max="40" width="10.42578125" style="657" customWidth="1"/>
    <col min="41" max="41" width="7.28515625" style="657" customWidth="1"/>
    <col min="42" max="42" width="6.5703125" style="657" customWidth="1"/>
    <col min="43" max="43" width="9.7109375" style="657" customWidth="1"/>
    <col min="44" max="44" width="6.140625" style="657" customWidth="1"/>
    <col min="45" max="46" width="5.85546875" style="657" customWidth="1"/>
    <col min="47" max="47" width="7.7109375" style="657" customWidth="1"/>
    <col min="48" max="48" width="9.140625" style="657" customWidth="1"/>
    <col min="49" max="49" width="9.42578125" style="657" customWidth="1"/>
    <col min="50" max="50" width="9" style="657" customWidth="1"/>
    <col min="51" max="51" width="10.42578125" style="657" customWidth="1"/>
    <col min="52" max="52" width="10.85546875" style="657" customWidth="1"/>
    <col min="53" max="53" width="11" style="657" customWidth="1"/>
    <col min="54" max="54" width="6.85546875" style="657" customWidth="1"/>
    <col min="55" max="55" width="13.42578125" style="657" customWidth="1"/>
    <col min="56" max="56" width="8.7109375" style="657" customWidth="1"/>
    <col min="57" max="57" width="17.28515625" style="657" customWidth="1"/>
    <col min="58" max="58" width="26.7109375" style="657" customWidth="1"/>
    <col min="59" max="59" width="23.42578125" style="657" customWidth="1"/>
    <col min="60" max="60" width="25.28515625" style="657" customWidth="1"/>
    <col min="61" max="61" width="15.5703125" style="657" customWidth="1"/>
    <col min="62" max="62" width="20.85546875" style="657" customWidth="1"/>
    <col min="63" max="63" width="19.28515625" style="657" customWidth="1"/>
    <col min="64" max="64" width="16" style="657" customWidth="1"/>
    <col min="65" max="65" width="16.28515625" style="657" bestFit="1" customWidth="1"/>
    <col min="66" max="66" width="21.7109375" style="657" customWidth="1"/>
    <col min="67" max="67" width="26.85546875" style="2345" bestFit="1" customWidth="1"/>
    <col min="68" max="72" width="11.42578125" style="1310"/>
    <col min="73" max="283" width="11.42578125" style="657"/>
    <col min="284" max="284" width="13.5703125" style="657" customWidth="1"/>
    <col min="285" max="285" width="19" style="657" customWidth="1"/>
    <col min="286" max="286" width="13.5703125" style="657" customWidth="1"/>
    <col min="287" max="287" width="19.7109375" style="657" customWidth="1"/>
    <col min="288" max="288" width="13.5703125" style="657" customWidth="1"/>
    <col min="289" max="290" width="14.7109375" style="657" customWidth="1"/>
    <col min="291" max="291" width="36.140625" style="657" customWidth="1"/>
    <col min="292" max="292" width="29.42578125" style="657" customWidth="1"/>
    <col min="293" max="293" width="16" style="657" customWidth="1"/>
    <col min="294" max="294" width="38.28515625" style="657" customWidth="1"/>
    <col min="295" max="295" width="12" style="657" customWidth="1"/>
    <col min="296" max="296" width="38.140625" style="657" customWidth="1"/>
    <col min="297" max="297" width="17.85546875" style="657" bestFit="1" customWidth="1"/>
    <col min="298" max="298" width="24.7109375" style="657" customWidth="1"/>
    <col min="299" max="299" width="36.42578125" style="657" customWidth="1"/>
    <col min="300" max="300" width="46.7109375" style="657" customWidth="1"/>
    <col min="301" max="301" width="43.7109375" style="657" customWidth="1"/>
    <col min="302" max="302" width="25.42578125" style="657" customWidth="1"/>
    <col min="303" max="303" width="12.42578125" style="657" customWidth="1"/>
    <col min="304" max="304" width="16.42578125" style="657" customWidth="1"/>
    <col min="305" max="305" width="13.42578125" style="657" customWidth="1"/>
    <col min="306" max="306" width="8.5703125" style="657" customWidth="1"/>
    <col min="307" max="310" width="11.42578125" style="657" customWidth="1"/>
    <col min="311" max="311" width="12.7109375" style="657" customWidth="1"/>
    <col min="312" max="312" width="11.85546875" style="657" customWidth="1"/>
    <col min="313" max="313" width="7.85546875" style="657" customWidth="1"/>
    <col min="314" max="314" width="7.5703125" style="657" customWidth="1"/>
    <col min="315" max="315" width="8.85546875" style="657" customWidth="1"/>
    <col min="316" max="316" width="8.140625" style="657" customWidth="1"/>
    <col min="317" max="317" width="7.85546875" style="657" customWidth="1"/>
    <col min="318" max="318" width="8.5703125" style="657" customWidth="1"/>
    <col min="319" max="319" width="8.28515625" style="657" customWidth="1"/>
    <col min="320" max="320" width="11.42578125" style="657" customWidth="1"/>
    <col min="321" max="321" width="18" style="657" customWidth="1"/>
    <col min="322" max="322" width="21.42578125" style="657" customWidth="1"/>
    <col min="323" max="323" width="27.85546875" style="657" customWidth="1"/>
    <col min="324" max="539" width="11.42578125" style="657"/>
    <col min="540" max="540" width="13.5703125" style="657" customWidth="1"/>
    <col min="541" max="541" width="19" style="657" customWidth="1"/>
    <col min="542" max="542" width="13.5703125" style="657" customWidth="1"/>
    <col min="543" max="543" width="19.7109375" style="657" customWidth="1"/>
    <col min="544" max="544" width="13.5703125" style="657" customWidth="1"/>
    <col min="545" max="546" width="14.7109375" style="657" customWidth="1"/>
    <col min="547" max="547" width="36.140625" style="657" customWidth="1"/>
    <col min="548" max="548" width="29.42578125" style="657" customWidth="1"/>
    <col min="549" max="549" width="16" style="657" customWidth="1"/>
    <col min="550" max="550" width="38.28515625" style="657" customWidth="1"/>
    <col min="551" max="551" width="12" style="657" customWidth="1"/>
    <col min="552" max="552" width="38.140625" style="657" customWidth="1"/>
    <col min="553" max="553" width="17.85546875" style="657" bestFit="1" customWidth="1"/>
    <col min="554" max="554" width="24.7109375" style="657" customWidth="1"/>
    <col min="555" max="555" width="36.42578125" style="657" customWidth="1"/>
    <col min="556" max="556" width="46.7109375" style="657" customWidth="1"/>
    <col min="557" max="557" width="43.7109375" style="657" customWidth="1"/>
    <col min="558" max="558" width="25.42578125" style="657" customWidth="1"/>
    <col min="559" max="559" width="12.42578125" style="657" customWidth="1"/>
    <col min="560" max="560" width="16.42578125" style="657" customWidth="1"/>
    <col min="561" max="561" width="13.42578125" style="657" customWidth="1"/>
    <col min="562" max="562" width="8.5703125" style="657" customWidth="1"/>
    <col min="563" max="566" width="11.42578125" style="657" customWidth="1"/>
    <col min="567" max="567" width="12.7109375" style="657" customWidth="1"/>
    <col min="568" max="568" width="11.85546875" style="657" customWidth="1"/>
    <col min="569" max="569" width="7.85546875" style="657" customWidth="1"/>
    <col min="570" max="570" width="7.5703125" style="657" customWidth="1"/>
    <col min="571" max="571" width="8.85546875" style="657" customWidth="1"/>
    <col min="572" max="572" width="8.140625" style="657" customWidth="1"/>
    <col min="573" max="573" width="7.85546875" style="657" customWidth="1"/>
    <col min="574" max="574" width="8.5703125" style="657" customWidth="1"/>
    <col min="575" max="575" width="8.28515625" style="657" customWidth="1"/>
    <col min="576" max="576" width="11.42578125" style="657" customWidth="1"/>
    <col min="577" max="577" width="18" style="657" customWidth="1"/>
    <col min="578" max="578" width="21.42578125" style="657" customWidth="1"/>
    <col min="579" max="579" width="27.85546875" style="657" customWidth="1"/>
    <col min="580" max="795" width="11.42578125" style="657"/>
    <col min="796" max="796" width="13.5703125" style="657" customWidth="1"/>
    <col min="797" max="797" width="19" style="657" customWidth="1"/>
    <col min="798" max="798" width="13.5703125" style="657" customWidth="1"/>
    <col min="799" max="799" width="19.7109375" style="657" customWidth="1"/>
    <col min="800" max="800" width="13.5703125" style="657" customWidth="1"/>
    <col min="801" max="802" width="14.7109375" style="657" customWidth="1"/>
    <col min="803" max="803" width="36.140625" style="657" customWidth="1"/>
    <col min="804" max="804" width="29.42578125" style="657" customWidth="1"/>
    <col min="805" max="805" width="16" style="657" customWidth="1"/>
    <col min="806" max="806" width="38.28515625" style="657" customWidth="1"/>
    <col min="807" max="807" width="12" style="657" customWidth="1"/>
    <col min="808" max="808" width="38.140625" style="657" customWidth="1"/>
    <col min="809" max="809" width="17.85546875" style="657" bestFit="1" customWidth="1"/>
    <col min="810" max="810" width="24.7109375" style="657" customWidth="1"/>
    <col min="811" max="811" width="36.42578125" style="657" customWidth="1"/>
    <col min="812" max="812" width="46.7109375" style="657" customWidth="1"/>
    <col min="813" max="813" width="43.7109375" style="657" customWidth="1"/>
    <col min="814" max="814" width="25.42578125" style="657" customWidth="1"/>
    <col min="815" max="815" width="12.42578125" style="657" customWidth="1"/>
    <col min="816" max="816" width="16.42578125" style="657" customWidth="1"/>
    <col min="817" max="817" width="13.42578125" style="657" customWidth="1"/>
    <col min="818" max="818" width="8.5703125" style="657" customWidth="1"/>
    <col min="819" max="822" width="11.42578125" style="657" customWidth="1"/>
    <col min="823" max="823" width="12.7109375" style="657" customWidth="1"/>
    <col min="824" max="824" width="11.85546875" style="657" customWidth="1"/>
    <col min="825" max="825" width="7.85546875" style="657" customWidth="1"/>
    <col min="826" max="826" width="7.5703125" style="657" customWidth="1"/>
    <col min="827" max="827" width="8.85546875" style="657" customWidth="1"/>
    <col min="828" max="828" width="8.140625" style="657" customWidth="1"/>
    <col min="829" max="829" width="7.85546875" style="657" customWidth="1"/>
    <col min="830" max="830" width="8.5703125" style="657" customWidth="1"/>
    <col min="831" max="831" width="8.28515625" style="657" customWidth="1"/>
    <col min="832" max="832" width="11.42578125" style="657" customWidth="1"/>
    <col min="833" max="833" width="18" style="657" customWidth="1"/>
    <col min="834" max="834" width="21.42578125" style="657" customWidth="1"/>
    <col min="835" max="835" width="27.85546875" style="657" customWidth="1"/>
    <col min="836" max="1051" width="11.42578125" style="657"/>
    <col min="1052" max="1052" width="13.5703125" style="657" customWidth="1"/>
    <col min="1053" max="1053" width="19" style="657" customWidth="1"/>
    <col min="1054" max="1054" width="13.5703125" style="657" customWidth="1"/>
    <col min="1055" max="1055" width="19.7109375" style="657" customWidth="1"/>
    <col min="1056" max="1056" width="13.5703125" style="657" customWidth="1"/>
    <col min="1057" max="1058" width="14.7109375" style="657" customWidth="1"/>
    <col min="1059" max="1059" width="36.140625" style="657" customWidth="1"/>
    <col min="1060" max="1060" width="29.42578125" style="657" customWidth="1"/>
    <col min="1061" max="1061" width="16" style="657" customWidth="1"/>
    <col min="1062" max="1062" width="38.28515625" style="657" customWidth="1"/>
    <col min="1063" max="1063" width="12" style="657" customWidth="1"/>
    <col min="1064" max="1064" width="38.140625" style="657" customWidth="1"/>
    <col min="1065" max="1065" width="17.85546875" style="657" bestFit="1" customWidth="1"/>
    <col min="1066" max="1066" width="24.7109375" style="657" customWidth="1"/>
    <col min="1067" max="1067" width="36.42578125" style="657" customWidth="1"/>
    <col min="1068" max="1068" width="46.7109375" style="657" customWidth="1"/>
    <col min="1069" max="1069" width="43.7109375" style="657" customWidth="1"/>
    <col min="1070" max="1070" width="25.42578125" style="657" customWidth="1"/>
    <col min="1071" max="1071" width="12.42578125" style="657" customWidth="1"/>
    <col min="1072" max="1072" width="16.42578125" style="657" customWidth="1"/>
    <col min="1073" max="1073" width="13.42578125" style="657" customWidth="1"/>
    <col min="1074" max="1074" width="8.5703125" style="657" customWidth="1"/>
    <col min="1075" max="1078" width="11.42578125" style="657" customWidth="1"/>
    <col min="1079" max="1079" width="12.7109375" style="657" customWidth="1"/>
    <col min="1080" max="1080" width="11.85546875" style="657" customWidth="1"/>
    <col min="1081" max="1081" width="7.85546875" style="657" customWidth="1"/>
    <col min="1082" max="1082" width="7.5703125" style="657" customWidth="1"/>
    <col min="1083" max="1083" width="8.85546875" style="657" customWidth="1"/>
    <col min="1084" max="1084" width="8.140625" style="657" customWidth="1"/>
    <col min="1085" max="1085" width="7.85546875" style="657" customWidth="1"/>
    <col min="1086" max="1086" width="8.5703125" style="657" customWidth="1"/>
    <col min="1087" max="1087" width="8.28515625" style="657" customWidth="1"/>
    <col min="1088" max="1088" width="11.42578125" style="657" customWidth="1"/>
    <col min="1089" max="1089" width="18" style="657" customWidth="1"/>
    <col min="1090" max="1090" width="21.42578125" style="657" customWidth="1"/>
    <col min="1091" max="1091" width="27.85546875" style="657" customWidth="1"/>
    <col min="1092" max="1307" width="11.42578125" style="657"/>
    <col min="1308" max="1308" width="13.5703125" style="657" customWidth="1"/>
    <col min="1309" max="1309" width="19" style="657" customWidth="1"/>
    <col min="1310" max="1310" width="13.5703125" style="657" customWidth="1"/>
    <col min="1311" max="1311" width="19.7109375" style="657" customWidth="1"/>
    <col min="1312" max="1312" width="13.5703125" style="657" customWidth="1"/>
    <col min="1313" max="1314" width="14.7109375" style="657" customWidth="1"/>
    <col min="1315" max="1315" width="36.140625" style="657" customWidth="1"/>
    <col min="1316" max="1316" width="29.42578125" style="657" customWidth="1"/>
    <col min="1317" max="1317" width="16" style="657" customWidth="1"/>
    <col min="1318" max="1318" width="38.28515625" style="657" customWidth="1"/>
    <col min="1319" max="1319" width="12" style="657" customWidth="1"/>
    <col min="1320" max="1320" width="38.140625" style="657" customWidth="1"/>
    <col min="1321" max="1321" width="17.85546875" style="657" bestFit="1" customWidth="1"/>
    <col min="1322" max="1322" width="24.7109375" style="657" customWidth="1"/>
    <col min="1323" max="1323" width="36.42578125" style="657" customWidth="1"/>
    <col min="1324" max="1324" width="46.7109375" style="657" customWidth="1"/>
    <col min="1325" max="1325" width="43.7109375" style="657" customWidth="1"/>
    <col min="1326" max="1326" width="25.42578125" style="657" customWidth="1"/>
    <col min="1327" max="1327" width="12.42578125" style="657" customWidth="1"/>
    <col min="1328" max="1328" width="16.42578125" style="657" customWidth="1"/>
    <col min="1329" max="1329" width="13.42578125" style="657" customWidth="1"/>
    <col min="1330" max="1330" width="8.5703125" style="657" customWidth="1"/>
    <col min="1331" max="1334" width="11.42578125" style="657" customWidth="1"/>
    <col min="1335" max="1335" width="12.7109375" style="657" customWidth="1"/>
    <col min="1336" max="1336" width="11.85546875" style="657" customWidth="1"/>
    <col min="1337" max="1337" width="7.85546875" style="657" customWidth="1"/>
    <col min="1338" max="1338" width="7.5703125" style="657" customWidth="1"/>
    <col min="1339" max="1339" width="8.85546875" style="657" customWidth="1"/>
    <col min="1340" max="1340" width="8.140625" style="657" customWidth="1"/>
    <col min="1341" max="1341" width="7.85546875" style="657" customWidth="1"/>
    <col min="1342" max="1342" width="8.5703125" style="657" customWidth="1"/>
    <col min="1343" max="1343" width="8.28515625" style="657" customWidth="1"/>
    <col min="1344" max="1344" width="11.42578125" style="657" customWidth="1"/>
    <col min="1345" max="1345" width="18" style="657" customWidth="1"/>
    <col min="1346" max="1346" width="21.42578125" style="657" customWidth="1"/>
    <col min="1347" max="1347" width="27.85546875" style="657" customWidth="1"/>
    <col min="1348" max="1563" width="11.42578125" style="657"/>
    <col min="1564" max="1564" width="13.5703125" style="657" customWidth="1"/>
    <col min="1565" max="1565" width="19" style="657" customWidth="1"/>
    <col min="1566" max="1566" width="13.5703125" style="657" customWidth="1"/>
    <col min="1567" max="1567" width="19.7109375" style="657" customWidth="1"/>
    <col min="1568" max="1568" width="13.5703125" style="657" customWidth="1"/>
    <col min="1569" max="1570" width="14.7109375" style="657" customWidth="1"/>
    <col min="1571" max="1571" width="36.140625" style="657" customWidth="1"/>
    <col min="1572" max="1572" width="29.42578125" style="657" customWidth="1"/>
    <col min="1573" max="1573" width="16" style="657" customWidth="1"/>
    <col min="1574" max="1574" width="38.28515625" style="657" customWidth="1"/>
    <col min="1575" max="1575" width="12" style="657" customWidth="1"/>
    <col min="1576" max="1576" width="38.140625" style="657" customWidth="1"/>
    <col min="1577" max="1577" width="17.85546875" style="657" bestFit="1" customWidth="1"/>
    <col min="1578" max="1578" width="24.7109375" style="657" customWidth="1"/>
    <col min="1579" max="1579" width="36.42578125" style="657" customWidth="1"/>
    <col min="1580" max="1580" width="46.7109375" style="657" customWidth="1"/>
    <col min="1581" max="1581" width="43.7109375" style="657" customWidth="1"/>
    <col min="1582" max="1582" width="25.42578125" style="657" customWidth="1"/>
    <col min="1583" max="1583" width="12.42578125" style="657" customWidth="1"/>
    <col min="1584" max="1584" width="16.42578125" style="657" customWidth="1"/>
    <col min="1585" max="1585" width="13.42578125" style="657" customWidth="1"/>
    <col min="1586" max="1586" width="8.5703125" style="657" customWidth="1"/>
    <col min="1587" max="1590" width="11.42578125" style="657" customWidth="1"/>
    <col min="1591" max="1591" width="12.7109375" style="657" customWidth="1"/>
    <col min="1592" max="1592" width="11.85546875" style="657" customWidth="1"/>
    <col min="1593" max="1593" width="7.85546875" style="657" customWidth="1"/>
    <col min="1594" max="1594" width="7.5703125" style="657" customWidth="1"/>
    <col min="1595" max="1595" width="8.85546875" style="657" customWidth="1"/>
    <col min="1596" max="1596" width="8.140625" style="657" customWidth="1"/>
    <col min="1597" max="1597" width="7.85546875" style="657" customWidth="1"/>
    <col min="1598" max="1598" width="8.5703125" style="657" customWidth="1"/>
    <col min="1599" max="1599" width="8.28515625" style="657" customWidth="1"/>
    <col min="1600" max="1600" width="11.42578125" style="657" customWidth="1"/>
    <col min="1601" max="1601" width="18" style="657" customWidth="1"/>
    <col min="1602" max="1602" width="21.42578125" style="657" customWidth="1"/>
    <col min="1603" max="1603" width="27.85546875" style="657" customWidth="1"/>
    <col min="1604" max="1819" width="11.42578125" style="657"/>
    <col min="1820" max="1820" width="13.5703125" style="657" customWidth="1"/>
    <col min="1821" max="1821" width="19" style="657" customWidth="1"/>
    <col min="1822" max="1822" width="13.5703125" style="657" customWidth="1"/>
    <col min="1823" max="1823" width="19.7109375" style="657" customWidth="1"/>
    <col min="1824" max="1824" width="13.5703125" style="657" customWidth="1"/>
    <col min="1825" max="1826" width="14.7109375" style="657" customWidth="1"/>
    <col min="1827" max="1827" width="36.140625" style="657" customWidth="1"/>
    <col min="1828" max="1828" width="29.42578125" style="657" customWidth="1"/>
    <col min="1829" max="1829" width="16" style="657" customWidth="1"/>
    <col min="1830" max="1830" width="38.28515625" style="657" customWidth="1"/>
    <col min="1831" max="1831" width="12" style="657" customWidth="1"/>
    <col min="1832" max="1832" width="38.140625" style="657" customWidth="1"/>
    <col min="1833" max="1833" width="17.85546875" style="657" bestFit="1" customWidth="1"/>
    <col min="1834" max="1834" width="24.7109375" style="657" customWidth="1"/>
    <col min="1835" max="1835" width="36.42578125" style="657" customWidth="1"/>
    <col min="1836" max="1836" width="46.7109375" style="657" customWidth="1"/>
    <col min="1837" max="1837" width="43.7109375" style="657" customWidth="1"/>
    <col min="1838" max="1838" width="25.42578125" style="657" customWidth="1"/>
    <col min="1839" max="1839" width="12.42578125" style="657" customWidth="1"/>
    <col min="1840" max="1840" width="16.42578125" style="657" customWidth="1"/>
    <col min="1841" max="1841" width="13.42578125" style="657" customWidth="1"/>
    <col min="1842" max="1842" width="8.5703125" style="657" customWidth="1"/>
    <col min="1843" max="1846" width="11.42578125" style="657" customWidth="1"/>
    <col min="1847" max="1847" width="12.7109375" style="657" customWidth="1"/>
    <col min="1848" max="1848" width="11.85546875" style="657" customWidth="1"/>
    <col min="1849" max="1849" width="7.85546875" style="657" customWidth="1"/>
    <col min="1850" max="1850" width="7.5703125" style="657" customWidth="1"/>
    <col min="1851" max="1851" width="8.85546875" style="657" customWidth="1"/>
    <col min="1852" max="1852" width="8.140625" style="657" customWidth="1"/>
    <col min="1853" max="1853" width="7.85546875" style="657" customWidth="1"/>
    <col min="1854" max="1854" width="8.5703125" style="657" customWidth="1"/>
    <col min="1855" max="1855" width="8.28515625" style="657" customWidth="1"/>
    <col min="1856" max="1856" width="11.42578125" style="657" customWidth="1"/>
    <col min="1857" max="1857" width="18" style="657" customWidth="1"/>
    <col min="1858" max="1858" width="21.42578125" style="657" customWidth="1"/>
    <col min="1859" max="1859" width="27.85546875" style="657" customWidth="1"/>
    <col min="1860" max="2075" width="11.42578125" style="657"/>
    <col min="2076" max="2076" width="13.5703125" style="657" customWidth="1"/>
    <col min="2077" max="2077" width="19" style="657" customWidth="1"/>
    <col min="2078" max="2078" width="13.5703125" style="657" customWidth="1"/>
    <col min="2079" max="2079" width="19.7109375" style="657" customWidth="1"/>
    <col min="2080" max="2080" width="13.5703125" style="657" customWidth="1"/>
    <col min="2081" max="2082" width="14.7109375" style="657" customWidth="1"/>
    <col min="2083" max="2083" width="36.140625" style="657" customWidth="1"/>
    <col min="2084" max="2084" width="29.42578125" style="657" customWidth="1"/>
    <col min="2085" max="2085" width="16" style="657" customWidth="1"/>
    <col min="2086" max="2086" width="38.28515625" style="657" customWidth="1"/>
    <col min="2087" max="2087" width="12" style="657" customWidth="1"/>
    <col min="2088" max="2088" width="38.140625" style="657" customWidth="1"/>
    <col min="2089" max="2089" width="17.85546875" style="657" bestFit="1" customWidth="1"/>
    <col min="2090" max="2090" width="24.7109375" style="657" customWidth="1"/>
    <col min="2091" max="2091" width="36.42578125" style="657" customWidth="1"/>
    <col min="2092" max="2092" width="46.7109375" style="657" customWidth="1"/>
    <col min="2093" max="2093" width="43.7109375" style="657" customWidth="1"/>
    <col min="2094" max="2094" width="25.42578125" style="657" customWidth="1"/>
    <col min="2095" max="2095" width="12.42578125" style="657" customWidth="1"/>
    <col min="2096" max="2096" width="16.42578125" style="657" customWidth="1"/>
    <col min="2097" max="2097" width="13.42578125" style="657" customWidth="1"/>
    <col min="2098" max="2098" width="8.5703125" style="657" customWidth="1"/>
    <col min="2099" max="2102" width="11.42578125" style="657" customWidth="1"/>
    <col min="2103" max="2103" width="12.7109375" style="657" customWidth="1"/>
    <col min="2104" max="2104" width="11.85546875" style="657" customWidth="1"/>
    <col min="2105" max="2105" width="7.85546875" style="657" customWidth="1"/>
    <col min="2106" max="2106" width="7.5703125" style="657" customWidth="1"/>
    <col min="2107" max="2107" width="8.85546875" style="657" customWidth="1"/>
    <col min="2108" max="2108" width="8.140625" style="657" customWidth="1"/>
    <col min="2109" max="2109" width="7.85546875" style="657" customWidth="1"/>
    <col min="2110" max="2110" width="8.5703125" style="657" customWidth="1"/>
    <col min="2111" max="2111" width="8.28515625" style="657" customWidth="1"/>
    <col min="2112" max="2112" width="11.42578125" style="657" customWidth="1"/>
    <col min="2113" max="2113" width="18" style="657" customWidth="1"/>
    <col min="2114" max="2114" width="21.42578125" style="657" customWidth="1"/>
    <col min="2115" max="2115" width="27.85546875" style="657" customWidth="1"/>
    <col min="2116" max="2331" width="11.42578125" style="657"/>
    <col min="2332" max="2332" width="13.5703125" style="657" customWidth="1"/>
    <col min="2333" max="2333" width="19" style="657" customWidth="1"/>
    <col min="2334" max="2334" width="13.5703125" style="657" customWidth="1"/>
    <col min="2335" max="2335" width="19.7109375" style="657" customWidth="1"/>
    <col min="2336" max="2336" width="13.5703125" style="657" customWidth="1"/>
    <col min="2337" max="2338" width="14.7109375" style="657" customWidth="1"/>
    <col min="2339" max="2339" width="36.140625" style="657" customWidth="1"/>
    <col min="2340" max="2340" width="29.42578125" style="657" customWidth="1"/>
    <col min="2341" max="2341" width="16" style="657" customWidth="1"/>
    <col min="2342" max="2342" width="38.28515625" style="657" customWidth="1"/>
    <col min="2343" max="2343" width="12" style="657" customWidth="1"/>
    <col min="2344" max="2344" width="38.140625" style="657" customWidth="1"/>
    <col min="2345" max="2345" width="17.85546875" style="657" bestFit="1" customWidth="1"/>
    <col min="2346" max="2346" width="24.7109375" style="657" customWidth="1"/>
    <col min="2347" max="2347" width="36.42578125" style="657" customWidth="1"/>
    <col min="2348" max="2348" width="46.7109375" style="657" customWidth="1"/>
    <col min="2349" max="2349" width="43.7109375" style="657" customWidth="1"/>
    <col min="2350" max="2350" width="25.42578125" style="657" customWidth="1"/>
    <col min="2351" max="2351" width="12.42578125" style="657" customWidth="1"/>
    <col min="2352" max="2352" width="16.42578125" style="657" customWidth="1"/>
    <col min="2353" max="2353" width="13.42578125" style="657" customWidth="1"/>
    <col min="2354" max="2354" width="8.5703125" style="657" customWidth="1"/>
    <col min="2355" max="2358" width="11.42578125" style="657" customWidth="1"/>
    <col min="2359" max="2359" width="12.7109375" style="657" customWidth="1"/>
    <col min="2360" max="2360" width="11.85546875" style="657" customWidth="1"/>
    <col min="2361" max="2361" width="7.85546875" style="657" customWidth="1"/>
    <col min="2362" max="2362" width="7.5703125" style="657" customWidth="1"/>
    <col min="2363" max="2363" width="8.85546875" style="657" customWidth="1"/>
    <col min="2364" max="2364" width="8.140625" style="657" customWidth="1"/>
    <col min="2365" max="2365" width="7.85546875" style="657" customWidth="1"/>
    <col min="2366" max="2366" width="8.5703125" style="657" customWidth="1"/>
    <col min="2367" max="2367" width="8.28515625" style="657" customWidth="1"/>
    <col min="2368" max="2368" width="11.42578125" style="657" customWidth="1"/>
    <col min="2369" max="2369" width="18" style="657" customWidth="1"/>
    <col min="2370" max="2370" width="21.42578125" style="657" customWidth="1"/>
    <col min="2371" max="2371" width="27.85546875" style="657" customWidth="1"/>
    <col min="2372" max="2587" width="11.42578125" style="657"/>
    <col min="2588" max="2588" width="13.5703125" style="657" customWidth="1"/>
    <col min="2589" max="2589" width="19" style="657" customWidth="1"/>
    <col min="2590" max="2590" width="13.5703125" style="657" customWidth="1"/>
    <col min="2591" max="2591" width="19.7109375" style="657" customWidth="1"/>
    <col min="2592" max="2592" width="13.5703125" style="657" customWidth="1"/>
    <col min="2593" max="2594" width="14.7109375" style="657" customWidth="1"/>
    <col min="2595" max="2595" width="36.140625" style="657" customWidth="1"/>
    <col min="2596" max="2596" width="29.42578125" style="657" customWidth="1"/>
    <col min="2597" max="2597" width="16" style="657" customWidth="1"/>
    <col min="2598" max="2598" width="38.28515625" style="657" customWidth="1"/>
    <col min="2599" max="2599" width="12" style="657" customWidth="1"/>
    <col min="2600" max="2600" width="38.140625" style="657" customWidth="1"/>
    <col min="2601" max="2601" width="17.85546875" style="657" bestFit="1" customWidth="1"/>
    <col min="2602" max="2602" width="24.7109375" style="657" customWidth="1"/>
    <col min="2603" max="2603" width="36.42578125" style="657" customWidth="1"/>
    <col min="2604" max="2604" width="46.7109375" style="657" customWidth="1"/>
    <col min="2605" max="2605" width="43.7109375" style="657" customWidth="1"/>
    <col min="2606" max="2606" width="25.42578125" style="657" customWidth="1"/>
    <col min="2607" max="2607" width="12.42578125" style="657" customWidth="1"/>
    <col min="2608" max="2608" width="16.42578125" style="657" customWidth="1"/>
    <col min="2609" max="2609" width="13.42578125" style="657" customWidth="1"/>
    <col min="2610" max="2610" width="8.5703125" style="657" customWidth="1"/>
    <col min="2611" max="2614" width="11.42578125" style="657" customWidth="1"/>
    <col min="2615" max="2615" width="12.7109375" style="657" customWidth="1"/>
    <col min="2616" max="2616" width="11.85546875" style="657" customWidth="1"/>
    <col min="2617" max="2617" width="7.85546875" style="657" customWidth="1"/>
    <col min="2618" max="2618" width="7.5703125" style="657" customWidth="1"/>
    <col min="2619" max="2619" width="8.85546875" style="657" customWidth="1"/>
    <col min="2620" max="2620" width="8.140625" style="657" customWidth="1"/>
    <col min="2621" max="2621" width="7.85546875" style="657" customWidth="1"/>
    <col min="2622" max="2622" width="8.5703125" style="657" customWidth="1"/>
    <col min="2623" max="2623" width="8.28515625" style="657" customWidth="1"/>
    <col min="2624" max="2624" width="11.42578125" style="657" customWidth="1"/>
    <col min="2625" max="2625" width="18" style="657" customWidth="1"/>
    <col min="2626" max="2626" width="21.42578125" style="657" customWidth="1"/>
    <col min="2627" max="2627" width="27.85546875" style="657" customWidth="1"/>
    <col min="2628" max="2843" width="11.42578125" style="657"/>
    <col min="2844" max="2844" width="13.5703125" style="657" customWidth="1"/>
    <col min="2845" max="2845" width="19" style="657" customWidth="1"/>
    <col min="2846" max="2846" width="13.5703125" style="657" customWidth="1"/>
    <col min="2847" max="2847" width="19.7109375" style="657" customWidth="1"/>
    <col min="2848" max="2848" width="13.5703125" style="657" customWidth="1"/>
    <col min="2849" max="2850" width="14.7109375" style="657" customWidth="1"/>
    <col min="2851" max="2851" width="36.140625" style="657" customWidth="1"/>
    <col min="2852" max="2852" width="29.42578125" style="657" customWidth="1"/>
    <col min="2853" max="2853" width="16" style="657" customWidth="1"/>
    <col min="2854" max="2854" width="38.28515625" style="657" customWidth="1"/>
    <col min="2855" max="2855" width="12" style="657" customWidth="1"/>
    <col min="2856" max="2856" width="38.140625" style="657" customWidth="1"/>
    <col min="2857" max="2857" width="17.85546875" style="657" bestFit="1" customWidth="1"/>
    <col min="2858" max="2858" width="24.7109375" style="657" customWidth="1"/>
    <col min="2859" max="2859" width="36.42578125" style="657" customWidth="1"/>
    <col min="2860" max="2860" width="46.7109375" style="657" customWidth="1"/>
    <col min="2861" max="2861" width="43.7109375" style="657" customWidth="1"/>
    <col min="2862" max="2862" width="25.42578125" style="657" customWidth="1"/>
    <col min="2863" max="2863" width="12.42578125" style="657" customWidth="1"/>
    <col min="2864" max="2864" width="16.42578125" style="657" customWidth="1"/>
    <col min="2865" max="2865" width="13.42578125" style="657" customWidth="1"/>
    <col min="2866" max="2866" width="8.5703125" style="657" customWidth="1"/>
    <col min="2867" max="2870" width="11.42578125" style="657" customWidth="1"/>
    <col min="2871" max="2871" width="12.7109375" style="657" customWidth="1"/>
    <col min="2872" max="2872" width="11.85546875" style="657" customWidth="1"/>
    <col min="2873" max="2873" width="7.85546875" style="657" customWidth="1"/>
    <col min="2874" max="2874" width="7.5703125" style="657" customWidth="1"/>
    <col min="2875" max="2875" width="8.85546875" style="657" customWidth="1"/>
    <col min="2876" max="2876" width="8.140625" style="657" customWidth="1"/>
    <col min="2877" max="2877" width="7.85546875" style="657" customWidth="1"/>
    <col min="2878" max="2878" width="8.5703125" style="657" customWidth="1"/>
    <col min="2879" max="2879" width="8.28515625" style="657" customWidth="1"/>
    <col min="2880" max="2880" width="11.42578125" style="657" customWidth="1"/>
    <col min="2881" max="2881" width="18" style="657" customWidth="1"/>
    <col min="2882" max="2882" width="21.42578125" style="657" customWidth="1"/>
    <col min="2883" max="2883" width="27.85546875" style="657" customWidth="1"/>
    <col min="2884" max="3099" width="11.42578125" style="657"/>
    <col min="3100" max="3100" width="13.5703125" style="657" customWidth="1"/>
    <col min="3101" max="3101" width="19" style="657" customWidth="1"/>
    <col min="3102" max="3102" width="13.5703125" style="657" customWidth="1"/>
    <col min="3103" max="3103" width="19.7109375" style="657" customWidth="1"/>
    <col min="3104" max="3104" width="13.5703125" style="657" customWidth="1"/>
    <col min="3105" max="3106" width="14.7109375" style="657" customWidth="1"/>
    <col min="3107" max="3107" width="36.140625" style="657" customWidth="1"/>
    <col min="3108" max="3108" width="29.42578125" style="657" customWidth="1"/>
    <col min="3109" max="3109" width="16" style="657" customWidth="1"/>
    <col min="3110" max="3110" width="38.28515625" style="657" customWidth="1"/>
    <col min="3111" max="3111" width="12" style="657" customWidth="1"/>
    <col min="3112" max="3112" width="38.140625" style="657" customWidth="1"/>
    <col min="3113" max="3113" width="17.85546875" style="657" bestFit="1" customWidth="1"/>
    <col min="3114" max="3114" width="24.7109375" style="657" customWidth="1"/>
    <col min="3115" max="3115" width="36.42578125" style="657" customWidth="1"/>
    <col min="3116" max="3116" width="46.7109375" style="657" customWidth="1"/>
    <col min="3117" max="3117" width="43.7109375" style="657" customWidth="1"/>
    <col min="3118" max="3118" width="25.42578125" style="657" customWidth="1"/>
    <col min="3119" max="3119" width="12.42578125" style="657" customWidth="1"/>
    <col min="3120" max="3120" width="16.42578125" style="657" customWidth="1"/>
    <col min="3121" max="3121" width="13.42578125" style="657" customWidth="1"/>
    <col min="3122" max="3122" width="8.5703125" style="657" customWidth="1"/>
    <col min="3123" max="3126" width="11.42578125" style="657" customWidth="1"/>
    <col min="3127" max="3127" width="12.7109375" style="657" customWidth="1"/>
    <col min="3128" max="3128" width="11.85546875" style="657" customWidth="1"/>
    <col min="3129" max="3129" width="7.85546875" style="657" customWidth="1"/>
    <col min="3130" max="3130" width="7.5703125" style="657" customWidth="1"/>
    <col min="3131" max="3131" width="8.85546875" style="657" customWidth="1"/>
    <col min="3132" max="3132" width="8.140625" style="657" customWidth="1"/>
    <col min="3133" max="3133" width="7.85546875" style="657" customWidth="1"/>
    <col min="3134" max="3134" width="8.5703125" style="657" customWidth="1"/>
    <col min="3135" max="3135" width="8.28515625" style="657" customWidth="1"/>
    <col min="3136" max="3136" width="11.42578125" style="657" customWidth="1"/>
    <col min="3137" max="3137" width="18" style="657" customWidth="1"/>
    <col min="3138" max="3138" width="21.42578125" style="657" customWidth="1"/>
    <col min="3139" max="3139" width="27.85546875" style="657" customWidth="1"/>
    <col min="3140" max="3355" width="11.42578125" style="657"/>
    <col min="3356" max="3356" width="13.5703125" style="657" customWidth="1"/>
    <col min="3357" max="3357" width="19" style="657" customWidth="1"/>
    <col min="3358" max="3358" width="13.5703125" style="657" customWidth="1"/>
    <col min="3359" max="3359" width="19.7109375" style="657" customWidth="1"/>
    <col min="3360" max="3360" width="13.5703125" style="657" customWidth="1"/>
    <col min="3361" max="3362" width="14.7109375" style="657" customWidth="1"/>
    <col min="3363" max="3363" width="36.140625" style="657" customWidth="1"/>
    <col min="3364" max="3364" width="29.42578125" style="657" customWidth="1"/>
    <col min="3365" max="3365" width="16" style="657" customWidth="1"/>
    <col min="3366" max="3366" width="38.28515625" style="657" customWidth="1"/>
    <col min="3367" max="3367" width="12" style="657" customWidth="1"/>
    <col min="3368" max="3368" width="38.140625" style="657" customWidth="1"/>
    <col min="3369" max="3369" width="17.85546875" style="657" bestFit="1" customWidth="1"/>
    <col min="3370" max="3370" width="24.7109375" style="657" customWidth="1"/>
    <col min="3371" max="3371" width="36.42578125" style="657" customWidth="1"/>
    <col min="3372" max="3372" width="46.7109375" style="657" customWidth="1"/>
    <col min="3373" max="3373" width="43.7109375" style="657" customWidth="1"/>
    <col min="3374" max="3374" width="25.42578125" style="657" customWidth="1"/>
    <col min="3375" max="3375" width="12.42578125" style="657" customWidth="1"/>
    <col min="3376" max="3376" width="16.42578125" style="657" customWidth="1"/>
    <col min="3377" max="3377" width="13.42578125" style="657" customWidth="1"/>
    <col min="3378" max="3378" width="8.5703125" style="657" customWidth="1"/>
    <col min="3379" max="3382" width="11.42578125" style="657" customWidth="1"/>
    <col min="3383" max="3383" width="12.7109375" style="657" customWidth="1"/>
    <col min="3384" max="3384" width="11.85546875" style="657" customWidth="1"/>
    <col min="3385" max="3385" width="7.85546875" style="657" customWidth="1"/>
    <col min="3386" max="3386" width="7.5703125" style="657" customWidth="1"/>
    <col min="3387" max="3387" width="8.85546875" style="657" customWidth="1"/>
    <col min="3388" max="3388" width="8.140625" style="657" customWidth="1"/>
    <col min="3389" max="3389" width="7.85546875" style="657" customWidth="1"/>
    <col min="3390" max="3390" width="8.5703125" style="657" customWidth="1"/>
    <col min="3391" max="3391" width="8.28515625" style="657" customWidth="1"/>
    <col min="3392" max="3392" width="11.42578125" style="657" customWidth="1"/>
    <col min="3393" max="3393" width="18" style="657" customWidth="1"/>
    <col min="3394" max="3394" width="21.42578125" style="657" customWidth="1"/>
    <col min="3395" max="3395" width="27.85546875" style="657" customWidth="1"/>
    <col min="3396" max="3611" width="11.42578125" style="657"/>
    <col min="3612" max="3612" width="13.5703125" style="657" customWidth="1"/>
    <col min="3613" max="3613" width="19" style="657" customWidth="1"/>
    <col min="3614" max="3614" width="13.5703125" style="657" customWidth="1"/>
    <col min="3615" max="3615" width="19.7109375" style="657" customWidth="1"/>
    <col min="3616" max="3616" width="13.5703125" style="657" customWidth="1"/>
    <col min="3617" max="3618" width="14.7109375" style="657" customWidth="1"/>
    <col min="3619" max="3619" width="36.140625" style="657" customWidth="1"/>
    <col min="3620" max="3620" width="29.42578125" style="657" customWidth="1"/>
    <col min="3621" max="3621" width="16" style="657" customWidth="1"/>
    <col min="3622" max="3622" width="38.28515625" style="657" customWidth="1"/>
    <col min="3623" max="3623" width="12" style="657" customWidth="1"/>
    <col min="3624" max="3624" width="38.140625" style="657" customWidth="1"/>
    <col min="3625" max="3625" width="17.85546875" style="657" bestFit="1" customWidth="1"/>
    <col min="3626" max="3626" width="24.7109375" style="657" customWidth="1"/>
    <col min="3627" max="3627" width="36.42578125" style="657" customWidth="1"/>
    <col min="3628" max="3628" width="46.7109375" style="657" customWidth="1"/>
    <col min="3629" max="3629" width="43.7109375" style="657" customWidth="1"/>
    <col min="3630" max="3630" width="25.42578125" style="657" customWidth="1"/>
    <col min="3631" max="3631" width="12.42578125" style="657" customWidth="1"/>
    <col min="3632" max="3632" width="16.42578125" style="657" customWidth="1"/>
    <col min="3633" max="3633" width="13.42578125" style="657" customWidth="1"/>
    <col min="3634" max="3634" width="8.5703125" style="657" customWidth="1"/>
    <col min="3635" max="3638" width="11.42578125" style="657" customWidth="1"/>
    <col min="3639" max="3639" width="12.7109375" style="657" customWidth="1"/>
    <col min="3640" max="3640" width="11.85546875" style="657" customWidth="1"/>
    <col min="3641" max="3641" width="7.85546875" style="657" customWidth="1"/>
    <col min="3642" max="3642" width="7.5703125" style="657" customWidth="1"/>
    <col min="3643" max="3643" width="8.85546875" style="657" customWidth="1"/>
    <col min="3644" max="3644" width="8.140625" style="657" customWidth="1"/>
    <col min="3645" max="3645" width="7.85546875" style="657" customWidth="1"/>
    <col min="3646" max="3646" width="8.5703125" style="657" customWidth="1"/>
    <col min="3647" max="3647" width="8.28515625" style="657" customWidth="1"/>
    <col min="3648" max="3648" width="11.42578125" style="657" customWidth="1"/>
    <col min="3649" max="3649" width="18" style="657" customWidth="1"/>
    <col min="3650" max="3650" width="21.42578125" style="657" customWidth="1"/>
    <col min="3651" max="3651" width="27.85546875" style="657" customWidth="1"/>
    <col min="3652" max="3867" width="11.42578125" style="657"/>
    <col min="3868" max="3868" width="13.5703125" style="657" customWidth="1"/>
    <col min="3869" max="3869" width="19" style="657" customWidth="1"/>
    <col min="3870" max="3870" width="13.5703125" style="657" customWidth="1"/>
    <col min="3871" max="3871" width="19.7109375" style="657" customWidth="1"/>
    <col min="3872" max="3872" width="13.5703125" style="657" customWidth="1"/>
    <col min="3873" max="3874" width="14.7109375" style="657" customWidth="1"/>
    <col min="3875" max="3875" width="36.140625" style="657" customWidth="1"/>
    <col min="3876" max="3876" width="29.42578125" style="657" customWidth="1"/>
    <col min="3877" max="3877" width="16" style="657" customWidth="1"/>
    <col min="3878" max="3878" width="38.28515625" style="657" customWidth="1"/>
    <col min="3879" max="3879" width="12" style="657" customWidth="1"/>
    <col min="3880" max="3880" width="38.140625" style="657" customWidth="1"/>
    <col min="3881" max="3881" width="17.85546875" style="657" bestFit="1" customWidth="1"/>
    <col min="3882" max="3882" width="24.7109375" style="657" customWidth="1"/>
    <col min="3883" max="3883" width="36.42578125" style="657" customWidth="1"/>
    <col min="3884" max="3884" width="46.7109375" style="657" customWidth="1"/>
    <col min="3885" max="3885" width="43.7109375" style="657" customWidth="1"/>
    <col min="3886" max="3886" width="25.42578125" style="657" customWidth="1"/>
    <col min="3887" max="3887" width="12.42578125" style="657" customWidth="1"/>
    <col min="3888" max="3888" width="16.42578125" style="657" customWidth="1"/>
    <col min="3889" max="3889" width="13.42578125" style="657" customWidth="1"/>
    <col min="3890" max="3890" width="8.5703125" style="657" customWidth="1"/>
    <col min="3891" max="3894" width="11.42578125" style="657" customWidth="1"/>
    <col min="3895" max="3895" width="12.7109375" style="657" customWidth="1"/>
    <col min="3896" max="3896" width="11.85546875" style="657" customWidth="1"/>
    <col min="3897" max="3897" width="7.85546875" style="657" customWidth="1"/>
    <col min="3898" max="3898" width="7.5703125" style="657" customWidth="1"/>
    <col min="3899" max="3899" width="8.85546875" style="657" customWidth="1"/>
    <col min="3900" max="3900" width="8.140625" style="657" customWidth="1"/>
    <col min="3901" max="3901" width="7.85546875" style="657" customWidth="1"/>
    <col min="3902" max="3902" width="8.5703125" style="657" customWidth="1"/>
    <col min="3903" max="3903" width="8.28515625" style="657" customWidth="1"/>
    <col min="3904" max="3904" width="11.42578125" style="657" customWidth="1"/>
    <col min="3905" max="3905" width="18" style="657" customWidth="1"/>
    <col min="3906" max="3906" width="21.42578125" style="657" customWidth="1"/>
    <col min="3907" max="3907" width="27.85546875" style="657" customWidth="1"/>
    <col min="3908" max="4123" width="11.42578125" style="657"/>
    <col min="4124" max="4124" width="13.5703125" style="657" customWidth="1"/>
    <col min="4125" max="4125" width="19" style="657" customWidth="1"/>
    <col min="4126" max="4126" width="13.5703125" style="657" customWidth="1"/>
    <col min="4127" max="4127" width="19.7109375" style="657" customWidth="1"/>
    <col min="4128" max="4128" width="13.5703125" style="657" customWidth="1"/>
    <col min="4129" max="4130" width="14.7109375" style="657" customWidth="1"/>
    <col min="4131" max="4131" width="36.140625" style="657" customWidth="1"/>
    <col min="4132" max="4132" width="29.42578125" style="657" customWidth="1"/>
    <col min="4133" max="4133" width="16" style="657" customWidth="1"/>
    <col min="4134" max="4134" width="38.28515625" style="657" customWidth="1"/>
    <col min="4135" max="4135" width="12" style="657" customWidth="1"/>
    <col min="4136" max="4136" width="38.140625" style="657" customWidth="1"/>
    <col min="4137" max="4137" width="17.85546875" style="657" bestFit="1" customWidth="1"/>
    <col min="4138" max="4138" width="24.7109375" style="657" customWidth="1"/>
    <col min="4139" max="4139" width="36.42578125" style="657" customWidth="1"/>
    <col min="4140" max="4140" width="46.7109375" style="657" customWidth="1"/>
    <col min="4141" max="4141" width="43.7109375" style="657" customWidth="1"/>
    <col min="4142" max="4142" width="25.42578125" style="657" customWidth="1"/>
    <col min="4143" max="4143" width="12.42578125" style="657" customWidth="1"/>
    <col min="4144" max="4144" width="16.42578125" style="657" customWidth="1"/>
    <col min="4145" max="4145" width="13.42578125" style="657" customWidth="1"/>
    <col min="4146" max="4146" width="8.5703125" style="657" customWidth="1"/>
    <col min="4147" max="4150" width="11.42578125" style="657" customWidth="1"/>
    <col min="4151" max="4151" width="12.7109375" style="657" customWidth="1"/>
    <col min="4152" max="4152" width="11.85546875" style="657" customWidth="1"/>
    <col min="4153" max="4153" width="7.85546875" style="657" customWidth="1"/>
    <col min="4154" max="4154" width="7.5703125" style="657" customWidth="1"/>
    <col min="4155" max="4155" width="8.85546875" style="657" customWidth="1"/>
    <col min="4156" max="4156" width="8.140625" style="657" customWidth="1"/>
    <col min="4157" max="4157" width="7.85546875" style="657" customWidth="1"/>
    <col min="4158" max="4158" width="8.5703125" style="657" customWidth="1"/>
    <col min="4159" max="4159" width="8.28515625" style="657" customWidth="1"/>
    <col min="4160" max="4160" width="11.42578125" style="657" customWidth="1"/>
    <col min="4161" max="4161" width="18" style="657" customWidth="1"/>
    <col min="4162" max="4162" width="21.42578125" style="657" customWidth="1"/>
    <col min="4163" max="4163" width="27.85546875" style="657" customWidth="1"/>
    <col min="4164" max="4379" width="11.42578125" style="657"/>
    <col min="4380" max="4380" width="13.5703125" style="657" customWidth="1"/>
    <col min="4381" max="4381" width="19" style="657" customWidth="1"/>
    <col min="4382" max="4382" width="13.5703125" style="657" customWidth="1"/>
    <col min="4383" max="4383" width="19.7109375" style="657" customWidth="1"/>
    <col min="4384" max="4384" width="13.5703125" style="657" customWidth="1"/>
    <col min="4385" max="4386" width="14.7109375" style="657" customWidth="1"/>
    <col min="4387" max="4387" width="36.140625" style="657" customWidth="1"/>
    <col min="4388" max="4388" width="29.42578125" style="657" customWidth="1"/>
    <col min="4389" max="4389" width="16" style="657" customWidth="1"/>
    <col min="4390" max="4390" width="38.28515625" style="657" customWidth="1"/>
    <col min="4391" max="4391" width="12" style="657" customWidth="1"/>
    <col min="4392" max="4392" width="38.140625" style="657" customWidth="1"/>
    <col min="4393" max="4393" width="17.85546875" style="657" bestFit="1" customWidth="1"/>
    <col min="4394" max="4394" width="24.7109375" style="657" customWidth="1"/>
    <col min="4395" max="4395" width="36.42578125" style="657" customWidth="1"/>
    <col min="4396" max="4396" width="46.7109375" style="657" customWidth="1"/>
    <col min="4397" max="4397" width="43.7109375" style="657" customWidth="1"/>
    <col min="4398" max="4398" width="25.42578125" style="657" customWidth="1"/>
    <col min="4399" max="4399" width="12.42578125" style="657" customWidth="1"/>
    <col min="4400" max="4400" width="16.42578125" style="657" customWidth="1"/>
    <col min="4401" max="4401" width="13.42578125" style="657" customWidth="1"/>
    <col min="4402" max="4402" width="8.5703125" style="657" customWidth="1"/>
    <col min="4403" max="4406" width="11.42578125" style="657" customWidth="1"/>
    <col min="4407" max="4407" width="12.7109375" style="657" customWidth="1"/>
    <col min="4408" max="4408" width="11.85546875" style="657" customWidth="1"/>
    <col min="4409" max="4409" width="7.85546875" style="657" customWidth="1"/>
    <col min="4410" max="4410" width="7.5703125" style="657" customWidth="1"/>
    <col min="4411" max="4411" width="8.85546875" style="657" customWidth="1"/>
    <col min="4412" max="4412" width="8.140625" style="657" customWidth="1"/>
    <col min="4413" max="4413" width="7.85546875" style="657" customWidth="1"/>
    <col min="4414" max="4414" width="8.5703125" style="657" customWidth="1"/>
    <col min="4415" max="4415" width="8.28515625" style="657" customWidth="1"/>
    <col min="4416" max="4416" width="11.42578125" style="657" customWidth="1"/>
    <col min="4417" max="4417" width="18" style="657" customWidth="1"/>
    <col min="4418" max="4418" width="21.42578125" style="657" customWidth="1"/>
    <col min="4419" max="4419" width="27.85546875" style="657" customWidth="1"/>
    <col min="4420" max="4635" width="11.42578125" style="657"/>
    <col min="4636" max="4636" width="13.5703125" style="657" customWidth="1"/>
    <col min="4637" max="4637" width="19" style="657" customWidth="1"/>
    <col min="4638" max="4638" width="13.5703125" style="657" customWidth="1"/>
    <col min="4639" max="4639" width="19.7109375" style="657" customWidth="1"/>
    <col min="4640" max="4640" width="13.5703125" style="657" customWidth="1"/>
    <col min="4641" max="4642" width="14.7109375" style="657" customWidth="1"/>
    <col min="4643" max="4643" width="36.140625" style="657" customWidth="1"/>
    <col min="4644" max="4644" width="29.42578125" style="657" customWidth="1"/>
    <col min="4645" max="4645" width="16" style="657" customWidth="1"/>
    <col min="4646" max="4646" width="38.28515625" style="657" customWidth="1"/>
    <col min="4647" max="4647" width="12" style="657" customWidth="1"/>
    <col min="4648" max="4648" width="38.140625" style="657" customWidth="1"/>
    <col min="4649" max="4649" width="17.85546875" style="657" bestFit="1" customWidth="1"/>
    <col min="4650" max="4650" width="24.7109375" style="657" customWidth="1"/>
    <col min="4651" max="4651" width="36.42578125" style="657" customWidth="1"/>
    <col min="4652" max="4652" width="46.7109375" style="657" customWidth="1"/>
    <col min="4653" max="4653" width="43.7109375" style="657" customWidth="1"/>
    <col min="4654" max="4654" width="25.42578125" style="657" customWidth="1"/>
    <col min="4655" max="4655" width="12.42578125" style="657" customWidth="1"/>
    <col min="4656" max="4656" width="16.42578125" style="657" customWidth="1"/>
    <col min="4657" max="4657" width="13.42578125" style="657" customWidth="1"/>
    <col min="4658" max="4658" width="8.5703125" style="657" customWidth="1"/>
    <col min="4659" max="4662" width="11.42578125" style="657" customWidth="1"/>
    <col min="4663" max="4663" width="12.7109375" style="657" customWidth="1"/>
    <col min="4664" max="4664" width="11.85546875" style="657" customWidth="1"/>
    <col min="4665" max="4665" width="7.85546875" style="657" customWidth="1"/>
    <col min="4666" max="4666" width="7.5703125" style="657" customWidth="1"/>
    <col min="4667" max="4667" width="8.85546875" style="657" customWidth="1"/>
    <col min="4668" max="4668" width="8.140625" style="657" customWidth="1"/>
    <col min="4669" max="4669" width="7.85546875" style="657" customWidth="1"/>
    <col min="4670" max="4670" width="8.5703125" style="657" customWidth="1"/>
    <col min="4671" max="4671" width="8.28515625" style="657" customWidth="1"/>
    <col min="4672" max="4672" width="11.42578125" style="657" customWidth="1"/>
    <col min="4673" max="4673" width="18" style="657" customWidth="1"/>
    <col min="4674" max="4674" width="21.42578125" style="657" customWidth="1"/>
    <col min="4675" max="4675" width="27.85546875" style="657" customWidth="1"/>
    <col min="4676" max="4891" width="11.42578125" style="657"/>
    <col min="4892" max="4892" width="13.5703125" style="657" customWidth="1"/>
    <col min="4893" max="4893" width="19" style="657" customWidth="1"/>
    <col min="4894" max="4894" width="13.5703125" style="657" customWidth="1"/>
    <col min="4895" max="4895" width="19.7109375" style="657" customWidth="1"/>
    <col min="4896" max="4896" width="13.5703125" style="657" customWidth="1"/>
    <col min="4897" max="4898" width="14.7109375" style="657" customWidth="1"/>
    <col min="4899" max="4899" width="36.140625" style="657" customWidth="1"/>
    <col min="4900" max="4900" width="29.42578125" style="657" customWidth="1"/>
    <col min="4901" max="4901" width="16" style="657" customWidth="1"/>
    <col min="4902" max="4902" width="38.28515625" style="657" customWidth="1"/>
    <col min="4903" max="4903" width="12" style="657" customWidth="1"/>
    <col min="4904" max="4904" width="38.140625" style="657" customWidth="1"/>
    <col min="4905" max="4905" width="17.85546875" style="657" bestFit="1" customWidth="1"/>
    <col min="4906" max="4906" width="24.7109375" style="657" customWidth="1"/>
    <col min="4907" max="4907" width="36.42578125" style="657" customWidth="1"/>
    <col min="4908" max="4908" width="46.7109375" style="657" customWidth="1"/>
    <col min="4909" max="4909" width="43.7109375" style="657" customWidth="1"/>
    <col min="4910" max="4910" width="25.42578125" style="657" customWidth="1"/>
    <col min="4911" max="4911" width="12.42578125" style="657" customWidth="1"/>
    <col min="4912" max="4912" width="16.42578125" style="657" customWidth="1"/>
    <col min="4913" max="4913" width="13.42578125" style="657" customWidth="1"/>
    <col min="4914" max="4914" width="8.5703125" style="657" customWidth="1"/>
    <col min="4915" max="4918" width="11.42578125" style="657" customWidth="1"/>
    <col min="4919" max="4919" width="12.7109375" style="657" customWidth="1"/>
    <col min="4920" max="4920" width="11.85546875" style="657" customWidth="1"/>
    <col min="4921" max="4921" width="7.85546875" style="657" customWidth="1"/>
    <col min="4922" max="4922" width="7.5703125" style="657" customWidth="1"/>
    <col min="4923" max="4923" width="8.85546875" style="657" customWidth="1"/>
    <col min="4924" max="4924" width="8.140625" style="657" customWidth="1"/>
    <col min="4925" max="4925" width="7.85546875" style="657" customWidth="1"/>
    <col min="4926" max="4926" width="8.5703125" style="657" customWidth="1"/>
    <col min="4927" max="4927" width="8.28515625" style="657" customWidth="1"/>
    <col min="4928" max="4928" width="11.42578125" style="657" customWidth="1"/>
    <col min="4929" max="4929" width="18" style="657" customWidth="1"/>
    <col min="4930" max="4930" width="21.42578125" style="657" customWidth="1"/>
    <col min="4931" max="4931" width="27.85546875" style="657" customWidth="1"/>
    <col min="4932" max="5147" width="11.42578125" style="657"/>
    <col min="5148" max="5148" width="13.5703125" style="657" customWidth="1"/>
    <col min="5149" max="5149" width="19" style="657" customWidth="1"/>
    <col min="5150" max="5150" width="13.5703125" style="657" customWidth="1"/>
    <col min="5151" max="5151" width="19.7109375" style="657" customWidth="1"/>
    <col min="5152" max="5152" width="13.5703125" style="657" customWidth="1"/>
    <col min="5153" max="5154" width="14.7109375" style="657" customWidth="1"/>
    <col min="5155" max="5155" width="36.140625" style="657" customWidth="1"/>
    <col min="5156" max="5156" width="29.42578125" style="657" customWidth="1"/>
    <col min="5157" max="5157" width="16" style="657" customWidth="1"/>
    <col min="5158" max="5158" width="38.28515625" style="657" customWidth="1"/>
    <col min="5159" max="5159" width="12" style="657" customWidth="1"/>
    <col min="5160" max="5160" width="38.140625" style="657" customWidth="1"/>
    <col min="5161" max="5161" width="17.85546875" style="657" bestFit="1" customWidth="1"/>
    <col min="5162" max="5162" width="24.7109375" style="657" customWidth="1"/>
    <col min="5163" max="5163" width="36.42578125" style="657" customWidth="1"/>
    <col min="5164" max="5164" width="46.7109375" style="657" customWidth="1"/>
    <col min="5165" max="5165" width="43.7109375" style="657" customWidth="1"/>
    <col min="5166" max="5166" width="25.42578125" style="657" customWidth="1"/>
    <col min="5167" max="5167" width="12.42578125" style="657" customWidth="1"/>
    <col min="5168" max="5168" width="16.42578125" style="657" customWidth="1"/>
    <col min="5169" max="5169" width="13.42578125" style="657" customWidth="1"/>
    <col min="5170" max="5170" width="8.5703125" style="657" customWidth="1"/>
    <col min="5171" max="5174" width="11.42578125" style="657" customWidth="1"/>
    <col min="5175" max="5175" width="12.7109375" style="657" customWidth="1"/>
    <col min="5176" max="5176" width="11.85546875" style="657" customWidth="1"/>
    <col min="5177" max="5177" width="7.85546875" style="657" customWidth="1"/>
    <col min="5178" max="5178" width="7.5703125" style="657" customWidth="1"/>
    <col min="5179" max="5179" width="8.85546875" style="657" customWidth="1"/>
    <col min="5180" max="5180" width="8.140625" style="657" customWidth="1"/>
    <col min="5181" max="5181" width="7.85546875" style="657" customWidth="1"/>
    <col min="5182" max="5182" width="8.5703125" style="657" customWidth="1"/>
    <col min="5183" max="5183" width="8.28515625" style="657" customWidth="1"/>
    <col min="5184" max="5184" width="11.42578125" style="657" customWidth="1"/>
    <col min="5185" max="5185" width="18" style="657" customWidth="1"/>
    <col min="5186" max="5186" width="21.42578125" style="657" customWidth="1"/>
    <col min="5187" max="5187" width="27.85546875" style="657" customWidth="1"/>
    <col min="5188" max="5403" width="11.42578125" style="657"/>
    <col min="5404" max="5404" width="13.5703125" style="657" customWidth="1"/>
    <col min="5405" max="5405" width="19" style="657" customWidth="1"/>
    <col min="5406" max="5406" width="13.5703125" style="657" customWidth="1"/>
    <col min="5407" max="5407" width="19.7109375" style="657" customWidth="1"/>
    <col min="5408" max="5408" width="13.5703125" style="657" customWidth="1"/>
    <col min="5409" max="5410" width="14.7109375" style="657" customWidth="1"/>
    <col min="5411" max="5411" width="36.140625" style="657" customWidth="1"/>
    <col min="5412" max="5412" width="29.42578125" style="657" customWidth="1"/>
    <col min="5413" max="5413" width="16" style="657" customWidth="1"/>
    <col min="5414" max="5414" width="38.28515625" style="657" customWidth="1"/>
    <col min="5415" max="5415" width="12" style="657" customWidth="1"/>
    <col min="5416" max="5416" width="38.140625" style="657" customWidth="1"/>
    <col min="5417" max="5417" width="17.85546875" style="657" bestFit="1" customWidth="1"/>
    <col min="5418" max="5418" width="24.7109375" style="657" customWidth="1"/>
    <col min="5419" max="5419" width="36.42578125" style="657" customWidth="1"/>
    <col min="5420" max="5420" width="46.7109375" style="657" customWidth="1"/>
    <col min="5421" max="5421" width="43.7109375" style="657" customWidth="1"/>
    <col min="5422" max="5422" width="25.42578125" style="657" customWidth="1"/>
    <col min="5423" max="5423" width="12.42578125" style="657" customWidth="1"/>
    <col min="5424" max="5424" width="16.42578125" style="657" customWidth="1"/>
    <col min="5425" max="5425" width="13.42578125" style="657" customWidth="1"/>
    <col min="5426" max="5426" width="8.5703125" style="657" customWidth="1"/>
    <col min="5427" max="5430" width="11.42578125" style="657" customWidth="1"/>
    <col min="5431" max="5431" width="12.7109375" style="657" customWidth="1"/>
    <col min="5432" max="5432" width="11.85546875" style="657" customWidth="1"/>
    <col min="5433" max="5433" width="7.85546875" style="657" customWidth="1"/>
    <col min="5434" max="5434" width="7.5703125" style="657" customWidth="1"/>
    <col min="5435" max="5435" width="8.85546875" style="657" customWidth="1"/>
    <col min="5436" max="5436" width="8.140625" style="657" customWidth="1"/>
    <col min="5437" max="5437" width="7.85546875" style="657" customWidth="1"/>
    <col min="5438" max="5438" width="8.5703125" style="657" customWidth="1"/>
    <col min="5439" max="5439" width="8.28515625" style="657" customWidth="1"/>
    <col min="5440" max="5440" width="11.42578125" style="657" customWidth="1"/>
    <col min="5441" max="5441" width="18" style="657" customWidth="1"/>
    <col min="5442" max="5442" width="21.42578125" style="657" customWidth="1"/>
    <col min="5443" max="5443" width="27.85546875" style="657" customWidth="1"/>
    <col min="5444" max="5659" width="11.42578125" style="657"/>
    <col min="5660" max="5660" width="13.5703125" style="657" customWidth="1"/>
    <col min="5661" max="5661" width="19" style="657" customWidth="1"/>
    <col min="5662" max="5662" width="13.5703125" style="657" customWidth="1"/>
    <col min="5663" max="5663" width="19.7109375" style="657" customWidth="1"/>
    <col min="5664" max="5664" width="13.5703125" style="657" customWidth="1"/>
    <col min="5665" max="5666" width="14.7109375" style="657" customWidth="1"/>
    <col min="5667" max="5667" width="36.140625" style="657" customWidth="1"/>
    <col min="5668" max="5668" width="29.42578125" style="657" customWidth="1"/>
    <col min="5669" max="5669" width="16" style="657" customWidth="1"/>
    <col min="5670" max="5670" width="38.28515625" style="657" customWidth="1"/>
    <col min="5671" max="5671" width="12" style="657" customWidth="1"/>
    <col min="5672" max="5672" width="38.140625" style="657" customWidth="1"/>
    <col min="5673" max="5673" width="17.85546875" style="657" bestFit="1" customWidth="1"/>
    <col min="5674" max="5674" width="24.7109375" style="657" customWidth="1"/>
    <col min="5675" max="5675" width="36.42578125" style="657" customWidth="1"/>
    <col min="5676" max="5676" width="46.7109375" style="657" customWidth="1"/>
    <col min="5677" max="5677" width="43.7109375" style="657" customWidth="1"/>
    <col min="5678" max="5678" width="25.42578125" style="657" customWidth="1"/>
    <col min="5679" max="5679" width="12.42578125" style="657" customWidth="1"/>
    <col min="5680" max="5680" width="16.42578125" style="657" customWidth="1"/>
    <col min="5681" max="5681" width="13.42578125" style="657" customWidth="1"/>
    <col min="5682" max="5682" width="8.5703125" style="657" customWidth="1"/>
    <col min="5683" max="5686" width="11.42578125" style="657" customWidth="1"/>
    <col min="5687" max="5687" width="12.7109375" style="657" customWidth="1"/>
    <col min="5688" max="5688" width="11.85546875" style="657" customWidth="1"/>
    <col min="5689" max="5689" width="7.85546875" style="657" customWidth="1"/>
    <col min="5690" max="5690" width="7.5703125" style="657" customWidth="1"/>
    <col min="5691" max="5691" width="8.85546875" style="657" customWidth="1"/>
    <col min="5692" max="5692" width="8.140625" style="657" customWidth="1"/>
    <col min="5693" max="5693" width="7.85546875" style="657" customWidth="1"/>
    <col min="5694" max="5694" width="8.5703125" style="657" customWidth="1"/>
    <col min="5695" max="5695" width="8.28515625" style="657" customWidth="1"/>
    <col min="5696" max="5696" width="11.42578125" style="657" customWidth="1"/>
    <col min="5697" max="5697" width="18" style="657" customWidth="1"/>
    <col min="5698" max="5698" width="21.42578125" style="657" customWidth="1"/>
    <col min="5699" max="5699" width="27.85546875" style="657" customWidth="1"/>
    <col min="5700" max="5915" width="11.42578125" style="657"/>
    <col min="5916" max="5916" width="13.5703125" style="657" customWidth="1"/>
    <col min="5917" max="5917" width="19" style="657" customWidth="1"/>
    <col min="5918" max="5918" width="13.5703125" style="657" customWidth="1"/>
    <col min="5919" max="5919" width="19.7109375" style="657" customWidth="1"/>
    <col min="5920" max="5920" width="13.5703125" style="657" customWidth="1"/>
    <col min="5921" max="5922" width="14.7109375" style="657" customWidth="1"/>
    <col min="5923" max="5923" width="36.140625" style="657" customWidth="1"/>
    <col min="5924" max="5924" width="29.42578125" style="657" customWidth="1"/>
    <col min="5925" max="5925" width="16" style="657" customWidth="1"/>
    <col min="5926" max="5926" width="38.28515625" style="657" customWidth="1"/>
    <col min="5927" max="5927" width="12" style="657" customWidth="1"/>
    <col min="5928" max="5928" width="38.140625" style="657" customWidth="1"/>
    <col min="5929" max="5929" width="17.85546875" style="657" bestFit="1" customWidth="1"/>
    <col min="5930" max="5930" width="24.7109375" style="657" customWidth="1"/>
    <col min="5931" max="5931" width="36.42578125" style="657" customWidth="1"/>
    <col min="5932" max="5932" width="46.7109375" style="657" customWidth="1"/>
    <col min="5933" max="5933" width="43.7109375" style="657" customWidth="1"/>
    <col min="5934" max="5934" width="25.42578125" style="657" customWidth="1"/>
    <col min="5935" max="5935" width="12.42578125" style="657" customWidth="1"/>
    <col min="5936" max="5936" width="16.42578125" style="657" customWidth="1"/>
    <col min="5937" max="5937" width="13.42578125" style="657" customWidth="1"/>
    <col min="5938" max="5938" width="8.5703125" style="657" customWidth="1"/>
    <col min="5939" max="5942" width="11.42578125" style="657" customWidth="1"/>
    <col min="5943" max="5943" width="12.7109375" style="657" customWidth="1"/>
    <col min="5944" max="5944" width="11.85546875" style="657" customWidth="1"/>
    <col min="5945" max="5945" width="7.85546875" style="657" customWidth="1"/>
    <col min="5946" max="5946" width="7.5703125" style="657" customWidth="1"/>
    <col min="5947" max="5947" width="8.85546875" style="657" customWidth="1"/>
    <col min="5948" max="5948" width="8.140625" style="657" customWidth="1"/>
    <col min="5949" max="5949" width="7.85546875" style="657" customWidth="1"/>
    <col min="5950" max="5950" width="8.5703125" style="657" customWidth="1"/>
    <col min="5951" max="5951" width="8.28515625" style="657" customWidth="1"/>
    <col min="5952" max="5952" width="11.42578125" style="657" customWidth="1"/>
    <col min="5953" max="5953" width="18" style="657" customWidth="1"/>
    <col min="5954" max="5954" width="21.42578125" style="657" customWidth="1"/>
    <col min="5955" max="5955" width="27.85546875" style="657" customWidth="1"/>
    <col min="5956" max="6171" width="11.42578125" style="657"/>
    <col min="6172" max="6172" width="13.5703125" style="657" customWidth="1"/>
    <col min="6173" max="6173" width="19" style="657" customWidth="1"/>
    <col min="6174" max="6174" width="13.5703125" style="657" customWidth="1"/>
    <col min="6175" max="6175" width="19.7109375" style="657" customWidth="1"/>
    <col min="6176" max="6176" width="13.5703125" style="657" customWidth="1"/>
    <col min="6177" max="6178" width="14.7109375" style="657" customWidth="1"/>
    <col min="6179" max="6179" width="36.140625" style="657" customWidth="1"/>
    <col min="6180" max="6180" width="29.42578125" style="657" customWidth="1"/>
    <col min="6181" max="6181" width="16" style="657" customWidth="1"/>
    <col min="6182" max="6182" width="38.28515625" style="657" customWidth="1"/>
    <col min="6183" max="6183" width="12" style="657" customWidth="1"/>
    <col min="6184" max="6184" width="38.140625" style="657" customWidth="1"/>
    <col min="6185" max="6185" width="17.85546875" style="657" bestFit="1" customWidth="1"/>
    <col min="6186" max="6186" width="24.7109375" style="657" customWidth="1"/>
    <col min="6187" max="6187" width="36.42578125" style="657" customWidth="1"/>
    <col min="6188" max="6188" width="46.7109375" style="657" customWidth="1"/>
    <col min="6189" max="6189" width="43.7109375" style="657" customWidth="1"/>
    <col min="6190" max="6190" width="25.42578125" style="657" customWidth="1"/>
    <col min="6191" max="6191" width="12.42578125" style="657" customWidth="1"/>
    <col min="6192" max="6192" width="16.42578125" style="657" customWidth="1"/>
    <col min="6193" max="6193" width="13.42578125" style="657" customWidth="1"/>
    <col min="6194" max="6194" width="8.5703125" style="657" customWidth="1"/>
    <col min="6195" max="6198" width="11.42578125" style="657" customWidth="1"/>
    <col min="6199" max="6199" width="12.7109375" style="657" customWidth="1"/>
    <col min="6200" max="6200" width="11.85546875" style="657" customWidth="1"/>
    <col min="6201" max="6201" width="7.85546875" style="657" customWidth="1"/>
    <col min="6202" max="6202" width="7.5703125" style="657" customWidth="1"/>
    <col min="6203" max="6203" width="8.85546875" style="657" customWidth="1"/>
    <col min="6204" max="6204" width="8.140625" style="657" customWidth="1"/>
    <col min="6205" max="6205" width="7.85546875" style="657" customWidth="1"/>
    <col min="6206" max="6206" width="8.5703125" style="657" customWidth="1"/>
    <col min="6207" max="6207" width="8.28515625" style="657" customWidth="1"/>
    <col min="6208" max="6208" width="11.42578125" style="657" customWidth="1"/>
    <col min="6209" max="6209" width="18" style="657" customWidth="1"/>
    <col min="6210" max="6210" width="21.42578125" style="657" customWidth="1"/>
    <col min="6211" max="6211" width="27.85546875" style="657" customWidth="1"/>
    <col min="6212" max="6427" width="11.42578125" style="657"/>
    <col min="6428" max="6428" width="13.5703125" style="657" customWidth="1"/>
    <col min="6429" max="6429" width="19" style="657" customWidth="1"/>
    <col min="6430" max="6430" width="13.5703125" style="657" customWidth="1"/>
    <col min="6431" max="6431" width="19.7109375" style="657" customWidth="1"/>
    <col min="6432" max="6432" width="13.5703125" style="657" customWidth="1"/>
    <col min="6433" max="6434" width="14.7109375" style="657" customWidth="1"/>
    <col min="6435" max="6435" width="36.140625" style="657" customWidth="1"/>
    <col min="6436" max="6436" width="29.42578125" style="657" customWidth="1"/>
    <col min="6437" max="6437" width="16" style="657" customWidth="1"/>
    <col min="6438" max="6438" width="38.28515625" style="657" customWidth="1"/>
    <col min="6439" max="6439" width="12" style="657" customWidth="1"/>
    <col min="6440" max="6440" width="38.140625" style="657" customWidth="1"/>
    <col min="6441" max="6441" width="17.85546875" style="657" bestFit="1" customWidth="1"/>
    <col min="6442" max="6442" width="24.7109375" style="657" customWidth="1"/>
    <col min="6443" max="6443" width="36.42578125" style="657" customWidth="1"/>
    <col min="6444" max="6444" width="46.7109375" style="657" customWidth="1"/>
    <col min="6445" max="6445" width="43.7109375" style="657" customWidth="1"/>
    <col min="6446" max="6446" width="25.42578125" style="657" customWidth="1"/>
    <col min="6447" max="6447" width="12.42578125" style="657" customWidth="1"/>
    <col min="6448" max="6448" width="16.42578125" style="657" customWidth="1"/>
    <col min="6449" max="6449" width="13.42578125" style="657" customWidth="1"/>
    <col min="6450" max="6450" width="8.5703125" style="657" customWidth="1"/>
    <col min="6451" max="6454" width="11.42578125" style="657" customWidth="1"/>
    <col min="6455" max="6455" width="12.7109375" style="657" customWidth="1"/>
    <col min="6456" max="6456" width="11.85546875" style="657" customWidth="1"/>
    <col min="6457" max="6457" width="7.85546875" style="657" customWidth="1"/>
    <col min="6458" max="6458" width="7.5703125" style="657" customWidth="1"/>
    <col min="6459" max="6459" width="8.85546875" style="657" customWidth="1"/>
    <col min="6460" max="6460" width="8.140625" style="657" customWidth="1"/>
    <col min="6461" max="6461" width="7.85546875" style="657" customWidth="1"/>
    <col min="6462" max="6462" width="8.5703125" style="657" customWidth="1"/>
    <col min="6463" max="6463" width="8.28515625" style="657" customWidth="1"/>
    <col min="6464" max="6464" width="11.42578125" style="657" customWidth="1"/>
    <col min="6465" max="6465" width="18" style="657" customWidth="1"/>
    <col min="6466" max="6466" width="21.42578125" style="657" customWidth="1"/>
    <col min="6467" max="6467" width="27.85546875" style="657" customWidth="1"/>
    <col min="6468" max="6683" width="11.42578125" style="657"/>
    <col min="6684" max="6684" width="13.5703125" style="657" customWidth="1"/>
    <col min="6685" max="6685" width="19" style="657" customWidth="1"/>
    <col min="6686" max="6686" width="13.5703125" style="657" customWidth="1"/>
    <col min="6687" max="6687" width="19.7109375" style="657" customWidth="1"/>
    <col min="6688" max="6688" width="13.5703125" style="657" customWidth="1"/>
    <col min="6689" max="6690" width="14.7109375" style="657" customWidth="1"/>
    <col min="6691" max="6691" width="36.140625" style="657" customWidth="1"/>
    <col min="6692" max="6692" width="29.42578125" style="657" customWidth="1"/>
    <col min="6693" max="6693" width="16" style="657" customWidth="1"/>
    <col min="6694" max="6694" width="38.28515625" style="657" customWidth="1"/>
    <col min="6695" max="6695" width="12" style="657" customWidth="1"/>
    <col min="6696" max="6696" width="38.140625" style="657" customWidth="1"/>
    <col min="6697" max="6697" width="17.85546875" style="657" bestFit="1" customWidth="1"/>
    <col min="6698" max="6698" width="24.7109375" style="657" customWidth="1"/>
    <col min="6699" max="6699" width="36.42578125" style="657" customWidth="1"/>
    <col min="6700" max="6700" width="46.7109375" style="657" customWidth="1"/>
    <col min="6701" max="6701" width="43.7109375" style="657" customWidth="1"/>
    <col min="6702" max="6702" width="25.42578125" style="657" customWidth="1"/>
    <col min="6703" max="6703" width="12.42578125" style="657" customWidth="1"/>
    <col min="6704" max="6704" width="16.42578125" style="657" customWidth="1"/>
    <col min="6705" max="6705" width="13.42578125" style="657" customWidth="1"/>
    <col min="6706" max="6706" width="8.5703125" style="657" customWidth="1"/>
    <col min="6707" max="6710" width="11.42578125" style="657" customWidth="1"/>
    <col min="6711" max="6711" width="12.7109375" style="657" customWidth="1"/>
    <col min="6712" max="6712" width="11.85546875" style="657" customWidth="1"/>
    <col min="6713" max="6713" width="7.85546875" style="657" customWidth="1"/>
    <col min="6714" max="6714" width="7.5703125" style="657" customWidth="1"/>
    <col min="6715" max="6715" width="8.85546875" style="657" customWidth="1"/>
    <col min="6716" max="6716" width="8.140625" style="657" customWidth="1"/>
    <col min="6717" max="6717" width="7.85546875" style="657" customWidth="1"/>
    <col min="6718" max="6718" width="8.5703125" style="657" customWidth="1"/>
    <col min="6719" max="6719" width="8.28515625" style="657" customWidth="1"/>
    <col min="6720" max="6720" width="11.42578125" style="657" customWidth="1"/>
    <col min="6721" max="6721" width="18" style="657" customWidth="1"/>
    <col min="6722" max="6722" width="21.42578125" style="657" customWidth="1"/>
    <col min="6723" max="6723" width="27.85546875" style="657" customWidth="1"/>
    <col min="6724" max="6939" width="11.42578125" style="657"/>
    <col min="6940" max="6940" width="13.5703125" style="657" customWidth="1"/>
    <col min="6941" max="6941" width="19" style="657" customWidth="1"/>
    <col min="6942" max="6942" width="13.5703125" style="657" customWidth="1"/>
    <col min="6943" max="6943" width="19.7109375" style="657" customWidth="1"/>
    <col min="6944" max="6944" width="13.5703125" style="657" customWidth="1"/>
    <col min="6945" max="6946" width="14.7109375" style="657" customWidth="1"/>
    <col min="6947" max="6947" width="36.140625" style="657" customWidth="1"/>
    <col min="6948" max="6948" width="29.42578125" style="657" customWidth="1"/>
    <col min="6949" max="6949" width="16" style="657" customWidth="1"/>
    <col min="6950" max="6950" width="38.28515625" style="657" customWidth="1"/>
    <col min="6951" max="6951" width="12" style="657" customWidth="1"/>
    <col min="6952" max="6952" width="38.140625" style="657" customWidth="1"/>
    <col min="6953" max="6953" width="17.85546875" style="657" bestFit="1" customWidth="1"/>
    <col min="6954" max="6954" width="24.7109375" style="657" customWidth="1"/>
    <col min="6955" max="6955" width="36.42578125" style="657" customWidth="1"/>
    <col min="6956" max="6956" width="46.7109375" style="657" customWidth="1"/>
    <col min="6957" max="6957" width="43.7109375" style="657" customWidth="1"/>
    <col min="6958" max="6958" width="25.42578125" style="657" customWidth="1"/>
    <col min="6959" max="6959" width="12.42578125" style="657" customWidth="1"/>
    <col min="6960" max="6960" width="16.42578125" style="657" customWidth="1"/>
    <col min="6961" max="6961" width="13.42578125" style="657" customWidth="1"/>
    <col min="6962" max="6962" width="8.5703125" style="657" customWidth="1"/>
    <col min="6963" max="6966" width="11.42578125" style="657" customWidth="1"/>
    <col min="6967" max="6967" width="12.7109375" style="657" customWidth="1"/>
    <col min="6968" max="6968" width="11.85546875" style="657" customWidth="1"/>
    <col min="6969" max="6969" width="7.85546875" style="657" customWidth="1"/>
    <col min="6970" max="6970" width="7.5703125" style="657" customWidth="1"/>
    <col min="6971" max="6971" width="8.85546875" style="657" customWidth="1"/>
    <col min="6972" max="6972" width="8.140625" style="657" customWidth="1"/>
    <col min="6973" max="6973" width="7.85546875" style="657" customWidth="1"/>
    <col min="6974" max="6974" width="8.5703125" style="657" customWidth="1"/>
    <col min="6975" max="6975" width="8.28515625" style="657" customWidth="1"/>
    <col min="6976" max="6976" width="11.42578125" style="657" customWidth="1"/>
    <col min="6977" max="6977" width="18" style="657" customWidth="1"/>
    <col min="6978" max="6978" width="21.42578125" style="657" customWidth="1"/>
    <col min="6979" max="6979" width="27.85546875" style="657" customWidth="1"/>
    <col min="6980" max="7195" width="11.42578125" style="657"/>
    <col min="7196" max="7196" width="13.5703125" style="657" customWidth="1"/>
    <col min="7197" max="7197" width="19" style="657" customWidth="1"/>
    <col min="7198" max="7198" width="13.5703125" style="657" customWidth="1"/>
    <col min="7199" max="7199" width="19.7109375" style="657" customWidth="1"/>
    <col min="7200" max="7200" width="13.5703125" style="657" customWidth="1"/>
    <col min="7201" max="7202" width="14.7109375" style="657" customWidth="1"/>
    <col min="7203" max="7203" width="36.140625" style="657" customWidth="1"/>
    <col min="7204" max="7204" width="29.42578125" style="657" customWidth="1"/>
    <col min="7205" max="7205" width="16" style="657" customWidth="1"/>
    <col min="7206" max="7206" width="38.28515625" style="657" customWidth="1"/>
    <col min="7207" max="7207" width="12" style="657" customWidth="1"/>
    <col min="7208" max="7208" width="38.140625" style="657" customWidth="1"/>
    <col min="7209" max="7209" width="17.85546875" style="657" bestFit="1" customWidth="1"/>
    <col min="7210" max="7210" width="24.7109375" style="657" customWidth="1"/>
    <col min="7211" max="7211" width="36.42578125" style="657" customWidth="1"/>
    <col min="7212" max="7212" width="46.7109375" style="657" customWidth="1"/>
    <col min="7213" max="7213" width="43.7109375" style="657" customWidth="1"/>
    <col min="7214" max="7214" width="25.42578125" style="657" customWidth="1"/>
    <col min="7215" max="7215" width="12.42578125" style="657" customWidth="1"/>
    <col min="7216" max="7216" width="16.42578125" style="657" customWidth="1"/>
    <col min="7217" max="7217" width="13.42578125" style="657" customWidth="1"/>
    <col min="7218" max="7218" width="8.5703125" style="657" customWidth="1"/>
    <col min="7219" max="7222" width="11.42578125" style="657" customWidth="1"/>
    <col min="7223" max="7223" width="12.7109375" style="657" customWidth="1"/>
    <col min="7224" max="7224" width="11.85546875" style="657" customWidth="1"/>
    <col min="7225" max="7225" width="7.85546875" style="657" customWidth="1"/>
    <col min="7226" max="7226" width="7.5703125" style="657" customWidth="1"/>
    <col min="7227" max="7227" width="8.85546875" style="657" customWidth="1"/>
    <col min="7228" max="7228" width="8.140625" style="657" customWidth="1"/>
    <col min="7229" max="7229" width="7.85546875" style="657" customWidth="1"/>
    <col min="7230" max="7230" width="8.5703125" style="657" customWidth="1"/>
    <col min="7231" max="7231" width="8.28515625" style="657" customWidth="1"/>
    <col min="7232" max="7232" width="11.42578125" style="657" customWidth="1"/>
    <col min="7233" max="7233" width="18" style="657" customWidth="1"/>
    <col min="7234" max="7234" width="21.42578125" style="657" customWidth="1"/>
    <col min="7235" max="7235" width="27.85546875" style="657" customWidth="1"/>
    <col min="7236" max="7451" width="11.42578125" style="657"/>
    <col min="7452" max="7452" width="13.5703125" style="657" customWidth="1"/>
    <col min="7453" max="7453" width="19" style="657" customWidth="1"/>
    <col min="7454" max="7454" width="13.5703125" style="657" customWidth="1"/>
    <col min="7455" max="7455" width="19.7109375" style="657" customWidth="1"/>
    <col min="7456" max="7456" width="13.5703125" style="657" customWidth="1"/>
    <col min="7457" max="7458" width="14.7109375" style="657" customWidth="1"/>
    <col min="7459" max="7459" width="36.140625" style="657" customWidth="1"/>
    <col min="7460" max="7460" width="29.42578125" style="657" customWidth="1"/>
    <col min="7461" max="7461" width="16" style="657" customWidth="1"/>
    <col min="7462" max="7462" width="38.28515625" style="657" customWidth="1"/>
    <col min="7463" max="7463" width="12" style="657" customWidth="1"/>
    <col min="7464" max="7464" width="38.140625" style="657" customWidth="1"/>
    <col min="7465" max="7465" width="17.85546875" style="657" bestFit="1" customWidth="1"/>
    <col min="7466" max="7466" width="24.7109375" style="657" customWidth="1"/>
    <col min="7467" max="7467" width="36.42578125" style="657" customWidth="1"/>
    <col min="7468" max="7468" width="46.7109375" style="657" customWidth="1"/>
    <col min="7469" max="7469" width="43.7109375" style="657" customWidth="1"/>
    <col min="7470" max="7470" width="25.42578125" style="657" customWidth="1"/>
    <col min="7471" max="7471" width="12.42578125" style="657" customWidth="1"/>
    <col min="7472" max="7472" width="16.42578125" style="657" customWidth="1"/>
    <col min="7473" max="7473" width="13.42578125" style="657" customWidth="1"/>
    <col min="7474" max="7474" width="8.5703125" style="657" customWidth="1"/>
    <col min="7475" max="7478" width="11.42578125" style="657" customWidth="1"/>
    <col min="7479" max="7479" width="12.7109375" style="657" customWidth="1"/>
    <col min="7480" max="7480" width="11.85546875" style="657" customWidth="1"/>
    <col min="7481" max="7481" width="7.85546875" style="657" customWidth="1"/>
    <col min="7482" max="7482" width="7.5703125" style="657" customWidth="1"/>
    <col min="7483" max="7483" width="8.85546875" style="657" customWidth="1"/>
    <col min="7484" max="7484" width="8.140625" style="657" customWidth="1"/>
    <col min="7485" max="7485" width="7.85546875" style="657" customWidth="1"/>
    <col min="7486" max="7486" width="8.5703125" style="657" customWidth="1"/>
    <col min="7487" max="7487" width="8.28515625" style="657" customWidth="1"/>
    <col min="7488" max="7488" width="11.42578125" style="657" customWidth="1"/>
    <col min="7489" max="7489" width="18" style="657" customWidth="1"/>
    <col min="7490" max="7490" width="21.42578125" style="657" customWidth="1"/>
    <col min="7491" max="7491" width="27.85546875" style="657" customWidth="1"/>
    <col min="7492" max="7707" width="11.42578125" style="657"/>
    <col min="7708" max="7708" width="13.5703125" style="657" customWidth="1"/>
    <col min="7709" max="7709" width="19" style="657" customWidth="1"/>
    <col min="7710" max="7710" width="13.5703125" style="657" customWidth="1"/>
    <col min="7711" max="7711" width="19.7109375" style="657" customWidth="1"/>
    <col min="7712" max="7712" width="13.5703125" style="657" customWidth="1"/>
    <col min="7713" max="7714" width="14.7109375" style="657" customWidth="1"/>
    <col min="7715" max="7715" width="36.140625" style="657" customWidth="1"/>
    <col min="7716" max="7716" width="29.42578125" style="657" customWidth="1"/>
    <col min="7717" max="7717" width="16" style="657" customWidth="1"/>
    <col min="7718" max="7718" width="38.28515625" style="657" customWidth="1"/>
    <col min="7719" max="7719" width="12" style="657" customWidth="1"/>
    <col min="7720" max="7720" width="38.140625" style="657" customWidth="1"/>
    <col min="7721" max="7721" width="17.85546875" style="657" bestFit="1" customWidth="1"/>
    <col min="7722" max="7722" width="24.7109375" style="657" customWidth="1"/>
    <col min="7723" max="7723" width="36.42578125" style="657" customWidth="1"/>
    <col min="7724" max="7724" width="46.7109375" style="657" customWidth="1"/>
    <col min="7725" max="7725" width="43.7109375" style="657" customWidth="1"/>
    <col min="7726" max="7726" width="25.42578125" style="657" customWidth="1"/>
    <col min="7727" max="7727" width="12.42578125" style="657" customWidth="1"/>
    <col min="7728" max="7728" width="16.42578125" style="657" customWidth="1"/>
    <col min="7729" max="7729" width="13.42578125" style="657" customWidth="1"/>
    <col min="7730" max="7730" width="8.5703125" style="657" customWidth="1"/>
    <col min="7731" max="7734" width="11.42578125" style="657" customWidth="1"/>
    <col min="7735" max="7735" width="12.7109375" style="657" customWidth="1"/>
    <col min="7736" max="7736" width="11.85546875" style="657" customWidth="1"/>
    <col min="7737" max="7737" width="7.85546875" style="657" customWidth="1"/>
    <col min="7738" max="7738" width="7.5703125" style="657" customWidth="1"/>
    <col min="7739" max="7739" width="8.85546875" style="657" customWidth="1"/>
    <col min="7740" max="7740" width="8.140625" style="657" customWidth="1"/>
    <col min="7741" max="7741" width="7.85546875" style="657" customWidth="1"/>
    <col min="7742" max="7742" width="8.5703125" style="657" customWidth="1"/>
    <col min="7743" max="7743" width="8.28515625" style="657" customWidth="1"/>
    <col min="7744" max="7744" width="11.42578125" style="657" customWidth="1"/>
    <col min="7745" max="7745" width="18" style="657" customWidth="1"/>
    <col min="7746" max="7746" width="21.42578125" style="657" customWidth="1"/>
    <col min="7747" max="7747" width="27.85546875" style="657" customWidth="1"/>
    <col min="7748" max="7963" width="11.42578125" style="657"/>
    <col min="7964" max="7964" width="13.5703125" style="657" customWidth="1"/>
    <col min="7965" max="7965" width="19" style="657" customWidth="1"/>
    <col min="7966" max="7966" width="13.5703125" style="657" customWidth="1"/>
    <col min="7967" max="7967" width="19.7109375" style="657" customWidth="1"/>
    <col min="7968" max="7968" width="13.5703125" style="657" customWidth="1"/>
    <col min="7969" max="7970" width="14.7109375" style="657" customWidth="1"/>
    <col min="7971" max="7971" width="36.140625" style="657" customWidth="1"/>
    <col min="7972" max="7972" width="29.42578125" style="657" customWidth="1"/>
    <col min="7973" max="7973" width="16" style="657" customWidth="1"/>
    <col min="7974" max="7974" width="38.28515625" style="657" customWidth="1"/>
    <col min="7975" max="7975" width="12" style="657" customWidth="1"/>
    <col min="7976" max="7976" width="38.140625" style="657" customWidth="1"/>
    <col min="7977" max="7977" width="17.85546875" style="657" bestFit="1" customWidth="1"/>
    <col min="7978" max="7978" width="24.7109375" style="657" customWidth="1"/>
    <col min="7979" max="7979" width="36.42578125" style="657" customWidth="1"/>
    <col min="7980" max="7980" width="46.7109375" style="657" customWidth="1"/>
    <col min="7981" max="7981" width="43.7109375" style="657" customWidth="1"/>
    <col min="7982" max="7982" width="25.42578125" style="657" customWidth="1"/>
    <col min="7983" max="7983" width="12.42578125" style="657" customWidth="1"/>
    <col min="7984" max="7984" width="16.42578125" style="657" customWidth="1"/>
    <col min="7985" max="7985" width="13.42578125" style="657" customWidth="1"/>
    <col min="7986" max="7986" width="8.5703125" style="657" customWidth="1"/>
    <col min="7987" max="7990" width="11.42578125" style="657" customWidth="1"/>
    <col min="7991" max="7991" width="12.7109375" style="657" customWidth="1"/>
    <col min="7992" max="7992" width="11.85546875" style="657" customWidth="1"/>
    <col min="7993" max="7993" width="7.85546875" style="657" customWidth="1"/>
    <col min="7994" max="7994" width="7.5703125" style="657" customWidth="1"/>
    <col min="7995" max="7995" width="8.85546875" style="657" customWidth="1"/>
    <col min="7996" max="7996" width="8.140625" style="657" customWidth="1"/>
    <col min="7997" max="7997" width="7.85546875" style="657" customWidth="1"/>
    <col min="7998" max="7998" width="8.5703125" style="657" customWidth="1"/>
    <col min="7999" max="7999" width="8.28515625" style="657" customWidth="1"/>
    <col min="8000" max="8000" width="11.42578125" style="657" customWidth="1"/>
    <col min="8001" max="8001" width="18" style="657" customWidth="1"/>
    <col min="8002" max="8002" width="21.42578125" style="657" customWidth="1"/>
    <col min="8003" max="8003" width="27.85546875" style="657" customWidth="1"/>
    <col min="8004" max="8219" width="11.42578125" style="657"/>
    <col min="8220" max="8220" width="13.5703125" style="657" customWidth="1"/>
    <col min="8221" max="8221" width="19" style="657" customWidth="1"/>
    <col min="8222" max="8222" width="13.5703125" style="657" customWidth="1"/>
    <col min="8223" max="8223" width="19.7109375" style="657" customWidth="1"/>
    <col min="8224" max="8224" width="13.5703125" style="657" customWidth="1"/>
    <col min="8225" max="8226" width="14.7109375" style="657" customWidth="1"/>
    <col min="8227" max="8227" width="36.140625" style="657" customWidth="1"/>
    <col min="8228" max="8228" width="29.42578125" style="657" customWidth="1"/>
    <col min="8229" max="8229" width="16" style="657" customWidth="1"/>
    <col min="8230" max="8230" width="38.28515625" style="657" customWidth="1"/>
    <col min="8231" max="8231" width="12" style="657" customWidth="1"/>
    <col min="8232" max="8232" width="38.140625" style="657" customWidth="1"/>
    <col min="8233" max="8233" width="17.85546875" style="657" bestFit="1" customWidth="1"/>
    <col min="8234" max="8234" width="24.7109375" style="657" customWidth="1"/>
    <col min="8235" max="8235" width="36.42578125" style="657" customWidth="1"/>
    <col min="8236" max="8236" width="46.7109375" style="657" customWidth="1"/>
    <col min="8237" max="8237" width="43.7109375" style="657" customWidth="1"/>
    <col min="8238" max="8238" width="25.42578125" style="657" customWidth="1"/>
    <col min="8239" max="8239" width="12.42578125" style="657" customWidth="1"/>
    <col min="8240" max="8240" width="16.42578125" style="657" customWidth="1"/>
    <col min="8241" max="8241" width="13.42578125" style="657" customWidth="1"/>
    <col min="8242" max="8242" width="8.5703125" style="657" customWidth="1"/>
    <col min="8243" max="8246" width="11.42578125" style="657" customWidth="1"/>
    <col min="8247" max="8247" width="12.7109375" style="657" customWidth="1"/>
    <col min="8248" max="8248" width="11.85546875" style="657" customWidth="1"/>
    <col min="8249" max="8249" width="7.85546875" style="657" customWidth="1"/>
    <col min="8250" max="8250" width="7.5703125" style="657" customWidth="1"/>
    <col min="8251" max="8251" width="8.85546875" style="657" customWidth="1"/>
    <col min="8252" max="8252" width="8.140625" style="657" customWidth="1"/>
    <col min="8253" max="8253" width="7.85546875" style="657" customWidth="1"/>
    <col min="8254" max="8254" width="8.5703125" style="657" customWidth="1"/>
    <col min="8255" max="8255" width="8.28515625" style="657" customWidth="1"/>
    <col min="8256" max="8256" width="11.42578125" style="657" customWidth="1"/>
    <col min="8257" max="8257" width="18" style="657" customWidth="1"/>
    <col min="8258" max="8258" width="21.42578125" style="657" customWidth="1"/>
    <col min="8259" max="8259" width="27.85546875" style="657" customWidth="1"/>
    <col min="8260" max="8475" width="11.42578125" style="657"/>
    <col min="8476" max="8476" width="13.5703125" style="657" customWidth="1"/>
    <col min="8477" max="8477" width="19" style="657" customWidth="1"/>
    <col min="8478" max="8478" width="13.5703125" style="657" customWidth="1"/>
    <col min="8479" max="8479" width="19.7109375" style="657" customWidth="1"/>
    <col min="8480" max="8480" width="13.5703125" style="657" customWidth="1"/>
    <col min="8481" max="8482" width="14.7109375" style="657" customWidth="1"/>
    <col min="8483" max="8483" width="36.140625" style="657" customWidth="1"/>
    <col min="8484" max="8484" width="29.42578125" style="657" customWidth="1"/>
    <col min="8485" max="8485" width="16" style="657" customWidth="1"/>
    <col min="8486" max="8486" width="38.28515625" style="657" customWidth="1"/>
    <col min="8487" max="8487" width="12" style="657" customWidth="1"/>
    <col min="8488" max="8488" width="38.140625" style="657" customWidth="1"/>
    <col min="8489" max="8489" width="17.85546875" style="657" bestFit="1" customWidth="1"/>
    <col min="8490" max="8490" width="24.7109375" style="657" customWidth="1"/>
    <col min="8491" max="8491" width="36.42578125" style="657" customWidth="1"/>
    <col min="8492" max="8492" width="46.7109375" style="657" customWidth="1"/>
    <col min="8493" max="8493" width="43.7109375" style="657" customWidth="1"/>
    <col min="8494" max="8494" width="25.42578125" style="657" customWidth="1"/>
    <col min="8495" max="8495" width="12.42578125" style="657" customWidth="1"/>
    <col min="8496" max="8496" width="16.42578125" style="657" customWidth="1"/>
    <col min="8497" max="8497" width="13.42578125" style="657" customWidth="1"/>
    <col min="8498" max="8498" width="8.5703125" style="657" customWidth="1"/>
    <col min="8499" max="8502" width="11.42578125" style="657" customWidth="1"/>
    <col min="8503" max="8503" width="12.7109375" style="657" customWidth="1"/>
    <col min="8504" max="8504" width="11.85546875" style="657" customWidth="1"/>
    <col min="8505" max="8505" width="7.85546875" style="657" customWidth="1"/>
    <col min="8506" max="8506" width="7.5703125" style="657" customWidth="1"/>
    <col min="8507" max="8507" width="8.85546875" style="657" customWidth="1"/>
    <col min="8508" max="8508" width="8.140625" style="657" customWidth="1"/>
    <col min="8509" max="8509" width="7.85546875" style="657" customWidth="1"/>
    <col min="8510" max="8510" width="8.5703125" style="657" customWidth="1"/>
    <col min="8511" max="8511" width="8.28515625" style="657" customWidth="1"/>
    <col min="8512" max="8512" width="11.42578125" style="657" customWidth="1"/>
    <col min="8513" max="8513" width="18" style="657" customWidth="1"/>
    <col min="8514" max="8514" width="21.42578125" style="657" customWidth="1"/>
    <col min="8515" max="8515" width="27.85546875" style="657" customWidth="1"/>
    <col min="8516" max="8731" width="11.42578125" style="657"/>
    <col min="8732" max="8732" width="13.5703125" style="657" customWidth="1"/>
    <col min="8733" max="8733" width="19" style="657" customWidth="1"/>
    <col min="8734" max="8734" width="13.5703125" style="657" customWidth="1"/>
    <col min="8735" max="8735" width="19.7109375" style="657" customWidth="1"/>
    <col min="8736" max="8736" width="13.5703125" style="657" customWidth="1"/>
    <col min="8737" max="8738" width="14.7109375" style="657" customWidth="1"/>
    <col min="8739" max="8739" width="36.140625" style="657" customWidth="1"/>
    <col min="8740" max="8740" width="29.42578125" style="657" customWidth="1"/>
    <col min="8741" max="8741" width="16" style="657" customWidth="1"/>
    <col min="8742" max="8742" width="38.28515625" style="657" customWidth="1"/>
    <col min="8743" max="8743" width="12" style="657" customWidth="1"/>
    <col min="8744" max="8744" width="38.140625" style="657" customWidth="1"/>
    <col min="8745" max="8745" width="17.85546875" style="657" bestFit="1" customWidth="1"/>
    <col min="8746" max="8746" width="24.7109375" style="657" customWidth="1"/>
    <col min="8747" max="8747" width="36.42578125" style="657" customWidth="1"/>
    <col min="8748" max="8748" width="46.7109375" style="657" customWidth="1"/>
    <col min="8749" max="8749" width="43.7109375" style="657" customWidth="1"/>
    <col min="8750" max="8750" width="25.42578125" style="657" customWidth="1"/>
    <col min="8751" max="8751" width="12.42578125" style="657" customWidth="1"/>
    <col min="8752" max="8752" width="16.42578125" style="657" customWidth="1"/>
    <col min="8753" max="8753" width="13.42578125" style="657" customWidth="1"/>
    <col min="8754" max="8754" width="8.5703125" style="657" customWidth="1"/>
    <col min="8755" max="8758" width="11.42578125" style="657" customWidth="1"/>
    <col min="8759" max="8759" width="12.7109375" style="657" customWidth="1"/>
    <col min="8760" max="8760" width="11.85546875" style="657" customWidth="1"/>
    <col min="8761" max="8761" width="7.85546875" style="657" customWidth="1"/>
    <col min="8762" max="8762" width="7.5703125" style="657" customWidth="1"/>
    <col min="8763" max="8763" width="8.85546875" style="657" customWidth="1"/>
    <col min="8764" max="8764" width="8.140625" style="657" customWidth="1"/>
    <col min="8765" max="8765" width="7.85546875" style="657" customWidth="1"/>
    <col min="8766" max="8766" width="8.5703125" style="657" customWidth="1"/>
    <col min="8767" max="8767" width="8.28515625" style="657" customWidth="1"/>
    <col min="8768" max="8768" width="11.42578125" style="657" customWidth="1"/>
    <col min="8769" max="8769" width="18" style="657" customWidth="1"/>
    <col min="8770" max="8770" width="21.42578125" style="657" customWidth="1"/>
    <col min="8771" max="8771" width="27.85546875" style="657" customWidth="1"/>
    <col min="8772" max="8987" width="11.42578125" style="657"/>
    <col min="8988" max="8988" width="13.5703125" style="657" customWidth="1"/>
    <col min="8989" max="8989" width="19" style="657" customWidth="1"/>
    <col min="8990" max="8990" width="13.5703125" style="657" customWidth="1"/>
    <col min="8991" max="8991" width="19.7109375" style="657" customWidth="1"/>
    <col min="8992" max="8992" width="13.5703125" style="657" customWidth="1"/>
    <col min="8993" max="8994" width="14.7109375" style="657" customWidth="1"/>
    <col min="8995" max="8995" width="36.140625" style="657" customWidth="1"/>
    <col min="8996" max="8996" width="29.42578125" style="657" customWidth="1"/>
    <col min="8997" max="8997" width="16" style="657" customWidth="1"/>
    <col min="8998" max="8998" width="38.28515625" style="657" customWidth="1"/>
    <col min="8999" max="8999" width="12" style="657" customWidth="1"/>
    <col min="9000" max="9000" width="38.140625" style="657" customWidth="1"/>
    <col min="9001" max="9001" width="17.85546875" style="657" bestFit="1" customWidth="1"/>
    <col min="9002" max="9002" width="24.7109375" style="657" customWidth="1"/>
    <col min="9003" max="9003" width="36.42578125" style="657" customWidth="1"/>
    <col min="9004" max="9004" width="46.7109375" style="657" customWidth="1"/>
    <col min="9005" max="9005" width="43.7109375" style="657" customWidth="1"/>
    <col min="9006" max="9006" width="25.42578125" style="657" customWidth="1"/>
    <col min="9007" max="9007" width="12.42578125" style="657" customWidth="1"/>
    <col min="9008" max="9008" width="16.42578125" style="657" customWidth="1"/>
    <col min="9009" max="9009" width="13.42578125" style="657" customWidth="1"/>
    <col min="9010" max="9010" width="8.5703125" style="657" customWidth="1"/>
    <col min="9011" max="9014" width="11.42578125" style="657" customWidth="1"/>
    <col min="9015" max="9015" width="12.7109375" style="657" customWidth="1"/>
    <col min="9016" max="9016" width="11.85546875" style="657" customWidth="1"/>
    <col min="9017" max="9017" width="7.85546875" style="657" customWidth="1"/>
    <col min="9018" max="9018" width="7.5703125" style="657" customWidth="1"/>
    <col min="9019" max="9019" width="8.85546875" style="657" customWidth="1"/>
    <col min="9020" max="9020" width="8.140625" style="657" customWidth="1"/>
    <col min="9021" max="9021" width="7.85546875" style="657" customWidth="1"/>
    <col min="9022" max="9022" width="8.5703125" style="657" customWidth="1"/>
    <col min="9023" max="9023" width="8.28515625" style="657" customWidth="1"/>
    <col min="9024" max="9024" width="11.42578125" style="657" customWidth="1"/>
    <col min="9025" max="9025" width="18" style="657" customWidth="1"/>
    <col min="9026" max="9026" width="21.42578125" style="657" customWidth="1"/>
    <col min="9027" max="9027" width="27.85546875" style="657" customWidth="1"/>
    <col min="9028" max="9243" width="11.42578125" style="657"/>
    <col min="9244" max="9244" width="13.5703125" style="657" customWidth="1"/>
    <col min="9245" max="9245" width="19" style="657" customWidth="1"/>
    <col min="9246" max="9246" width="13.5703125" style="657" customWidth="1"/>
    <col min="9247" max="9247" width="19.7109375" style="657" customWidth="1"/>
    <col min="9248" max="9248" width="13.5703125" style="657" customWidth="1"/>
    <col min="9249" max="9250" width="14.7109375" style="657" customWidth="1"/>
    <col min="9251" max="9251" width="36.140625" style="657" customWidth="1"/>
    <col min="9252" max="9252" width="29.42578125" style="657" customWidth="1"/>
    <col min="9253" max="9253" width="16" style="657" customWidth="1"/>
    <col min="9254" max="9254" width="38.28515625" style="657" customWidth="1"/>
    <col min="9255" max="9255" width="12" style="657" customWidth="1"/>
    <col min="9256" max="9256" width="38.140625" style="657" customWidth="1"/>
    <col min="9257" max="9257" width="17.85546875" style="657" bestFit="1" customWidth="1"/>
    <col min="9258" max="9258" width="24.7109375" style="657" customWidth="1"/>
    <col min="9259" max="9259" width="36.42578125" style="657" customWidth="1"/>
    <col min="9260" max="9260" width="46.7109375" style="657" customWidth="1"/>
    <col min="9261" max="9261" width="43.7109375" style="657" customWidth="1"/>
    <col min="9262" max="9262" width="25.42578125" style="657" customWidth="1"/>
    <col min="9263" max="9263" width="12.42578125" style="657" customWidth="1"/>
    <col min="9264" max="9264" width="16.42578125" style="657" customWidth="1"/>
    <col min="9265" max="9265" width="13.42578125" style="657" customWidth="1"/>
    <col min="9266" max="9266" width="8.5703125" style="657" customWidth="1"/>
    <col min="9267" max="9270" width="11.42578125" style="657" customWidth="1"/>
    <col min="9271" max="9271" width="12.7109375" style="657" customWidth="1"/>
    <col min="9272" max="9272" width="11.85546875" style="657" customWidth="1"/>
    <col min="9273" max="9273" width="7.85546875" style="657" customWidth="1"/>
    <col min="9274" max="9274" width="7.5703125" style="657" customWidth="1"/>
    <col min="9275" max="9275" width="8.85546875" style="657" customWidth="1"/>
    <col min="9276" max="9276" width="8.140625" style="657" customWidth="1"/>
    <col min="9277" max="9277" width="7.85546875" style="657" customWidth="1"/>
    <col min="9278" max="9278" width="8.5703125" style="657" customWidth="1"/>
    <col min="9279" max="9279" width="8.28515625" style="657" customWidth="1"/>
    <col min="9280" max="9280" width="11.42578125" style="657" customWidth="1"/>
    <col min="9281" max="9281" width="18" style="657" customWidth="1"/>
    <col min="9282" max="9282" width="21.42578125" style="657" customWidth="1"/>
    <col min="9283" max="9283" width="27.85546875" style="657" customWidth="1"/>
    <col min="9284" max="9499" width="11.42578125" style="657"/>
    <col min="9500" max="9500" width="13.5703125" style="657" customWidth="1"/>
    <col min="9501" max="9501" width="19" style="657" customWidth="1"/>
    <col min="9502" max="9502" width="13.5703125" style="657" customWidth="1"/>
    <col min="9503" max="9503" width="19.7109375" style="657" customWidth="1"/>
    <col min="9504" max="9504" width="13.5703125" style="657" customWidth="1"/>
    <col min="9505" max="9506" width="14.7109375" style="657" customWidth="1"/>
    <col min="9507" max="9507" width="36.140625" style="657" customWidth="1"/>
    <col min="9508" max="9508" width="29.42578125" style="657" customWidth="1"/>
    <col min="9509" max="9509" width="16" style="657" customWidth="1"/>
    <col min="9510" max="9510" width="38.28515625" style="657" customWidth="1"/>
    <col min="9511" max="9511" width="12" style="657" customWidth="1"/>
    <col min="9512" max="9512" width="38.140625" style="657" customWidth="1"/>
    <col min="9513" max="9513" width="17.85546875" style="657" bestFit="1" customWidth="1"/>
    <col min="9514" max="9514" width="24.7109375" style="657" customWidth="1"/>
    <col min="9515" max="9515" width="36.42578125" style="657" customWidth="1"/>
    <col min="9516" max="9516" width="46.7109375" style="657" customWidth="1"/>
    <col min="9517" max="9517" width="43.7109375" style="657" customWidth="1"/>
    <col min="9518" max="9518" width="25.42578125" style="657" customWidth="1"/>
    <col min="9519" max="9519" width="12.42578125" style="657" customWidth="1"/>
    <col min="9520" max="9520" width="16.42578125" style="657" customWidth="1"/>
    <col min="9521" max="9521" width="13.42578125" style="657" customWidth="1"/>
    <col min="9522" max="9522" width="8.5703125" style="657" customWidth="1"/>
    <col min="9523" max="9526" width="11.42578125" style="657" customWidth="1"/>
    <col min="9527" max="9527" width="12.7109375" style="657" customWidth="1"/>
    <col min="9528" max="9528" width="11.85546875" style="657" customWidth="1"/>
    <col min="9529" max="9529" width="7.85546875" style="657" customWidth="1"/>
    <col min="9530" max="9530" width="7.5703125" style="657" customWidth="1"/>
    <col min="9531" max="9531" width="8.85546875" style="657" customWidth="1"/>
    <col min="9532" max="9532" width="8.140625" style="657" customWidth="1"/>
    <col min="9533" max="9533" width="7.85546875" style="657" customWidth="1"/>
    <col min="9534" max="9534" width="8.5703125" style="657" customWidth="1"/>
    <col min="9535" max="9535" width="8.28515625" style="657" customWidth="1"/>
    <col min="9536" max="9536" width="11.42578125" style="657" customWidth="1"/>
    <col min="9537" max="9537" width="18" style="657" customWidth="1"/>
    <col min="9538" max="9538" width="21.42578125" style="657" customWidth="1"/>
    <col min="9539" max="9539" width="27.85546875" style="657" customWidth="1"/>
    <col min="9540" max="9755" width="11.42578125" style="657"/>
    <col min="9756" max="9756" width="13.5703125" style="657" customWidth="1"/>
    <col min="9757" max="9757" width="19" style="657" customWidth="1"/>
    <col min="9758" max="9758" width="13.5703125" style="657" customWidth="1"/>
    <col min="9759" max="9759" width="19.7109375" style="657" customWidth="1"/>
    <col min="9760" max="9760" width="13.5703125" style="657" customWidth="1"/>
    <col min="9761" max="9762" width="14.7109375" style="657" customWidth="1"/>
    <col min="9763" max="9763" width="36.140625" style="657" customWidth="1"/>
    <col min="9764" max="9764" width="29.42578125" style="657" customWidth="1"/>
    <col min="9765" max="9765" width="16" style="657" customWidth="1"/>
    <col min="9766" max="9766" width="38.28515625" style="657" customWidth="1"/>
    <col min="9767" max="9767" width="12" style="657" customWidth="1"/>
    <col min="9768" max="9768" width="38.140625" style="657" customWidth="1"/>
    <col min="9769" max="9769" width="17.85546875" style="657" bestFit="1" customWidth="1"/>
    <col min="9770" max="9770" width="24.7109375" style="657" customWidth="1"/>
    <col min="9771" max="9771" width="36.42578125" style="657" customWidth="1"/>
    <col min="9772" max="9772" width="46.7109375" style="657" customWidth="1"/>
    <col min="9773" max="9773" width="43.7109375" style="657" customWidth="1"/>
    <col min="9774" max="9774" width="25.42578125" style="657" customWidth="1"/>
    <col min="9775" max="9775" width="12.42578125" style="657" customWidth="1"/>
    <col min="9776" max="9776" width="16.42578125" style="657" customWidth="1"/>
    <col min="9777" max="9777" width="13.42578125" style="657" customWidth="1"/>
    <col min="9778" max="9778" width="8.5703125" style="657" customWidth="1"/>
    <col min="9779" max="9782" width="11.42578125" style="657" customWidth="1"/>
    <col min="9783" max="9783" width="12.7109375" style="657" customWidth="1"/>
    <col min="9784" max="9784" width="11.85546875" style="657" customWidth="1"/>
    <col min="9785" max="9785" width="7.85546875" style="657" customWidth="1"/>
    <col min="9786" max="9786" width="7.5703125" style="657" customWidth="1"/>
    <col min="9787" max="9787" width="8.85546875" style="657" customWidth="1"/>
    <col min="9788" max="9788" width="8.140625" style="657" customWidth="1"/>
    <col min="9789" max="9789" width="7.85546875" style="657" customWidth="1"/>
    <col min="9790" max="9790" width="8.5703125" style="657" customWidth="1"/>
    <col min="9791" max="9791" width="8.28515625" style="657" customWidth="1"/>
    <col min="9792" max="9792" width="11.42578125" style="657" customWidth="1"/>
    <col min="9793" max="9793" width="18" style="657" customWidth="1"/>
    <col min="9794" max="9794" width="21.42578125" style="657" customWidth="1"/>
    <col min="9795" max="9795" width="27.85546875" style="657" customWidth="1"/>
    <col min="9796" max="10011" width="11.42578125" style="657"/>
    <col min="10012" max="10012" width="13.5703125" style="657" customWidth="1"/>
    <col min="10013" max="10013" width="19" style="657" customWidth="1"/>
    <col min="10014" max="10014" width="13.5703125" style="657" customWidth="1"/>
    <col min="10015" max="10015" width="19.7109375" style="657" customWidth="1"/>
    <col min="10016" max="10016" width="13.5703125" style="657" customWidth="1"/>
    <col min="10017" max="10018" width="14.7109375" style="657" customWidth="1"/>
    <col min="10019" max="10019" width="36.140625" style="657" customWidth="1"/>
    <col min="10020" max="10020" width="29.42578125" style="657" customWidth="1"/>
    <col min="10021" max="10021" width="16" style="657" customWidth="1"/>
    <col min="10022" max="10022" width="38.28515625" style="657" customWidth="1"/>
    <col min="10023" max="10023" width="12" style="657" customWidth="1"/>
    <col min="10024" max="10024" width="38.140625" style="657" customWidth="1"/>
    <col min="10025" max="10025" width="17.85546875" style="657" bestFit="1" customWidth="1"/>
    <col min="10026" max="10026" width="24.7109375" style="657" customWidth="1"/>
    <col min="10027" max="10027" width="36.42578125" style="657" customWidth="1"/>
    <col min="10028" max="10028" width="46.7109375" style="657" customWidth="1"/>
    <col min="10029" max="10029" width="43.7109375" style="657" customWidth="1"/>
    <col min="10030" max="10030" width="25.42578125" style="657" customWidth="1"/>
    <col min="10031" max="10031" width="12.42578125" style="657" customWidth="1"/>
    <col min="10032" max="10032" width="16.42578125" style="657" customWidth="1"/>
    <col min="10033" max="10033" width="13.42578125" style="657" customWidth="1"/>
    <col min="10034" max="10034" width="8.5703125" style="657" customWidth="1"/>
    <col min="10035" max="10038" width="11.42578125" style="657" customWidth="1"/>
    <col min="10039" max="10039" width="12.7109375" style="657" customWidth="1"/>
    <col min="10040" max="10040" width="11.85546875" style="657" customWidth="1"/>
    <col min="10041" max="10041" width="7.85546875" style="657" customWidth="1"/>
    <col min="10042" max="10042" width="7.5703125" style="657" customWidth="1"/>
    <col min="10043" max="10043" width="8.85546875" style="657" customWidth="1"/>
    <col min="10044" max="10044" width="8.140625" style="657" customWidth="1"/>
    <col min="10045" max="10045" width="7.85546875" style="657" customWidth="1"/>
    <col min="10046" max="10046" width="8.5703125" style="657" customWidth="1"/>
    <col min="10047" max="10047" width="8.28515625" style="657" customWidth="1"/>
    <col min="10048" max="10048" width="11.42578125" style="657" customWidth="1"/>
    <col min="10049" max="10049" width="18" style="657" customWidth="1"/>
    <col min="10050" max="10050" width="21.42578125" style="657" customWidth="1"/>
    <col min="10051" max="10051" width="27.85546875" style="657" customWidth="1"/>
    <col min="10052" max="10267" width="11.42578125" style="657"/>
    <col min="10268" max="10268" width="13.5703125" style="657" customWidth="1"/>
    <col min="10269" max="10269" width="19" style="657" customWidth="1"/>
    <col min="10270" max="10270" width="13.5703125" style="657" customWidth="1"/>
    <col min="10271" max="10271" width="19.7109375" style="657" customWidth="1"/>
    <col min="10272" max="10272" width="13.5703125" style="657" customWidth="1"/>
    <col min="10273" max="10274" width="14.7109375" style="657" customWidth="1"/>
    <col min="10275" max="10275" width="36.140625" style="657" customWidth="1"/>
    <col min="10276" max="10276" width="29.42578125" style="657" customWidth="1"/>
    <col min="10277" max="10277" width="16" style="657" customWidth="1"/>
    <col min="10278" max="10278" width="38.28515625" style="657" customWidth="1"/>
    <col min="10279" max="10279" width="12" style="657" customWidth="1"/>
    <col min="10280" max="10280" width="38.140625" style="657" customWidth="1"/>
    <col min="10281" max="10281" width="17.85546875" style="657" bestFit="1" customWidth="1"/>
    <col min="10282" max="10282" width="24.7109375" style="657" customWidth="1"/>
    <col min="10283" max="10283" width="36.42578125" style="657" customWidth="1"/>
    <col min="10284" max="10284" width="46.7109375" style="657" customWidth="1"/>
    <col min="10285" max="10285" width="43.7109375" style="657" customWidth="1"/>
    <col min="10286" max="10286" width="25.42578125" style="657" customWidth="1"/>
    <col min="10287" max="10287" width="12.42578125" style="657" customWidth="1"/>
    <col min="10288" max="10288" width="16.42578125" style="657" customWidth="1"/>
    <col min="10289" max="10289" width="13.42578125" style="657" customWidth="1"/>
    <col min="10290" max="10290" width="8.5703125" style="657" customWidth="1"/>
    <col min="10291" max="10294" width="11.42578125" style="657" customWidth="1"/>
    <col min="10295" max="10295" width="12.7109375" style="657" customWidth="1"/>
    <col min="10296" max="10296" width="11.85546875" style="657" customWidth="1"/>
    <col min="10297" max="10297" width="7.85546875" style="657" customWidth="1"/>
    <col min="10298" max="10298" width="7.5703125" style="657" customWidth="1"/>
    <col min="10299" max="10299" width="8.85546875" style="657" customWidth="1"/>
    <col min="10300" max="10300" width="8.140625" style="657" customWidth="1"/>
    <col min="10301" max="10301" width="7.85546875" style="657" customWidth="1"/>
    <col min="10302" max="10302" width="8.5703125" style="657" customWidth="1"/>
    <col min="10303" max="10303" width="8.28515625" style="657" customWidth="1"/>
    <col min="10304" max="10304" width="11.42578125" style="657" customWidth="1"/>
    <col min="10305" max="10305" width="18" style="657" customWidth="1"/>
    <col min="10306" max="10306" width="21.42578125" style="657" customWidth="1"/>
    <col min="10307" max="10307" width="27.85546875" style="657" customWidth="1"/>
    <col min="10308" max="10523" width="11.42578125" style="657"/>
    <col min="10524" max="10524" width="13.5703125" style="657" customWidth="1"/>
    <col min="10525" max="10525" width="19" style="657" customWidth="1"/>
    <col min="10526" max="10526" width="13.5703125" style="657" customWidth="1"/>
    <col min="10527" max="10527" width="19.7109375" style="657" customWidth="1"/>
    <col min="10528" max="10528" width="13.5703125" style="657" customWidth="1"/>
    <col min="10529" max="10530" width="14.7109375" style="657" customWidth="1"/>
    <col min="10531" max="10531" width="36.140625" style="657" customWidth="1"/>
    <col min="10532" max="10532" width="29.42578125" style="657" customWidth="1"/>
    <col min="10533" max="10533" width="16" style="657" customWidth="1"/>
    <col min="10534" max="10534" width="38.28515625" style="657" customWidth="1"/>
    <col min="10535" max="10535" width="12" style="657" customWidth="1"/>
    <col min="10536" max="10536" width="38.140625" style="657" customWidth="1"/>
    <col min="10537" max="10537" width="17.85546875" style="657" bestFit="1" customWidth="1"/>
    <col min="10538" max="10538" width="24.7109375" style="657" customWidth="1"/>
    <col min="10539" max="10539" width="36.42578125" style="657" customWidth="1"/>
    <col min="10540" max="10540" width="46.7109375" style="657" customWidth="1"/>
    <col min="10541" max="10541" width="43.7109375" style="657" customWidth="1"/>
    <col min="10542" max="10542" width="25.42578125" style="657" customWidth="1"/>
    <col min="10543" max="10543" width="12.42578125" style="657" customWidth="1"/>
    <col min="10544" max="10544" width="16.42578125" style="657" customWidth="1"/>
    <col min="10545" max="10545" width="13.42578125" style="657" customWidth="1"/>
    <col min="10546" max="10546" width="8.5703125" style="657" customWidth="1"/>
    <col min="10547" max="10550" width="11.42578125" style="657" customWidth="1"/>
    <col min="10551" max="10551" width="12.7109375" style="657" customWidth="1"/>
    <col min="10552" max="10552" width="11.85546875" style="657" customWidth="1"/>
    <col min="10553" max="10553" width="7.85546875" style="657" customWidth="1"/>
    <col min="10554" max="10554" width="7.5703125" style="657" customWidth="1"/>
    <col min="10555" max="10555" width="8.85546875" style="657" customWidth="1"/>
    <col min="10556" max="10556" width="8.140625" style="657" customWidth="1"/>
    <col min="10557" max="10557" width="7.85546875" style="657" customWidth="1"/>
    <col min="10558" max="10558" width="8.5703125" style="657" customWidth="1"/>
    <col min="10559" max="10559" width="8.28515625" style="657" customWidth="1"/>
    <col min="10560" max="10560" width="11.42578125" style="657" customWidth="1"/>
    <col min="10561" max="10561" width="18" style="657" customWidth="1"/>
    <col min="10562" max="10562" width="21.42578125" style="657" customWidth="1"/>
    <col min="10563" max="10563" width="27.85546875" style="657" customWidth="1"/>
    <col min="10564" max="10779" width="11.42578125" style="657"/>
    <col min="10780" max="10780" width="13.5703125" style="657" customWidth="1"/>
    <col min="10781" max="10781" width="19" style="657" customWidth="1"/>
    <col min="10782" max="10782" width="13.5703125" style="657" customWidth="1"/>
    <col min="10783" max="10783" width="19.7109375" style="657" customWidth="1"/>
    <col min="10784" max="10784" width="13.5703125" style="657" customWidth="1"/>
    <col min="10785" max="10786" width="14.7109375" style="657" customWidth="1"/>
    <col min="10787" max="10787" width="36.140625" style="657" customWidth="1"/>
    <col min="10788" max="10788" width="29.42578125" style="657" customWidth="1"/>
    <col min="10789" max="10789" width="16" style="657" customWidth="1"/>
    <col min="10790" max="10790" width="38.28515625" style="657" customWidth="1"/>
    <col min="10791" max="10791" width="12" style="657" customWidth="1"/>
    <col min="10792" max="10792" width="38.140625" style="657" customWidth="1"/>
    <col min="10793" max="10793" width="17.85546875" style="657" bestFit="1" customWidth="1"/>
    <col min="10794" max="10794" width="24.7109375" style="657" customWidth="1"/>
    <col min="10795" max="10795" width="36.42578125" style="657" customWidth="1"/>
    <col min="10796" max="10796" width="46.7109375" style="657" customWidth="1"/>
    <col min="10797" max="10797" width="43.7109375" style="657" customWidth="1"/>
    <col min="10798" max="10798" width="25.42578125" style="657" customWidth="1"/>
    <col min="10799" max="10799" width="12.42578125" style="657" customWidth="1"/>
    <col min="10800" max="10800" width="16.42578125" style="657" customWidth="1"/>
    <col min="10801" max="10801" width="13.42578125" style="657" customWidth="1"/>
    <col min="10802" max="10802" width="8.5703125" style="657" customWidth="1"/>
    <col min="10803" max="10806" width="11.42578125" style="657" customWidth="1"/>
    <col min="10807" max="10807" width="12.7109375" style="657" customWidth="1"/>
    <col min="10808" max="10808" width="11.85546875" style="657" customWidth="1"/>
    <col min="10809" max="10809" width="7.85546875" style="657" customWidth="1"/>
    <col min="10810" max="10810" width="7.5703125" style="657" customWidth="1"/>
    <col min="10811" max="10811" width="8.85546875" style="657" customWidth="1"/>
    <col min="10812" max="10812" width="8.140625" style="657" customWidth="1"/>
    <col min="10813" max="10813" width="7.85546875" style="657" customWidth="1"/>
    <col min="10814" max="10814" width="8.5703125" style="657" customWidth="1"/>
    <col min="10815" max="10815" width="8.28515625" style="657" customWidth="1"/>
    <col min="10816" max="10816" width="11.42578125" style="657" customWidth="1"/>
    <col min="10817" max="10817" width="18" style="657" customWidth="1"/>
    <col min="10818" max="10818" width="21.42578125" style="657" customWidth="1"/>
    <col min="10819" max="10819" width="27.85546875" style="657" customWidth="1"/>
    <col min="10820" max="11035" width="11.42578125" style="657"/>
    <col min="11036" max="11036" width="13.5703125" style="657" customWidth="1"/>
    <col min="11037" max="11037" width="19" style="657" customWidth="1"/>
    <col min="11038" max="11038" width="13.5703125" style="657" customWidth="1"/>
    <col min="11039" max="11039" width="19.7109375" style="657" customWidth="1"/>
    <col min="11040" max="11040" width="13.5703125" style="657" customWidth="1"/>
    <col min="11041" max="11042" width="14.7109375" style="657" customWidth="1"/>
    <col min="11043" max="11043" width="36.140625" style="657" customWidth="1"/>
    <col min="11044" max="11044" width="29.42578125" style="657" customWidth="1"/>
    <col min="11045" max="11045" width="16" style="657" customWidth="1"/>
    <col min="11046" max="11046" width="38.28515625" style="657" customWidth="1"/>
    <col min="11047" max="11047" width="12" style="657" customWidth="1"/>
    <col min="11048" max="11048" width="38.140625" style="657" customWidth="1"/>
    <col min="11049" max="11049" width="17.85546875" style="657" bestFit="1" customWidth="1"/>
    <col min="11050" max="11050" width="24.7109375" style="657" customWidth="1"/>
    <col min="11051" max="11051" width="36.42578125" style="657" customWidth="1"/>
    <col min="11052" max="11052" width="46.7109375" style="657" customWidth="1"/>
    <col min="11053" max="11053" width="43.7109375" style="657" customWidth="1"/>
    <col min="11054" max="11054" width="25.42578125" style="657" customWidth="1"/>
    <col min="11055" max="11055" width="12.42578125" style="657" customWidth="1"/>
    <col min="11056" max="11056" width="16.42578125" style="657" customWidth="1"/>
    <col min="11057" max="11057" width="13.42578125" style="657" customWidth="1"/>
    <col min="11058" max="11058" width="8.5703125" style="657" customWidth="1"/>
    <col min="11059" max="11062" width="11.42578125" style="657" customWidth="1"/>
    <col min="11063" max="11063" width="12.7109375" style="657" customWidth="1"/>
    <col min="11064" max="11064" width="11.85546875" style="657" customWidth="1"/>
    <col min="11065" max="11065" width="7.85546875" style="657" customWidth="1"/>
    <col min="11066" max="11066" width="7.5703125" style="657" customWidth="1"/>
    <col min="11067" max="11067" width="8.85546875" style="657" customWidth="1"/>
    <col min="11068" max="11068" width="8.140625" style="657" customWidth="1"/>
    <col min="11069" max="11069" width="7.85546875" style="657" customWidth="1"/>
    <col min="11070" max="11070" width="8.5703125" style="657" customWidth="1"/>
    <col min="11071" max="11071" width="8.28515625" style="657" customWidth="1"/>
    <col min="11072" max="11072" width="11.42578125" style="657" customWidth="1"/>
    <col min="11073" max="11073" width="18" style="657" customWidth="1"/>
    <col min="11074" max="11074" width="21.42578125" style="657" customWidth="1"/>
    <col min="11075" max="11075" width="27.85546875" style="657" customWidth="1"/>
    <col min="11076" max="11291" width="11.42578125" style="657"/>
    <col min="11292" max="11292" width="13.5703125" style="657" customWidth="1"/>
    <col min="11293" max="11293" width="19" style="657" customWidth="1"/>
    <col min="11294" max="11294" width="13.5703125" style="657" customWidth="1"/>
    <col min="11295" max="11295" width="19.7109375" style="657" customWidth="1"/>
    <col min="11296" max="11296" width="13.5703125" style="657" customWidth="1"/>
    <col min="11297" max="11298" width="14.7109375" style="657" customWidth="1"/>
    <col min="11299" max="11299" width="36.140625" style="657" customWidth="1"/>
    <col min="11300" max="11300" width="29.42578125" style="657" customWidth="1"/>
    <col min="11301" max="11301" width="16" style="657" customWidth="1"/>
    <col min="11302" max="11302" width="38.28515625" style="657" customWidth="1"/>
    <col min="11303" max="11303" width="12" style="657" customWidth="1"/>
    <col min="11304" max="11304" width="38.140625" style="657" customWidth="1"/>
    <col min="11305" max="11305" width="17.85546875" style="657" bestFit="1" customWidth="1"/>
    <col min="11306" max="11306" width="24.7109375" style="657" customWidth="1"/>
    <col min="11307" max="11307" width="36.42578125" style="657" customWidth="1"/>
    <col min="11308" max="11308" width="46.7109375" style="657" customWidth="1"/>
    <col min="11309" max="11309" width="43.7109375" style="657" customWidth="1"/>
    <col min="11310" max="11310" width="25.42578125" style="657" customWidth="1"/>
    <col min="11311" max="11311" width="12.42578125" style="657" customWidth="1"/>
    <col min="11312" max="11312" width="16.42578125" style="657" customWidth="1"/>
    <col min="11313" max="11313" width="13.42578125" style="657" customWidth="1"/>
    <col min="11314" max="11314" width="8.5703125" style="657" customWidth="1"/>
    <col min="11315" max="11318" width="11.42578125" style="657" customWidth="1"/>
    <col min="11319" max="11319" width="12.7109375" style="657" customWidth="1"/>
    <col min="11320" max="11320" width="11.85546875" style="657" customWidth="1"/>
    <col min="11321" max="11321" width="7.85546875" style="657" customWidth="1"/>
    <col min="11322" max="11322" width="7.5703125" style="657" customWidth="1"/>
    <col min="11323" max="11323" width="8.85546875" style="657" customWidth="1"/>
    <col min="11324" max="11324" width="8.140625" style="657" customWidth="1"/>
    <col min="11325" max="11325" width="7.85546875" style="657" customWidth="1"/>
    <col min="11326" max="11326" width="8.5703125" style="657" customWidth="1"/>
    <col min="11327" max="11327" width="8.28515625" style="657" customWidth="1"/>
    <col min="11328" max="11328" width="11.42578125" style="657" customWidth="1"/>
    <col min="11329" max="11329" width="18" style="657" customWidth="1"/>
    <col min="11330" max="11330" width="21.42578125" style="657" customWidth="1"/>
    <col min="11331" max="11331" width="27.85546875" style="657" customWidth="1"/>
    <col min="11332" max="11547" width="11.42578125" style="657"/>
    <col min="11548" max="11548" width="13.5703125" style="657" customWidth="1"/>
    <col min="11549" max="11549" width="19" style="657" customWidth="1"/>
    <col min="11550" max="11550" width="13.5703125" style="657" customWidth="1"/>
    <col min="11551" max="11551" width="19.7109375" style="657" customWidth="1"/>
    <col min="11552" max="11552" width="13.5703125" style="657" customWidth="1"/>
    <col min="11553" max="11554" width="14.7109375" style="657" customWidth="1"/>
    <col min="11555" max="11555" width="36.140625" style="657" customWidth="1"/>
    <col min="11556" max="11556" width="29.42578125" style="657" customWidth="1"/>
    <col min="11557" max="11557" width="16" style="657" customWidth="1"/>
    <col min="11558" max="11558" width="38.28515625" style="657" customWidth="1"/>
    <col min="11559" max="11559" width="12" style="657" customWidth="1"/>
    <col min="11560" max="11560" width="38.140625" style="657" customWidth="1"/>
    <col min="11561" max="11561" width="17.85546875" style="657" bestFit="1" customWidth="1"/>
    <col min="11562" max="11562" width="24.7109375" style="657" customWidth="1"/>
    <col min="11563" max="11563" width="36.42578125" style="657" customWidth="1"/>
    <col min="11564" max="11564" width="46.7109375" style="657" customWidth="1"/>
    <col min="11565" max="11565" width="43.7109375" style="657" customWidth="1"/>
    <col min="11566" max="11566" width="25.42578125" style="657" customWidth="1"/>
    <col min="11567" max="11567" width="12.42578125" style="657" customWidth="1"/>
    <col min="11568" max="11568" width="16.42578125" style="657" customWidth="1"/>
    <col min="11569" max="11569" width="13.42578125" style="657" customWidth="1"/>
    <col min="11570" max="11570" width="8.5703125" style="657" customWidth="1"/>
    <col min="11571" max="11574" width="11.42578125" style="657" customWidth="1"/>
    <col min="11575" max="11575" width="12.7109375" style="657" customWidth="1"/>
    <col min="11576" max="11576" width="11.85546875" style="657" customWidth="1"/>
    <col min="11577" max="11577" width="7.85546875" style="657" customWidth="1"/>
    <col min="11578" max="11578" width="7.5703125" style="657" customWidth="1"/>
    <col min="11579" max="11579" width="8.85546875" style="657" customWidth="1"/>
    <col min="11580" max="11580" width="8.140625" style="657" customWidth="1"/>
    <col min="11581" max="11581" width="7.85546875" style="657" customWidth="1"/>
    <col min="11582" max="11582" width="8.5703125" style="657" customWidth="1"/>
    <col min="11583" max="11583" width="8.28515625" style="657" customWidth="1"/>
    <col min="11584" max="11584" width="11.42578125" style="657" customWidth="1"/>
    <col min="11585" max="11585" width="18" style="657" customWidth="1"/>
    <col min="11586" max="11586" width="21.42578125" style="657" customWidth="1"/>
    <col min="11587" max="11587" width="27.85546875" style="657" customWidth="1"/>
    <col min="11588" max="11803" width="11.42578125" style="657"/>
    <col min="11804" max="11804" width="13.5703125" style="657" customWidth="1"/>
    <col min="11805" max="11805" width="19" style="657" customWidth="1"/>
    <col min="11806" max="11806" width="13.5703125" style="657" customWidth="1"/>
    <col min="11807" max="11807" width="19.7109375" style="657" customWidth="1"/>
    <col min="11808" max="11808" width="13.5703125" style="657" customWidth="1"/>
    <col min="11809" max="11810" width="14.7109375" style="657" customWidth="1"/>
    <col min="11811" max="11811" width="36.140625" style="657" customWidth="1"/>
    <col min="11812" max="11812" width="29.42578125" style="657" customWidth="1"/>
    <col min="11813" max="11813" width="16" style="657" customWidth="1"/>
    <col min="11814" max="11814" width="38.28515625" style="657" customWidth="1"/>
    <col min="11815" max="11815" width="12" style="657" customWidth="1"/>
    <col min="11816" max="11816" width="38.140625" style="657" customWidth="1"/>
    <col min="11817" max="11817" width="17.85546875" style="657" bestFit="1" customWidth="1"/>
    <col min="11818" max="11818" width="24.7109375" style="657" customWidth="1"/>
    <col min="11819" max="11819" width="36.42578125" style="657" customWidth="1"/>
    <col min="11820" max="11820" width="46.7109375" style="657" customWidth="1"/>
    <col min="11821" max="11821" width="43.7109375" style="657" customWidth="1"/>
    <col min="11822" max="11822" width="25.42578125" style="657" customWidth="1"/>
    <col min="11823" max="11823" width="12.42578125" style="657" customWidth="1"/>
    <col min="11824" max="11824" width="16.42578125" style="657" customWidth="1"/>
    <col min="11825" max="11825" width="13.42578125" style="657" customWidth="1"/>
    <col min="11826" max="11826" width="8.5703125" style="657" customWidth="1"/>
    <col min="11827" max="11830" width="11.42578125" style="657" customWidth="1"/>
    <col min="11831" max="11831" width="12.7109375" style="657" customWidth="1"/>
    <col min="11832" max="11832" width="11.85546875" style="657" customWidth="1"/>
    <col min="11833" max="11833" width="7.85546875" style="657" customWidth="1"/>
    <col min="11834" max="11834" width="7.5703125" style="657" customWidth="1"/>
    <col min="11835" max="11835" width="8.85546875" style="657" customWidth="1"/>
    <col min="11836" max="11836" width="8.140625" style="657" customWidth="1"/>
    <col min="11837" max="11837" width="7.85546875" style="657" customWidth="1"/>
    <col min="11838" max="11838" width="8.5703125" style="657" customWidth="1"/>
    <col min="11839" max="11839" width="8.28515625" style="657" customWidth="1"/>
    <col min="11840" max="11840" width="11.42578125" style="657" customWidth="1"/>
    <col min="11841" max="11841" width="18" style="657" customWidth="1"/>
    <col min="11842" max="11842" width="21.42578125" style="657" customWidth="1"/>
    <col min="11843" max="11843" width="27.85546875" style="657" customWidth="1"/>
    <col min="11844" max="12059" width="11.42578125" style="657"/>
    <col min="12060" max="12060" width="13.5703125" style="657" customWidth="1"/>
    <col min="12061" max="12061" width="19" style="657" customWidth="1"/>
    <col min="12062" max="12062" width="13.5703125" style="657" customWidth="1"/>
    <col min="12063" max="12063" width="19.7109375" style="657" customWidth="1"/>
    <col min="12064" max="12064" width="13.5703125" style="657" customWidth="1"/>
    <col min="12065" max="12066" width="14.7109375" style="657" customWidth="1"/>
    <col min="12067" max="12067" width="36.140625" style="657" customWidth="1"/>
    <col min="12068" max="12068" width="29.42578125" style="657" customWidth="1"/>
    <col min="12069" max="12069" width="16" style="657" customWidth="1"/>
    <col min="12070" max="12070" width="38.28515625" style="657" customWidth="1"/>
    <col min="12071" max="12071" width="12" style="657" customWidth="1"/>
    <col min="12072" max="12072" width="38.140625" style="657" customWidth="1"/>
    <col min="12073" max="12073" width="17.85546875" style="657" bestFit="1" customWidth="1"/>
    <col min="12074" max="12074" width="24.7109375" style="657" customWidth="1"/>
    <col min="12075" max="12075" width="36.42578125" style="657" customWidth="1"/>
    <col min="12076" max="12076" width="46.7109375" style="657" customWidth="1"/>
    <col min="12077" max="12077" width="43.7109375" style="657" customWidth="1"/>
    <col min="12078" max="12078" width="25.42578125" style="657" customWidth="1"/>
    <col min="12079" max="12079" width="12.42578125" style="657" customWidth="1"/>
    <col min="12080" max="12080" width="16.42578125" style="657" customWidth="1"/>
    <col min="12081" max="12081" width="13.42578125" style="657" customWidth="1"/>
    <col min="12082" max="12082" width="8.5703125" style="657" customWidth="1"/>
    <col min="12083" max="12086" width="11.42578125" style="657" customWidth="1"/>
    <col min="12087" max="12087" width="12.7109375" style="657" customWidth="1"/>
    <col min="12088" max="12088" width="11.85546875" style="657" customWidth="1"/>
    <col min="12089" max="12089" width="7.85546875" style="657" customWidth="1"/>
    <col min="12090" max="12090" width="7.5703125" style="657" customWidth="1"/>
    <col min="12091" max="12091" width="8.85546875" style="657" customWidth="1"/>
    <col min="12092" max="12092" width="8.140625" style="657" customWidth="1"/>
    <col min="12093" max="12093" width="7.85546875" style="657" customWidth="1"/>
    <col min="12094" max="12094" width="8.5703125" style="657" customWidth="1"/>
    <col min="12095" max="12095" width="8.28515625" style="657" customWidth="1"/>
    <col min="12096" max="12096" width="11.42578125" style="657" customWidth="1"/>
    <col min="12097" max="12097" width="18" style="657" customWidth="1"/>
    <col min="12098" max="12098" width="21.42578125" style="657" customWidth="1"/>
    <col min="12099" max="12099" width="27.85546875" style="657" customWidth="1"/>
    <col min="12100" max="12315" width="11.42578125" style="657"/>
    <col min="12316" max="12316" width="13.5703125" style="657" customWidth="1"/>
    <col min="12317" max="12317" width="19" style="657" customWidth="1"/>
    <col min="12318" max="12318" width="13.5703125" style="657" customWidth="1"/>
    <col min="12319" max="12319" width="19.7109375" style="657" customWidth="1"/>
    <col min="12320" max="12320" width="13.5703125" style="657" customWidth="1"/>
    <col min="12321" max="12322" width="14.7109375" style="657" customWidth="1"/>
    <col min="12323" max="12323" width="36.140625" style="657" customWidth="1"/>
    <col min="12324" max="12324" width="29.42578125" style="657" customWidth="1"/>
    <col min="12325" max="12325" width="16" style="657" customWidth="1"/>
    <col min="12326" max="12326" width="38.28515625" style="657" customWidth="1"/>
    <col min="12327" max="12327" width="12" style="657" customWidth="1"/>
    <col min="12328" max="12328" width="38.140625" style="657" customWidth="1"/>
    <col min="12329" max="12329" width="17.85546875" style="657" bestFit="1" customWidth="1"/>
    <col min="12330" max="12330" width="24.7109375" style="657" customWidth="1"/>
    <col min="12331" max="12331" width="36.42578125" style="657" customWidth="1"/>
    <col min="12332" max="12332" width="46.7109375" style="657" customWidth="1"/>
    <col min="12333" max="12333" width="43.7109375" style="657" customWidth="1"/>
    <col min="12334" max="12334" width="25.42578125" style="657" customWidth="1"/>
    <col min="12335" max="12335" width="12.42578125" style="657" customWidth="1"/>
    <col min="12336" max="12336" width="16.42578125" style="657" customWidth="1"/>
    <col min="12337" max="12337" width="13.42578125" style="657" customWidth="1"/>
    <col min="12338" max="12338" width="8.5703125" style="657" customWidth="1"/>
    <col min="12339" max="12342" width="11.42578125" style="657" customWidth="1"/>
    <col min="12343" max="12343" width="12.7109375" style="657" customWidth="1"/>
    <col min="12344" max="12344" width="11.85546875" style="657" customWidth="1"/>
    <col min="12345" max="12345" width="7.85546875" style="657" customWidth="1"/>
    <col min="12346" max="12346" width="7.5703125" style="657" customWidth="1"/>
    <col min="12347" max="12347" width="8.85546875" style="657" customWidth="1"/>
    <col min="12348" max="12348" width="8.140625" style="657" customWidth="1"/>
    <col min="12349" max="12349" width="7.85546875" style="657" customWidth="1"/>
    <col min="12350" max="12350" width="8.5703125" style="657" customWidth="1"/>
    <col min="12351" max="12351" width="8.28515625" style="657" customWidth="1"/>
    <col min="12352" max="12352" width="11.42578125" style="657" customWidth="1"/>
    <col min="12353" max="12353" width="18" style="657" customWidth="1"/>
    <col min="12354" max="12354" width="21.42578125" style="657" customWidth="1"/>
    <col min="12355" max="12355" width="27.85546875" style="657" customWidth="1"/>
    <col min="12356" max="12571" width="11.42578125" style="657"/>
    <col min="12572" max="12572" width="13.5703125" style="657" customWidth="1"/>
    <col min="12573" max="12573" width="19" style="657" customWidth="1"/>
    <col min="12574" max="12574" width="13.5703125" style="657" customWidth="1"/>
    <col min="12575" max="12575" width="19.7109375" style="657" customWidth="1"/>
    <col min="12576" max="12576" width="13.5703125" style="657" customWidth="1"/>
    <col min="12577" max="12578" width="14.7109375" style="657" customWidth="1"/>
    <col min="12579" max="12579" width="36.140625" style="657" customWidth="1"/>
    <col min="12580" max="12580" width="29.42578125" style="657" customWidth="1"/>
    <col min="12581" max="12581" width="16" style="657" customWidth="1"/>
    <col min="12582" max="12582" width="38.28515625" style="657" customWidth="1"/>
    <col min="12583" max="12583" width="12" style="657" customWidth="1"/>
    <col min="12584" max="12584" width="38.140625" style="657" customWidth="1"/>
    <col min="12585" max="12585" width="17.85546875" style="657" bestFit="1" customWidth="1"/>
    <col min="12586" max="12586" width="24.7109375" style="657" customWidth="1"/>
    <col min="12587" max="12587" width="36.42578125" style="657" customWidth="1"/>
    <col min="12588" max="12588" width="46.7109375" style="657" customWidth="1"/>
    <col min="12589" max="12589" width="43.7109375" style="657" customWidth="1"/>
    <col min="12590" max="12590" width="25.42578125" style="657" customWidth="1"/>
    <col min="12591" max="12591" width="12.42578125" style="657" customWidth="1"/>
    <col min="12592" max="12592" width="16.42578125" style="657" customWidth="1"/>
    <col min="12593" max="12593" width="13.42578125" style="657" customWidth="1"/>
    <col min="12594" max="12594" width="8.5703125" style="657" customWidth="1"/>
    <col min="12595" max="12598" width="11.42578125" style="657" customWidth="1"/>
    <col min="12599" max="12599" width="12.7109375" style="657" customWidth="1"/>
    <col min="12600" max="12600" width="11.85546875" style="657" customWidth="1"/>
    <col min="12601" max="12601" width="7.85546875" style="657" customWidth="1"/>
    <col min="12602" max="12602" width="7.5703125" style="657" customWidth="1"/>
    <col min="12603" max="12603" width="8.85546875" style="657" customWidth="1"/>
    <col min="12604" max="12604" width="8.140625" style="657" customWidth="1"/>
    <col min="12605" max="12605" width="7.85546875" style="657" customWidth="1"/>
    <col min="12606" max="12606" width="8.5703125" style="657" customWidth="1"/>
    <col min="12607" max="12607" width="8.28515625" style="657" customWidth="1"/>
    <col min="12608" max="12608" width="11.42578125" style="657" customWidth="1"/>
    <col min="12609" max="12609" width="18" style="657" customWidth="1"/>
    <col min="12610" max="12610" width="21.42578125" style="657" customWidth="1"/>
    <col min="12611" max="12611" width="27.85546875" style="657" customWidth="1"/>
    <col min="12612" max="12827" width="11.42578125" style="657"/>
    <col min="12828" max="12828" width="13.5703125" style="657" customWidth="1"/>
    <col min="12829" max="12829" width="19" style="657" customWidth="1"/>
    <col min="12830" max="12830" width="13.5703125" style="657" customWidth="1"/>
    <col min="12831" max="12831" width="19.7109375" style="657" customWidth="1"/>
    <col min="12832" max="12832" width="13.5703125" style="657" customWidth="1"/>
    <col min="12833" max="12834" width="14.7109375" style="657" customWidth="1"/>
    <col min="12835" max="12835" width="36.140625" style="657" customWidth="1"/>
    <col min="12836" max="12836" width="29.42578125" style="657" customWidth="1"/>
    <col min="12837" max="12837" width="16" style="657" customWidth="1"/>
    <col min="12838" max="12838" width="38.28515625" style="657" customWidth="1"/>
    <col min="12839" max="12839" width="12" style="657" customWidth="1"/>
    <col min="12840" max="12840" width="38.140625" style="657" customWidth="1"/>
    <col min="12841" max="12841" width="17.85546875" style="657" bestFit="1" customWidth="1"/>
    <col min="12842" max="12842" width="24.7109375" style="657" customWidth="1"/>
    <col min="12843" max="12843" width="36.42578125" style="657" customWidth="1"/>
    <col min="12844" max="12844" width="46.7109375" style="657" customWidth="1"/>
    <col min="12845" max="12845" width="43.7109375" style="657" customWidth="1"/>
    <col min="12846" max="12846" width="25.42578125" style="657" customWidth="1"/>
    <col min="12847" max="12847" width="12.42578125" style="657" customWidth="1"/>
    <col min="12848" max="12848" width="16.42578125" style="657" customWidth="1"/>
    <col min="12849" max="12849" width="13.42578125" style="657" customWidth="1"/>
    <col min="12850" max="12850" width="8.5703125" style="657" customWidth="1"/>
    <col min="12851" max="12854" width="11.42578125" style="657" customWidth="1"/>
    <col min="12855" max="12855" width="12.7109375" style="657" customWidth="1"/>
    <col min="12856" max="12856" width="11.85546875" style="657" customWidth="1"/>
    <col min="12857" max="12857" width="7.85546875" style="657" customWidth="1"/>
    <col min="12858" max="12858" width="7.5703125" style="657" customWidth="1"/>
    <col min="12859" max="12859" width="8.85546875" style="657" customWidth="1"/>
    <col min="12860" max="12860" width="8.140625" style="657" customWidth="1"/>
    <col min="12861" max="12861" width="7.85546875" style="657" customWidth="1"/>
    <col min="12862" max="12862" width="8.5703125" style="657" customWidth="1"/>
    <col min="12863" max="12863" width="8.28515625" style="657" customWidth="1"/>
    <col min="12864" max="12864" width="11.42578125" style="657" customWidth="1"/>
    <col min="12865" max="12865" width="18" style="657" customWidth="1"/>
    <col min="12866" max="12866" width="21.42578125" style="657" customWidth="1"/>
    <col min="12867" max="12867" width="27.85546875" style="657" customWidth="1"/>
    <col min="12868" max="13083" width="11.42578125" style="657"/>
    <col min="13084" max="13084" width="13.5703125" style="657" customWidth="1"/>
    <col min="13085" max="13085" width="19" style="657" customWidth="1"/>
    <col min="13086" max="13086" width="13.5703125" style="657" customWidth="1"/>
    <col min="13087" max="13087" width="19.7109375" style="657" customWidth="1"/>
    <col min="13088" max="13088" width="13.5703125" style="657" customWidth="1"/>
    <col min="13089" max="13090" width="14.7109375" style="657" customWidth="1"/>
    <col min="13091" max="13091" width="36.140625" style="657" customWidth="1"/>
    <col min="13092" max="13092" width="29.42578125" style="657" customWidth="1"/>
    <col min="13093" max="13093" width="16" style="657" customWidth="1"/>
    <col min="13094" max="13094" width="38.28515625" style="657" customWidth="1"/>
    <col min="13095" max="13095" width="12" style="657" customWidth="1"/>
    <col min="13096" max="13096" width="38.140625" style="657" customWidth="1"/>
    <col min="13097" max="13097" width="17.85546875" style="657" bestFit="1" customWidth="1"/>
    <col min="13098" max="13098" width="24.7109375" style="657" customWidth="1"/>
    <col min="13099" max="13099" width="36.42578125" style="657" customWidth="1"/>
    <col min="13100" max="13100" width="46.7109375" style="657" customWidth="1"/>
    <col min="13101" max="13101" width="43.7109375" style="657" customWidth="1"/>
    <col min="13102" max="13102" width="25.42578125" style="657" customWidth="1"/>
    <col min="13103" max="13103" width="12.42578125" style="657" customWidth="1"/>
    <col min="13104" max="13104" width="16.42578125" style="657" customWidth="1"/>
    <col min="13105" max="13105" width="13.42578125" style="657" customWidth="1"/>
    <col min="13106" max="13106" width="8.5703125" style="657" customWidth="1"/>
    <col min="13107" max="13110" width="11.42578125" style="657" customWidth="1"/>
    <col min="13111" max="13111" width="12.7109375" style="657" customWidth="1"/>
    <col min="13112" max="13112" width="11.85546875" style="657" customWidth="1"/>
    <col min="13113" max="13113" width="7.85546875" style="657" customWidth="1"/>
    <col min="13114" max="13114" width="7.5703125" style="657" customWidth="1"/>
    <col min="13115" max="13115" width="8.85546875" style="657" customWidth="1"/>
    <col min="13116" max="13116" width="8.140625" style="657" customWidth="1"/>
    <col min="13117" max="13117" width="7.85546875" style="657" customWidth="1"/>
    <col min="13118" max="13118" width="8.5703125" style="657" customWidth="1"/>
    <col min="13119" max="13119" width="8.28515625" style="657" customWidth="1"/>
    <col min="13120" max="13120" width="11.42578125" style="657" customWidth="1"/>
    <col min="13121" max="13121" width="18" style="657" customWidth="1"/>
    <col min="13122" max="13122" width="21.42578125" style="657" customWidth="1"/>
    <col min="13123" max="13123" width="27.85546875" style="657" customWidth="1"/>
    <col min="13124" max="13339" width="11.42578125" style="657"/>
    <col min="13340" max="13340" width="13.5703125" style="657" customWidth="1"/>
    <col min="13341" max="13341" width="19" style="657" customWidth="1"/>
    <col min="13342" max="13342" width="13.5703125" style="657" customWidth="1"/>
    <col min="13343" max="13343" width="19.7109375" style="657" customWidth="1"/>
    <col min="13344" max="13344" width="13.5703125" style="657" customWidth="1"/>
    <col min="13345" max="13346" width="14.7109375" style="657" customWidth="1"/>
    <col min="13347" max="13347" width="36.140625" style="657" customWidth="1"/>
    <col min="13348" max="13348" width="29.42578125" style="657" customWidth="1"/>
    <col min="13349" max="13349" width="16" style="657" customWidth="1"/>
    <col min="13350" max="13350" width="38.28515625" style="657" customWidth="1"/>
    <col min="13351" max="13351" width="12" style="657" customWidth="1"/>
    <col min="13352" max="13352" width="38.140625" style="657" customWidth="1"/>
    <col min="13353" max="13353" width="17.85546875" style="657" bestFit="1" customWidth="1"/>
    <col min="13354" max="13354" width="24.7109375" style="657" customWidth="1"/>
    <col min="13355" max="13355" width="36.42578125" style="657" customWidth="1"/>
    <col min="13356" max="13356" width="46.7109375" style="657" customWidth="1"/>
    <col min="13357" max="13357" width="43.7109375" style="657" customWidth="1"/>
    <col min="13358" max="13358" width="25.42578125" style="657" customWidth="1"/>
    <col min="13359" max="13359" width="12.42578125" style="657" customWidth="1"/>
    <col min="13360" max="13360" width="16.42578125" style="657" customWidth="1"/>
    <col min="13361" max="13361" width="13.42578125" style="657" customWidth="1"/>
    <col min="13362" max="13362" width="8.5703125" style="657" customWidth="1"/>
    <col min="13363" max="13366" width="11.42578125" style="657" customWidth="1"/>
    <col min="13367" max="13367" width="12.7109375" style="657" customWidth="1"/>
    <col min="13368" max="13368" width="11.85546875" style="657" customWidth="1"/>
    <col min="13369" max="13369" width="7.85546875" style="657" customWidth="1"/>
    <col min="13370" max="13370" width="7.5703125" style="657" customWidth="1"/>
    <col min="13371" max="13371" width="8.85546875" style="657" customWidth="1"/>
    <col min="13372" max="13372" width="8.140625" style="657" customWidth="1"/>
    <col min="13373" max="13373" width="7.85546875" style="657" customWidth="1"/>
    <col min="13374" max="13374" width="8.5703125" style="657" customWidth="1"/>
    <col min="13375" max="13375" width="8.28515625" style="657" customWidth="1"/>
    <col min="13376" max="13376" width="11.42578125" style="657" customWidth="1"/>
    <col min="13377" max="13377" width="18" style="657" customWidth="1"/>
    <col min="13378" max="13378" width="21.42578125" style="657" customWidth="1"/>
    <col min="13379" max="13379" width="27.85546875" style="657" customWidth="1"/>
    <col min="13380" max="13595" width="11.42578125" style="657"/>
    <col min="13596" max="13596" width="13.5703125" style="657" customWidth="1"/>
    <col min="13597" max="13597" width="19" style="657" customWidth="1"/>
    <col min="13598" max="13598" width="13.5703125" style="657" customWidth="1"/>
    <col min="13599" max="13599" width="19.7109375" style="657" customWidth="1"/>
    <col min="13600" max="13600" width="13.5703125" style="657" customWidth="1"/>
    <col min="13601" max="13602" width="14.7109375" style="657" customWidth="1"/>
    <col min="13603" max="13603" width="36.140625" style="657" customWidth="1"/>
    <col min="13604" max="13604" width="29.42578125" style="657" customWidth="1"/>
    <col min="13605" max="13605" width="16" style="657" customWidth="1"/>
    <col min="13606" max="13606" width="38.28515625" style="657" customWidth="1"/>
    <col min="13607" max="13607" width="12" style="657" customWidth="1"/>
    <col min="13608" max="13608" width="38.140625" style="657" customWidth="1"/>
    <col min="13609" max="13609" width="17.85546875" style="657" bestFit="1" customWidth="1"/>
    <col min="13610" max="13610" width="24.7109375" style="657" customWidth="1"/>
    <col min="13611" max="13611" width="36.42578125" style="657" customWidth="1"/>
    <col min="13612" max="13612" width="46.7109375" style="657" customWidth="1"/>
    <col min="13613" max="13613" width="43.7109375" style="657" customWidth="1"/>
    <col min="13614" max="13614" width="25.42578125" style="657" customWidth="1"/>
    <col min="13615" max="13615" width="12.42578125" style="657" customWidth="1"/>
    <col min="13616" max="13616" width="16.42578125" style="657" customWidth="1"/>
    <col min="13617" max="13617" width="13.42578125" style="657" customWidth="1"/>
    <col min="13618" max="13618" width="8.5703125" style="657" customWidth="1"/>
    <col min="13619" max="13622" width="11.42578125" style="657" customWidth="1"/>
    <col min="13623" max="13623" width="12.7109375" style="657" customWidth="1"/>
    <col min="13624" max="13624" width="11.85546875" style="657" customWidth="1"/>
    <col min="13625" max="13625" width="7.85546875" style="657" customWidth="1"/>
    <col min="13626" max="13626" width="7.5703125" style="657" customWidth="1"/>
    <col min="13627" max="13627" width="8.85546875" style="657" customWidth="1"/>
    <col min="13628" max="13628" width="8.140625" style="657" customWidth="1"/>
    <col min="13629" max="13629" width="7.85546875" style="657" customWidth="1"/>
    <col min="13630" max="13630" width="8.5703125" style="657" customWidth="1"/>
    <col min="13631" max="13631" width="8.28515625" style="657" customWidth="1"/>
    <col min="13632" max="13632" width="11.42578125" style="657" customWidth="1"/>
    <col min="13633" max="13633" width="18" style="657" customWidth="1"/>
    <col min="13634" max="13634" width="21.42578125" style="657" customWidth="1"/>
    <col min="13635" max="13635" width="27.85546875" style="657" customWidth="1"/>
    <col min="13636" max="13851" width="11.42578125" style="657"/>
    <col min="13852" max="13852" width="13.5703125" style="657" customWidth="1"/>
    <col min="13853" max="13853" width="19" style="657" customWidth="1"/>
    <col min="13854" max="13854" width="13.5703125" style="657" customWidth="1"/>
    <col min="13855" max="13855" width="19.7109375" style="657" customWidth="1"/>
    <col min="13856" max="13856" width="13.5703125" style="657" customWidth="1"/>
    <col min="13857" max="13858" width="14.7109375" style="657" customWidth="1"/>
    <col min="13859" max="13859" width="36.140625" style="657" customWidth="1"/>
    <col min="13860" max="13860" width="29.42578125" style="657" customWidth="1"/>
    <col min="13861" max="13861" width="16" style="657" customWidth="1"/>
    <col min="13862" max="13862" width="38.28515625" style="657" customWidth="1"/>
    <col min="13863" max="13863" width="12" style="657" customWidth="1"/>
    <col min="13864" max="13864" width="38.140625" style="657" customWidth="1"/>
    <col min="13865" max="13865" width="17.85546875" style="657" bestFit="1" customWidth="1"/>
    <col min="13866" max="13866" width="24.7109375" style="657" customWidth="1"/>
    <col min="13867" max="13867" width="36.42578125" style="657" customWidth="1"/>
    <col min="13868" max="13868" width="46.7109375" style="657" customWidth="1"/>
    <col min="13869" max="13869" width="43.7109375" style="657" customWidth="1"/>
    <col min="13870" max="13870" width="25.42578125" style="657" customWidth="1"/>
    <col min="13871" max="13871" width="12.42578125" style="657" customWidth="1"/>
    <col min="13872" max="13872" width="16.42578125" style="657" customWidth="1"/>
    <col min="13873" max="13873" width="13.42578125" style="657" customWidth="1"/>
    <col min="13874" max="13874" width="8.5703125" style="657" customWidth="1"/>
    <col min="13875" max="13878" width="11.42578125" style="657" customWidth="1"/>
    <col min="13879" max="13879" width="12.7109375" style="657" customWidth="1"/>
    <col min="13880" max="13880" width="11.85546875" style="657" customWidth="1"/>
    <col min="13881" max="13881" width="7.85546875" style="657" customWidth="1"/>
    <col min="13882" max="13882" width="7.5703125" style="657" customWidth="1"/>
    <col min="13883" max="13883" width="8.85546875" style="657" customWidth="1"/>
    <col min="13884" max="13884" width="8.140625" style="657" customWidth="1"/>
    <col min="13885" max="13885" width="7.85546875" style="657" customWidth="1"/>
    <col min="13886" max="13886" width="8.5703125" style="657" customWidth="1"/>
    <col min="13887" max="13887" width="8.28515625" style="657" customWidth="1"/>
    <col min="13888" max="13888" width="11.42578125" style="657" customWidth="1"/>
    <col min="13889" max="13889" width="18" style="657" customWidth="1"/>
    <col min="13890" max="13890" width="21.42578125" style="657" customWidth="1"/>
    <col min="13891" max="13891" width="27.85546875" style="657" customWidth="1"/>
    <col min="13892" max="14107" width="11.42578125" style="657"/>
    <col min="14108" max="14108" width="13.5703125" style="657" customWidth="1"/>
    <col min="14109" max="14109" width="19" style="657" customWidth="1"/>
    <col min="14110" max="14110" width="13.5703125" style="657" customWidth="1"/>
    <col min="14111" max="14111" width="19.7109375" style="657" customWidth="1"/>
    <col min="14112" max="14112" width="13.5703125" style="657" customWidth="1"/>
    <col min="14113" max="14114" width="14.7109375" style="657" customWidth="1"/>
    <col min="14115" max="14115" width="36.140625" style="657" customWidth="1"/>
    <col min="14116" max="14116" width="29.42578125" style="657" customWidth="1"/>
    <col min="14117" max="14117" width="16" style="657" customWidth="1"/>
    <col min="14118" max="14118" width="38.28515625" style="657" customWidth="1"/>
    <col min="14119" max="14119" width="12" style="657" customWidth="1"/>
    <col min="14120" max="14120" width="38.140625" style="657" customWidth="1"/>
    <col min="14121" max="14121" width="17.85546875" style="657" bestFit="1" customWidth="1"/>
    <col min="14122" max="14122" width="24.7109375" style="657" customWidth="1"/>
    <col min="14123" max="14123" width="36.42578125" style="657" customWidth="1"/>
    <col min="14124" max="14124" width="46.7109375" style="657" customWidth="1"/>
    <col min="14125" max="14125" width="43.7109375" style="657" customWidth="1"/>
    <col min="14126" max="14126" width="25.42578125" style="657" customWidth="1"/>
    <col min="14127" max="14127" width="12.42578125" style="657" customWidth="1"/>
    <col min="14128" max="14128" width="16.42578125" style="657" customWidth="1"/>
    <col min="14129" max="14129" width="13.42578125" style="657" customWidth="1"/>
    <col min="14130" max="14130" width="8.5703125" style="657" customWidth="1"/>
    <col min="14131" max="14134" width="11.42578125" style="657" customWidth="1"/>
    <col min="14135" max="14135" width="12.7109375" style="657" customWidth="1"/>
    <col min="14136" max="14136" width="11.85546875" style="657" customWidth="1"/>
    <col min="14137" max="14137" width="7.85546875" style="657" customWidth="1"/>
    <col min="14138" max="14138" width="7.5703125" style="657" customWidth="1"/>
    <col min="14139" max="14139" width="8.85546875" style="657" customWidth="1"/>
    <col min="14140" max="14140" width="8.140625" style="657" customWidth="1"/>
    <col min="14141" max="14141" width="7.85546875" style="657" customWidth="1"/>
    <col min="14142" max="14142" width="8.5703125" style="657" customWidth="1"/>
    <col min="14143" max="14143" width="8.28515625" style="657" customWidth="1"/>
    <col min="14144" max="14144" width="11.42578125" style="657" customWidth="1"/>
    <col min="14145" max="14145" width="18" style="657" customWidth="1"/>
    <col min="14146" max="14146" width="21.42578125" style="657" customWidth="1"/>
    <col min="14147" max="14147" width="27.85546875" style="657" customWidth="1"/>
    <col min="14148" max="14363" width="11.42578125" style="657"/>
    <col min="14364" max="14364" width="13.5703125" style="657" customWidth="1"/>
    <col min="14365" max="14365" width="19" style="657" customWidth="1"/>
    <col min="14366" max="14366" width="13.5703125" style="657" customWidth="1"/>
    <col min="14367" max="14367" width="19.7109375" style="657" customWidth="1"/>
    <col min="14368" max="14368" width="13.5703125" style="657" customWidth="1"/>
    <col min="14369" max="14370" width="14.7109375" style="657" customWidth="1"/>
    <col min="14371" max="14371" width="36.140625" style="657" customWidth="1"/>
    <col min="14372" max="14372" width="29.42578125" style="657" customWidth="1"/>
    <col min="14373" max="14373" width="16" style="657" customWidth="1"/>
    <col min="14374" max="14374" width="38.28515625" style="657" customWidth="1"/>
    <col min="14375" max="14375" width="12" style="657" customWidth="1"/>
    <col min="14376" max="14376" width="38.140625" style="657" customWidth="1"/>
    <col min="14377" max="14377" width="17.85546875" style="657" bestFit="1" customWidth="1"/>
    <col min="14378" max="14378" width="24.7109375" style="657" customWidth="1"/>
    <col min="14379" max="14379" width="36.42578125" style="657" customWidth="1"/>
    <col min="14380" max="14380" width="46.7109375" style="657" customWidth="1"/>
    <col min="14381" max="14381" width="43.7109375" style="657" customWidth="1"/>
    <col min="14382" max="14382" width="25.42578125" style="657" customWidth="1"/>
    <col min="14383" max="14383" width="12.42578125" style="657" customWidth="1"/>
    <col min="14384" max="14384" width="16.42578125" style="657" customWidth="1"/>
    <col min="14385" max="14385" width="13.42578125" style="657" customWidth="1"/>
    <col min="14386" max="14386" width="8.5703125" style="657" customWidth="1"/>
    <col min="14387" max="14390" width="11.42578125" style="657" customWidth="1"/>
    <col min="14391" max="14391" width="12.7109375" style="657" customWidth="1"/>
    <col min="14392" max="14392" width="11.85546875" style="657" customWidth="1"/>
    <col min="14393" max="14393" width="7.85546875" style="657" customWidth="1"/>
    <col min="14394" max="14394" width="7.5703125" style="657" customWidth="1"/>
    <col min="14395" max="14395" width="8.85546875" style="657" customWidth="1"/>
    <col min="14396" max="14396" width="8.140625" style="657" customWidth="1"/>
    <col min="14397" max="14397" width="7.85546875" style="657" customWidth="1"/>
    <col min="14398" max="14398" width="8.5703125" style="657" customWidth="1"/>
    <col min="14399" max="14399" width="8.28515625" style="657" customWidth="1"/>
    <col min="14400" max="14400" width="11.42578125" style="657" customWidth="1"/>
    <col min="14401" max="14401" width="18" style="657" customWidth="1"/>
    <col min="14402" max="14402" width="21.42578125" style="657" customWidth="1"/>
    <col min="14403" max="14403" width="27.85546875" style="657" customWidth="1"/>
    <col min="14404" max="14619" width="11.42578125" style="657"/>
    <col min="14620" max="14620" width="13.5703125" style="657" customWidth="1"/>
    <col min="14621" max="14621" width="19" style="657" customWidth="1"/>
    <col min="14622" max="14622" width="13.5703125" style="657" customWidth="1"/>
    <col min="14623" max="14623" width="19.7109375" style="657" customWidth="1"/>
    <col min="14624" max="14624" width="13.5703125" style="657" customWidth="1"/>
    <col min="14625" max="14626" width="14.7109375" style="657" customWidth="1"/>
    <col min="14627" max="14627" width="36.140625" style="657" customWidth="1"/>
    <col min="14628" max="14628" width="29.42578125" style="657" customWidth="1"/>
    <col min="14629" max="14629" width="16" style="657" customWidth="1"/>
    <col min="14630" max="14630" width="38.28515625" style="657" customWidth="1"/>
    <col min="14631" max="14631" width="12" style="657" customWidth="1"/>
    <col min="14632" max="14632" width="38.140625" style="657" customWidth="1"/>
    <col min="14633" max="14633" width="17.85546875" style="657" bestFit="1" customWidth="1"/>
    <col min="14634" max="14634" width="24.7109375" style="657" customWidth="1"/>
    <col min="14635" max="14635" width="36.42578125" style="657" customWidth="1"/>
    <col min="14636" max="14636" width="46.7109375" style="657" customWidth="1"/>
    <col min="14637" max="14637" width="43.7109375" style="657" customWidth="1"/>
    <col min="14638" max="14638" width="25.42578125" style="657" customWidth="1"/>
    <col min="14639" max="14639" width="12.42578125" style="657" customWidth="1"/>
    <col min="14640" max="14640" width="16.42578125" style="657" customWidth="1"/>
    <col min="14641" max="14641" width="13.42578125" style="657" customWidth="1"/>
    <col min="14642" max="14642" width="8.5703125" style="657" customWidth="1"/>
    <col min="14643" max="14646" width="11.42578125" style="657" customWidth="1"/>
    <col min="14647" max="14647" width="12.7109375" style="657" customWidth="1"/>
    <col min="14648" max="14648" width="11.85546875" style="657" customWidth="1"/>
    <col min="14649" max="14649" width="7.85546875" style="657" customWidth="1"/>
    <col min="14650" max="14650" width="7.5703125" style="657" customWidth="1"/>
    <col min="14651" max="14651" width="8.85546875" style="657" customWidth="1"/>
    <col min="14652" max="14652" width="8.140625" style="657" customWidth="1"/>
    <col min="14653" max="14653" width="7.85546875" style="657" customWidth="1"/>
    <col min="14654" max="14654" width="8.5703125" style="657" customWidth="1"/>
    <col min="14655" max="14655" width="8.28515625" style="657" customWidth="1"/>
    <col min="14656" max="14656" width="11.42578125" style="657" customWidth="1"/>
    <col min="14657" max="14657" width="18" style="657" customWidth="1"/>
    <col min="14658" max="14658" width="21.42578125" style="657" customWidth="1"/>
    <col min="14659" max="14659" width="27.85546875" style="657" customWidth="1"/>
    <col min="14660" max="14875" width="11.42578125" style="657"/>
    <col min="14876" max="14876" width="13.5703125" style="657" customWidth="1"/>
    <col min="14877" max="14877" width="19" style="657" customWidth="1"/>
    <col min="14878" max="14878" width="13.5703125" style="657" customWidth="1"/>
    <col min="14879" max="14879" width="19.7109375" style="657" customWidth="1"/>
    <col min="14880" max="14880" width="13.5703125" style="657" customWidth="1"/>
    <col min="14881" max="14882" width="14.7109375" style="657" customWidth="1"/>
    <col min="14883" max="14883" width="36.140625" style="657" customWidth="1"/>
    <col min="14884" max="14884" width="29.42578125" style="657" customWidth="1"/>
    <col min="14885" max="14885" width="16" style="657" customWidth="1"/>
    <col min="14886" max="14886" width="38.28515625" style="657" customWidth="1"/>
    <col min="14887" max="14887" width="12" style="657" customWidth="1"/>
    <col min="14888" max="14888" width="38.140625" style="657" customWidth="1"/>
    <col min="14889" max="14889" width="17.85546875" style="657" bestFit="1" customWidth="1"/>
    <col min="14890" max="14890" width="24.7109375" style="657" customWidth="1"/>
    <col min="14891" max="14891" width="36.42578125" style="657" customWidth="1"/>
    <col min="14892" max="14892" width="46.7109375" style="657" customWidth="1"/>
    <col min="14893" max="14893" width="43.7109375" style="657" customWidth="1"/>
    <col min="14894" max="14894" width="25.42578125" style="657" customWidth="1"/>
    <col min="14895" max="14895" width="12.42578125" style="657" customWidth="1"/>
    <col min="14896" max="14896" width="16.42578125" style="657" customWidth="1"/>
    <col min="14897" max="14897" width="13.42578125" style="657" customWidth="1"/>
    <col min="14898" max="14898" width="8.5703125" style="657" customWidth="1"/>
    <col min="14899" max="14902" width="11.42578125" style="657" customWidth="1"/>
    <col min="14903" max="14903" width="12.7109375" style="657" customWidth="1"/>
    <col min="14904" max="14904" width="11.85546875" style="657" customWidth="1"/>
    <col min="14905" max="14905" width="7.85546875" style="657" customWidth="1"/>
    <col min="14906" max="14906" width="7.5703125" style="657" customWidth="1"/>
    <col min="14907" max="14907" width="8.85546875" style="657" customWidth="1"/>
    <col min="14908" max="14908" width="8.140625" style="657" customWidth="1"/>
    <col min="14909" max="14909" width="7.85546875" style="657" customWidth="1"/>
    <col min="14910" max="14910" width="8.5703125" style="657" customWidth="1"/>
    <col min="14911" max="14911" width="8.28515625" style="657" customWidth="1"/>
    <col min="14912" max="14912" width="11.42578125" style="657" customWidth="1"/>
    <col min="14913" max="14913" width="18" style="657" customWidth="1"/>
    <col min="14914" max="14914" width="21.42578125" style="657" customWidth="1"/>
    <col min="14915" max="14915" width="27.85546875" style="657" customWidth="1"/>
    <col min="14916" max="15131" width="11.42578125" style="657"/>
    <col min="15132" max="15132" width="13.5703125" style="657" customWidth="1"/>
    <col min="15133" max="15133" width="19" style="657" customWidth="1"/>
    <col min="15134" max="15134" width="13.5703125" style="657" customWidth="1"/>
    <col min="15135" max="15135" width="19.7109375" style="657" customWidth="1"/>
    <col min="15136" max="15136" width="13.5703125" style="657" customWidth="1"/>
    <col min="15137" max="15138" width="14.7109375" style="657" customWidth="1"/>
    <col min="15139" max="15139" width="36.140625" style="657" customWidth="1"/>
    <col min="15140" max="15140" width="29.42578125" style="657" customWidth="1"/>
    <col min="15141" max="15141" width="16" style="657" customWidth="1"/>
    <col min="15142" max="15142" width="38.28515625" style="657" customWidth="1"/>
    <col min="15143" max="15143" width="12" style="657" customWidth="1"/>
    <col min="15144" max="15144" width="38.140625" style="657" customWidth="1"/>
    <col min="15145" max="15145" width="17.85546875" style="657" bestFit="1" customWidth="1"/>
    <col min="15146" max="15146" width="24.7109375" style="657" customWidth="1"/>
    <col min="15147" max="15147" width="36.42578125" style="657" customWidth="1"/>
    <col min="15148" max="15148" width="46.7109375" style="657" customWidth="1"/>
    <col min="15149" max="15149" width="43.7109375" style="657" customWidth="1"/>
    <col min="15150" max="15150" width="25.42578125" style="657" customWidth="1"/>
    <col min="15151" max="15151" width="12.42578125" style="657" customWidth="1"/>
    <col min="15152" max="15152" width="16.42578125" style="657" customWidth="1"/>
    <col min="15153" max="15153" width="13.42578125" style="657" customWidth="1"/>
    <col min="15154" max="15154" width="8.5703125" style="657" customWidth="1"/>
    <col min="15155" max="15158" width="11.42578125" style="657" customWidth="1"/>
    <col min="15159" max="15159" width="12.7109375" style="657" customWidth="1"/>
    <col min="15160" max="15160" width="11.85546875" style="657" customWidth="1"/>
    <col min="15161" max="15161" width="7.85546875" style="657" customWidth="1"/>
    <col min="15162" max="15162" width="7.5703125" style="657" customWidth="1"/>
    <col min="15163" max="15163" width="8.85546875" style="657" customWidth="1"/>
    <col min="15164" max="15164" width="8.140625" style="657" customWidth="1"/>
    <col min="15165" max="15165" width="7.85546875" style="657" customWidth="1"/>
    <col min="15166" max="15166" width="8.5703125" style="657" customWidth="1"/>
    <col min="15167" max="15167" width="8.28515625" style="657" customWidth="1"/>
    <col min="15168" max="15168" width="11.42578125" style="657" customWidth="1"/>
    <col min="15169" max="15169" width="18" style="657" customWidth="1"/>
    <col min="15170" max="15170" width="21.42578125" style="657" customWidth="1"/>
    <col min="15171" max="15171" width="27.85546875" style="657" customWidth="1"/>
    <col min="15172" max="15387" width="11.42578125" style="657"/>
    <col min="15388" max="15388" width="13.5703125" style="657" customWidth="1"/>
    <col min="15389" max="15389" width="19" style="657" customWidth="1"/>
    <col min="15390" max="15390" width="13.5703125" style="657" customWidth="1"/>
    <col min="15391" max="15391" width="19.7109375" style="657" customWidth="1"/>
    <col min="15392" max="15392" width="13.5703125" style="657" customWidth="1"/>
    <col min="15393" max="15394" width="14.7109375" style="657" customWidth="1"/>
    <col min="15395" max="15395" width="36.140625" style="657" customWidth="1"/>
    <col min="15396" max="15396" width="29.42578125" style="657" customWidth="1"/>
    <col min="15397" max="15397" width="16" style="657" customWidth="1"/>
    <col min="15398" max="15398" width="38.28515625" style="657" customWidth="1"/>
    <col min="15399" max="15399" width="12" style="657" customWidth="1"/>
    <col min="15400" max="15400" width="38.140625" style="657" customWidth="1"/>
    <col min="15401" max="15401" width="17.85546875" style="657" bestFit="1" customWidth="1"/>
    <col min="15402" max="15402" width="24.7109375" style="657" customWidth="1"/>
    <col min="15403" max="15403" width="36.42578125" style="657" customWidth="1"/>
    <col min="15404" max="15404" width="46.7109375" style="657" customWidth="1"/>
    <col min="15405" max="15405" width="43.7109375" style="657" customWidth="1"/>
    <col min="15406" max="15406" width="25.42578125" style="657" customWidth="1"/>
    <col min="15407" max="15407" width="12.42578125" style="657" customWidth="1"/>
    <col min="15408" max="15408" width="16.42578125" style="657" customWidth="1"/>
    <col min="15409" max="15409" width="13.42578125" style="657" customWidth="1"/>
    <col min="15410" max="15410" width="8.5703125" style="657" customWidth="1"/>
    <col min="15411" max="15414" width="11.42578125" style="657" customWidth="1"/>
    <col min="15415" max="15415" width="12.7109375" style="657" customWidth="1"/>
    <col min="15416" max="15416" width="11.85546875" style="657" customWidth="1"/>
    <col min="15417" max="15417" width="7.85546875" style="657" customWidth="1"/>
    <col min="15418" max="15418" width="7.5703125" style="657" customWidth="1"/>
    <col min="15419" max="15419" width="8.85546875" style="657" customWidth="1"/>
    <col min="15420" max="15420" width="8.140625" style="657" customWidth="1"/>
    <col min="15421" max="15421" width="7.85546875" style="657" customWidth="1"/>
    <col min="15422" max="15422" width="8.5703125" style="657" customWidth="1"/>
    <col min="15423" max="15423" width="8.28515625" style="657" customWidth="1"/>
    <col min="15424" max="15424" width="11.42578125" style="657" customWidth="1"/>
    <col min="15425" max="15425" width="18" style="657" customWidth="1"/>
    <col min="15426" max="15426" width="21.42578125" style="657" customWidth="1"/>
    <col min="15427" max="15427" width="27.85546875" style="657" customWidth="1"/>
    <col min="15428" max="15643" width="11.42578125" style="657"/>
    <col min="15644" max="15644" width="13.5703125" style="657" customWidth="1"/>
    <col min="15645" max="15645" width="19" style="657" customWidth="1"/>
    <col min="15646" max="15646" width="13.5703125" style="657" customWidth="1"/>
    <col min="15647" max="15647" width="19.7109375" style="657" customWidth="1"/>
    <col min="15648" max="15648" width="13.5703125" style="657" customWidth="1"/>
    <col min="15649" max="15650" width="14.7109375" style="657" customWidth="1"/>
    <col min="15651" max="15651" width="36.140625" style="657" customWidth="1"/>
    <col min="15652" max="15652" width="29.42578125" style="657" customWidth="1"/>
    <col min="15653" max="15653" width="16" style="657" customWidth="1"/>
    <col min="15654" max="15654" width="38.28515625" style="657" customWidth="1"/>
    <col min="15655" max="15655" width="12" style="657" customWidth="1"/>
    <col min="15656" max="15656" width="38.140625" style="657" customWidth="1"/>
    <col min="15657" max="15657" width="17.85546875" style="657" bestFit="1" customWidth="1"/>
    <col min="15658" max="15658" width="24.7109375" style="657" customWidth="1"/>
    <col min="15659" max="15659" width="36.42578125" style="657" customWidth="1"/>
    <col min="15660" max="15660" width="46.7109375" style="657" customWidth="1"/>
    <col min="15661" max="15661" width="43.7109375" style="657" customWidth="1"/>
    <col min="15662" max="15662" width="25.42578125" style="657" customWidth="1"/>
    <col min="15663" max="15663" width="12.42578125" style="657" customWidth="1"/>
    <col min="15664" max="15664" width="16.42578125" style="657" customWidth="1"/>
    <col min="15665" max="15665" width="13.42578125" style="657" customWidth="1"/>
    <col min="15666" max="15666" width="8.5703125" style="657" customWidth="1"/>
    <col min="15667" max="15670" width="11.42578125" style="657" customWidth="1"/>
    <col min="15671" max="15671" width="12.7109375" style="657" customWidth="1"/>
    <col min="15672" max="15672" width="11.85546875" style="657" customWidth="1"/>
    <col min="15673" max="15673" width="7.85546875" style="657" customWidth="1"/>
    <col min="15674" max="15674" width="7.5703125" style="657" customWidth="1"/>
    <col min="15675" max="15675" width="8.85546875" style="657" customWidth="1"/>
    <col min="15676" max="15676" width="8.140625" style="657" customWidth="1"/>
    <col min="15677" max="15677" width="7.85546875" style="657" customWidth="1"/>
    <col min="15678" max="15678" width="8.5703125" style="657" customWidth="1"/>
    <col min="15679" max="15679" width="8.28515625" style="657" customWidth="1"/>
    <col min="15680" max="15680" width="11.42578125" style="657" customWidth="1"/>
    <col min="15681" max="15681" width="18" style="657" customWidth="1"/>
    <col min="15682" max="15682" width="21.42578125" style="657" customWidth="1"/>
    <col min="15683" max="15683" width="27.85546875" style="657" customWidth="1"/>
    <col min="15684" max="15899" width="11.42578125" style="657"/>
    <col min="15900" max="15900" width="13.5703125" style="657" customWidth="1"/>
    <col min="15901" max="15901" width="19" style="657" customWidth="1"/>
    <col min="15902" max="15902" width="13.5703125" style="657" customWidth="1"/>
    <col min="15903" max="15903" width="19.7109375" style="657" customWidth="1"/>
    <col min="15904" max="15904" width="13.5703125" style="657" customWidth="1"/>
    <col min="15905" max="15906" width="14.7109375" style="657" customWidth="1"/>
    <col min="15907" max="15907" width="36.140625" style="657" customWidth="1"/>
    <col min="15908" max="15908" width="29.42578125" style="657" customWidth="1"/>
    <col min="15909" max="15909" width="16" style="657" customWidth="1"/>
    <col min="15910" max="15910" width="38.28515625" style="657" customWidth="1"/>
    <col min="15911" max="15911" width="12" style="657" customWidth="1"/>
    <col min="15912" max="15912" width="38.140625" style="657" customWidth="1"/>
    <col min="15913" max="15913" width="17.85546875" style="657" bestFit="1" customWidth="1"/>
    <col min="15914" max="15914" width="24.7109375" style="657" customWidth="1"/>
    <col min="15915" max="15915" width="36.42578125" style="657" customWidth="1"/>
    <col min="15916" max="15916" width="46.7109375" style="657" customWidth="1"/>
    <col min="15917" max="15917" width="43.7109375" style="657" customWidth="1"/>
    <col min="15918" max="15918" width="25.42578125" style="657" customWidth="1"/>
    <col min="15919" max="15919" width="12.42578125" style="657" customWidth="1"/>
    <col min="15920" max="15920" width="16.42578125" style="657" customWidth="1"/>
    <col min="15921" max="15921" width="13.42578125" style="657" customWidth="1"/>
    <col min="15922" max="15922" width="8.5703125" style="657" customWidth="1"/>
    <col min="15923" max="15926" width="11.42578125" style="657" customWidth="1"/>
    <col min="15927" max="15927" width="12.7109375" style="657" customWidth="1"/>
    <col min="15928" max="15928" width="11.85546875" style="657" customWidth="1"/>
    <col min="15929" max="15929" width="7.85546875" style="657" customWidth="1"/>
    <col min="15930" max="15930" width="7.5703125" style="657" customWidth="1"/>
    <col min="15931" max="15931" width="8.85546875" style="657" customWidth="1"/>
    <col min="15932" max="15932" width="8.140625" style="657" customWidth="1"/>
    <col min="15933" max="15933" width="7.85546875" style="657" customWidth="1"/>
    <col min="15934" max="15934" width="8.5703125" style="657" customWidth="1"/>
    <col min="15935" max="15935" width="8.28515625" style="657" customWidth="1"/>
    <col min="15936" max="15936" width="11.42578125" style="657" customWidth="1"/>
    <col min="15937" max="15937" width="18" style="657" customWidth="1"/>
    <col min="15938" max="15938" width="21.42578125" style="657" customWidth="1"/>
    <col min="15939" max="15939" width="27.85546875" style="657" customWidth="1"/>
    <col min="15940" max="16155" width="11.42578125" style="657"/>
    <col min="16156" max="16156" width="13.5703125" style="657" customWidth="1"/>
    <col min="16157" max="16157" width="19" style="657" customWidth="1"/>
    <col min="16158" max="16158" width="13.5703125" style="657" customWidth="1"/>
    <col min="16159" max="16159" width="19.7109375" style="657" customWidth="1"/>
    <col min="16160" max="16160" width="13.5703125" style="657" customWidth="1"/>
    <col min="16161" max="16162" width="14.7109375" style="657" customWidth="1"/>
    <col min="16163" max="16163" width="36.140625" style="657" customWidth="1"/>
    <col min="16164" max="16164" width="29.42578125" style="657" customWidth="1"/>
    <col min="16165" max="16165" width="16" style="657" customWidth="1"/>
    <col min="16166" max="16166" width="38.28515625" style="657" customWidth="1"/>
    <col min="16167" max="16167" width="12" style="657" customWidth="1"/>
    <col min="16168" max="16168" width="38.140625" style="657" customWidth="1"/>
    <col min="16169" max="16169" width="17.85546875" style="657" bestFit="1" customWidth="1"/>
    <col min="16170" max="16170" width="24.7109375" style="657" customWidth="1"/>
    <col min="16171" max="16171" width="36.42578125" style="657" customWidth="1"/>
    <col min="16172" max="16172" width="46.7109375" style="657" customWidth="1"/>
    <col min="16173" max="16173" width="43.7109375" style="657" customWidth="1"/>
    <col min="16174" max="16174" width="25.42578125" style="657" customWidth="1"/>
    <col min="16175" max="16175" width="12.42578125" style="657" customWidth="1"/>
    <col min="16176" max="16176" width="16.42578125" style="657" customWidth="1"/>
    <col min="16177" max="16177" width="13.42578125" style="657" customWidth="1"/>
    <col min="16178" max="16178" width="8.5703125" style="657" customWidth="1"/>
    <col min="16179" max="16182" width="11.42578125" style="657" customWidth="1"/>
    <col min="16183" max="16183" width="12.7109375" style="657" customWidth="1"/>
    <col min="16184" max="16184" width="11.85546875" style="657" customWidth="1"/>
    <col min="16185" max="16185" width="7.85546875" style="657" customWidth="1"/>
    <col min="16186" max="16186" width="7.5703125" style="657" customWidth="1"/>
    <col min="16187" max="16187" width="8.85546875" style="657" customWidth="1"/>
    <col min="16188" max="16188" width="8.140625" style="657" customWidth="1"/>
    <col min="16189" max="16189" width="7.85546875" style="657" customWidth="1"/>
    <col min="16190" max="16190" width="8.5703125" style="657" customWidth="1"/>
    <col min="16191" max="16191" width="8.28515625" style="657" customWidth="1"/>
    <col min="16192" max="16192" width="11.42578125" style="657" customWidth="1"/>
    <col min="16193" max="16193" width="18" style="657" customWidth="1"/>
    <col min="16194" max="16194" width="21.42578125" style="657" customWidth="1"/>
    <col min="16195" max="16195" width="27.85546875" style="657" customWidth="1"/>
    <col min="16196" max="16384" width="11.42578125" style="657"/>
  </cols>
  <sheetData>
    <row r="1" spans="1:283" ht="15" customHeight="1" x14ac:dyDescent="0.25">
      <c r="A1" s="4453" t="s">
        <v>2262</v>
      </c>
      <c r="B1" s="4453"/>
      <c r="C1" s="4453"/>
      <c r="D1" s="4453"/>
      <c r="E1" s="4453"/>
      <c r="F1" s="4453"/>
      <c r="G1" s="4453"/>
      <c r="H1" s="4453"/>
      <c r="I1" s="4453"/>
      <c r="J1" s="4453"/>
      <c r="K1" s="4453"/>
      <c r="L1" s="4453"/>
      <c r="M1" s="4453"/>
      <c r="N1" s="4453"/>
      <c r="O1" s="4453"/>
      <c r="P1" s="4453"/>
      <c r="Q1" s="4453"/>
      <c r="R1" s="4453"/>
      <c r="S1" s="4453"/>
      <c r="T1" s="4453"/>
      <c r="U1" s="4453"/>
      <c r="V1" s="4453"/>
      <c r="W1" s="4453"/>
      <c r="X1" s="4453"/>
      <c r="Y1" s="4453"/>
      <c r="Z1" s="4453"/>
      <c r="AA1" s="4453"/>
      <c r="AB1" s="4453"/>
      <c r="AC1" s="4453"/>
      <c r="AD1" s="4453"/>
      <c r="AE1" s="4453"/>
      <c r="AF1" s="4453"/>
      <c r="AG1" s="4453"/>
      <c r="AH1" s="4453"/>
      <c r="AI1" s="4453"/>
      <c r="AJ1" s="4453"/>
      <c r="AK1" s="4453"/>
      <c r="AL1" s="4453"/>
      <c r="AM1" s="4453"/>
      <c r="AN1" s="4453"/>
      <c r="AO1" s="4453"/>
      <c r="AP1" s="4453"/>
      <c r="AQ1" s="4453"/>
      <c r="AR1" s="4453"/>
      <c r="AS1" s="4453"/>
      <c r="AT1" s="4453"/>
      <c r="AU1" s="4453"/>
      <c r="AV1" s="4453"/>
      <c r="AW1" s="4453"/>
      <c r="AX1" s="4453"/>
      <c r="AY1" s="4453"/>
      <c r="AZ1" s="4453"/>
      <c r="BA1" s="4453"/>
      <c r="BB1" s="4453"/>
      <c r="BC1" s="4453"/>
      <c r="BD1" s="4453"/>
      <c r="BE1" s="4453"/>
      <c r="BF1" s="4453"/>
      <c r="BG1" s="4453"/>
      <c r="BH1" s="4453"/>
      <c r="BI1" s="4453"/>
      <c r="BJ1" s="4453"/>
      <c r="BK1" s="4453"/>
      <c r="BL1" s="4453"/>
      <c r="BM1" s="3214"/>
      <c r="BN1" s="2245" t="s">
        <v>1</v>
      </c>
      <c r="BO1" s="4" t="s">
        <v>2</v>
      </c>
    </row>
    <row r="2" spans="1:283" ht="15" x14ac:dyDescent="0.25">
      <c r="A2" s="4453"/>
      <c r="B2" s="4453"/>
      <c r="C2" s="4453"/>
      <c r="D2" s="4453"/>
      <c r="E2" s="4453"/>
      <c r="F2" s="4453"/>
      <c r="G2" s="4453"/>
      <c r="H2" s="4453"/>
      <c r="I2" s="4453"/>
      <c r="J2" s="4453"/>
      <c r="K2" s="4453"/>
      <c r="L2" s="4453"/>
      <c r="M2" s="4453"/>
      <c r="N2" s="4453"/>
      <c r="O2" s="4453"/>
      <c r="P2" s="4453"/>
      <c r="Q2" s="4453"/>
      <c r="R2" s="4453"/>
      <c r="S2" s="4453"/>
      <c r="T2" s="4453"/>
      <c r="U2" s="4453"/>
      <c r="V2" s="4453"/>
      <c r="W2" s="4453"/>
      <c r="X2" s="4453"/>
      <c r="Y2" s="4453"/>
      <c r="Z2" s="4453"/>
      <c r="AA2" s="4453"/>
      <c r="AB2" s="4453"/>
      <c r="AC2" s="4453"/>
      <c r="AD2" s="4453"/>
      <c r="AE2" s="4453"/>
      <c r="AF2" s="4453"/>
      <c r="AG2" s="4453"/>
      <c r="AH2" s="4453"/>
      <c r="AI2" s="4453"/>
      <c r="AJ2" s="4453"/>
      <c r="AK2" s="4453"/>
      <c r="AL2" s="4453"/>
      <c r="AM2" s="4453"/>
      <c r="AN2" s="4453"/>
      <c r="AO2" s="4453"/>
      <c r="AP2" s="4453"/>
      <c r="AQ2" s="4453"/>
      <c r="AR2" s="4453"/>
      <c r="AS2" s="4453"/>
      <c r="AT2" s="4453"/>
      <c r="AU2" s="4453"/>
      <c r="AV2" s="4453"/>
      <c r="AW2" s="4453"/>
      <c r="AX2" s="4453"/>
      <c r="AY2" s="4453"/>
      <c r="AZ2" s="4453"/>
      <c r="BA2" s="4453"/>
      <c r="BB2" s="4453"/>
      <c r="BC2" s="4453"/>
      <c r="BD2" s="4453"/>
      <c r="BE2" s="4453"/>
      <c r="BF2" s="4453"/>
      <c r="BG2" s="4453"/>
      <c r="BH2" s="4453"/>
      <c r="BI2" s="4453"/>
      <c r="BJ2" s="4453"/>
      <c r="BK2" s="4453"/>
      <c r="BL2" s="4453"/>
      <c r="BM2" s="3214"/>
      <c r="BN2" s="2245" t="s">
        <v>3</v>
      </c>
      <c r="BO2" s="6">
        <v>6</v>
      </c>
    </row>
    <row r="3" spans="1:283" ht="15" x14ac:dyDescent="0.25">
      <c r="A3" s="4453"/>
      <c r="B3" s="4453"/>
      <c r="C3" s="4453"/>
      <c r="D3" s="4453"/>
      <c r="E3" s="4453"/>
      <c r="F3" s="4453"/>
      <c r="G3" s="4453"/>
      <c r="H3" s="4453"/>
      <c r="I3" s="4453"/>
      <c r="J3" s="4453"/>
      <c r="K3" s="4453"/>
      <c r="L3" s="4453"/>
      <c r="M3" s="4453"/>
      <c r="N3" s="4453"/>
      <c r="O3" s="4453"/>
      <c r="P3" s="4453"/>
      <c r="Q3" s="4453"/>
      <c r="R3" s="4453"/>
      <c r="S3" s="4453"/>
      <c r="T3" s="4453"/>
      <c r="U3" s="4453"/>
      <c r="V3" s="4453"/>
      <c r="W3" s="4453"/>
      <c r="X3" s="4453"/>
      <c r="Y3" s="4453"/>
      <c r="Z3" s="4453"/>
      <c r="AA3" s="4453"/>
      <c r="AB3" s="4453"/>
      <c r="AC3" s="4453"/>
      <c r="AD3" s="4453"/>
      <c r="AE3" s="4453"/>
      <c r="AF3" s="4453"/>
      <c r="AG3" s="4453"/>
      <c r="AH3" s="4453"/>
      <c r="AI3" s="4453"/>
      <c r="AJ3" s="4453"/>
      <c r="AK3" s="4453"/>
      <c r="AL3" s="4453"/>
      <c r="AM3" s="4453"/>
      <c r="AN3" s="4453"/>
      <c r="AO3" s="4453"/>
      <c r="AP3" s="4453"/>
      <c r="AQ3" s="4453"/>
      <c r="AR3" s="4453"/>
      <c r="AS3" s="4453"/>
      <c r="AT3" s="4453"/>
      <c r="AU3" s="4453"/>
      <c r="AV3" s="4453"/>
      <c r="AW3" s="4453"/>
      <c r="AX3" s="4453"/>
      <c r="AY3" s="4453"/>
      <c r="AZ3" s="4453"/>
      <c r="BA3" s="4453"/>
      <c r="BB3" s="4453"/>
      <c r="BC3" s="4453"/>
      <c r="BD3" s="4453"/>
      <c r="BE3" s="4453"/>
      <c r="BF3" s="4453"/>
      <c r="BG3" s="4453"/>
      <c r="BH3" s="4453"/>
      <c r="BI3" s="4453"/>
      <c r="BJ3" s="4453"/>
      <c r="BK3" s="4453"/>
      <c r="BL3" s="4453"/>
      <c r="BM3" s="3214"/>
      <c r="BN3" s="2245" t="s">
        <v>4</v>
      </c>
      <c r="BO3" s="7" t="s">
        <v>5</v>
      </c>
    </row>
    <row r="4" spans="1:283" ht="15" x14ac:dyDescent="0.2">
      <c r="A4" s="4453"/>
      <c r="B4" s="4453"/>
      <c r="C4" s="4453"/>
      <c r="D4" s="4453"/>
      <c r="E4" s="4453"/>
      <c r="F4" s="4453"/>
      <c r="G4" s="4453"/>
      <c r="H4" s="4453"/>
      <c r="I4" s="4453"/>
      <c r="J4" s="4453"/>
      <c r="K4" s="4453"/>
      <c r="L4" s="4453"/>
      <c r="M4" s="4453"/>
      <c r="N4" s="4453"/>
      <c r="O4" s="4453"/>
      <c r="P4" s="4453"/>
      <c r="Q4" s="4453"/>
      <c r="R4" s="4453"/>
      <c r="S4" s="4453"/>
      <c r="T4" s="4453"/>
      <c r="U4" s="4453"/>
      <c r="V4" s="4453"/>
      <c r="W4" s="4453"/>
      <c r="X4" s="4453"/>
      <c r="Y4" s="4453"/>
      <c r="Z4" s="4453"/>
      <c r="AA4" s="4453"/>
      <c r="AB4" s="4453"/>
      <c r="AC4" s="4453"/>
      <c r="AD4" s="4453"/>
      <c r="AE4" s="4453"/>
      <c r="AF4" s="4453"/>
      <c r="AG4" s="4453"/>
      <c r="AH4" s="4453"/>
      <c r="AI4" s="4453"/>
      <c r="AJ4" s="4453"/>
      <c r="AK4" s="4453"/>
      <c r="AL4" s="4453"/>
      <c r="AM4" s="4453"/>
      <c r="AN4" s="4453"/>
      <c r="AO4" s="4453"/>
      <c r="AP4" s="4453"/>
      <c r="AQ4" s="4453"/>
      <c r="AR4" s="4453"/>
      <c r="AS4" s="4453"/>
      <c r="AT4" s="4453"/>
      <c r="AU4" s="4453"/>
      <c r="AV4" s="4453"/>
      <c r="AW4" s="4453"/>
      <c r="AX4" s="4453"/>
      <c r="AY4" s="4453"/>
      <c r="AZ4" s="4453"/>
      <c r="BA4" s="4453"/>
      <c r="BB4" s="4453"/>
      <c r="BC4" s="4453"/>
      <c r="BD4" s="4453"/>
      <c r="BE4" s="4453"/>
      <c r="BF4" s="4453"/>
      <c r="BG4" s="4453"/>
      <c r="BH4" s="4453"/>
      <c r="BI4" s="4453"/>
      <c r="BJ4" s="4453"/>
      <c r="BK4" s="4453"/>
      <c r="BL4" s="4453"/>
      <c r="BM4" s="3214"/>
      <c r="BN4" s="929" t="s">
        <v>6</v>
      </c>
      <c r="BO4" s="10" t="s">
        <v>7</v>
      </c>
    </row>
    <row r="5" spans="1:283" ht="15" x14ac:dyDescent="0.2">
      <c r="A5" s="3216"/>
      <c r="B5" s="3216"/>
      <c r="C5" s="3216"/>
      <c r="D5" s="3216"/>
      <c r="E5" s="3216"/>
      <c r="F5" s="3216"/>
      <c r="G5" s="3216"/>
      <c r="H5" s="3216"/>
      <c r="I5" s="3216"/>
      <c r="J5" s="3216"/>
      <c r="K5" s="3216"/>
      <c r="L5" s="3216"/>
      <c r="M5" s="3216"/>
      <c r="N5" s="3216"/>
      <c r="O5" s="3216"/>
      <c r="P5" s="3216"/>
      <c r="Q5" s="3216"/>
      <c r="R5" s="3216"/>
      <c r="S5" s="3216"/>
      <c r="T5" s="3216"/>
      <c r="U5" s="3216"/>
      <c r="V5" s="3216"/>
      <c r="W5" s="3216"/>
      <c r="X5" s="3216"/>
      <c r="Y5" s="3216"/>
      <c r="Z5" s="3216"/>
      <c r="AA5" s="3216"/>
      <c r="AB5" s="3216"/>
      <c r="AC5" s="3216"/>
      <c r="AD5" s="3216"/>
      <c r="AE5" s="3216"/>
      <c r="AF5" s="3216"/>
      <c r="AG5" s="3216"/>
      <c r="AH5" s="3216"/>
      <c r="AI5" s="3216"/>
      <c r="AJ5" s="3216"/>
      <c r="AK5" s="3216"/>
      <c r="AL5" s="3216"/>
      <c r="AM5" s="3216"/>
      <c r="AN5" s="3216"/>
      <c r="AO5" s="3216"/>
      <c r="AP5" s="3216"/>
      <c r="AQ5" s="3216"/>
      <c r="AR5" s="3216"/>
      <c r="AS5" s="3216"/>
      <c r="AT5" s="3216"/>
      <c r="AU5" s="3216"/>
      <c r="AV5" s="3216"/>
      <c r="AW5" s="3216"/>
      <c r="AX5" s="3216"/>
      <c r="AY5" s="3216"/>
      <c r="AZ5" s="3216"/>
      <c r="BA5" s="3216"/>
      <c r="BB5" s="3216"/>
      <c r="BC5" s="3216"/>
      <c r="BD5" s="3216"/>
      <c r="BE5" s="3216"/>
      <c r="BF5" s="3216"/>
      <c r="BG5" s="3216"/>
      <c r="BH5" s="3216"/>
      <c r="BI5" s="3216"/>
      <c r="BJ5" s="3216"/>
      <c r="BK5" s="3216"/>
      <c r="BL5" s="3216"/>
      <c r="BM5" s="3217"/>
      <c r="BN5" s="1176" t="s">
        <v>6</v>
      </c>
      <c r="BO5" s="2246" t="s">
        <v>520</v>
      </c>
      <c r="BP5" s="2247"/>
      <c r="BQ5" s="2247"/>
      <c r="BR5" s="2247"/>
      <c r="BS5" s="2247"/>
      <c r="BT5" s="2247"/>
      <c r="BU5" s="928"/>
      <c r="BV5" s="928"/>
      <c r="BW5" s="928"/>
      <c r="BX5" s="928"/>
      <c r="BY5" s="928"/>
      <c r="BZ5" s="928"/>
      <c r="CA5" s="928"/>
      <c r="CB5" s="928"/>
      <c r="CC5" s="928"/>
      <c r="CD5" s="928"/>
      <c r="CE5" s="928"/>
      <c r="CF5" s="928"/>
      <c r="CG5" s="928"/>
      <c r="CH5" s="928"/>
      <c r="CI5" s="928"/>
      <c r="CJ5" s="928"/>
      <c r="CK5" s="928"/>
      <c r="CL5" s="928"/>
      <c r="CM5" s="928"/>
      <c r="CN5" s="928"/>
      <c r="CO5" s="928"/>
      <c r="CP5" s="928"/>
      <c r="CQ5" s="928"/>
      <c r="CR5" s="928"/>
      <c r="CS5" s="928"/>
      <c r="CT5" s="928"/>
      <c r="CU5" s="928"/>
      <c r="CV5" s="928"/>
      <c r="CW5" s="928"/>
      <c r="CX5" s="928"/>
      <c r="CY5" s="928"/>
      <c r="CZ5" s="928"/>
      <c r="DA5" s="928"/>
      <c r="DB5" s="928"/>
      <c r="DC5" s="928"/>
      <c r="DD5" s="928"/>
      <c r="DE5" s="928"/>
      <c r="DF5" s="928"/>
      <c r="DG5" s="928"/>
      <c r="DH5" s="928"/>
      <c r="DI5" s="928"/>
      <c r="DJ5" s="928"/>
      <c r="DK5" s="928"/>
      <c r="DL5" s="928"/>
      <c r="DM5" s="928"/>
      <c r="DN5" s="928"/>
      <c r="DO5" s="928"/>
      <c r="DP5" s="928"/>
      <c r="DQ5" s="928"/>
      <c r="DR5" s="928"/>
      <c r="DS5" s="928"/>
      <c r="DT5" s="928"/>
      <c r="DU5" s="928"/>
      <c r="DV5" s="928"/>
      <c r="DW5" s="928"/>
      <c r="DX5" s="928"/>
      <c r="DY5" s="928"/>
      <c r="DZ5" s="928"/>
      <c r="EA5" s="928"/>
      <c r="EB5" s="928"/>
      <c r="EC5" s="928"/>
      <c r="ED5" s="928"/>
      <c r="EE5" s="928"/>
      <c r="EF5" s="928"/>
      <c r="EG5" s="928"/>
      <c r="EH5" s="928"/>
      <c r="EI5" s="928"/>
      <c r="EJ5" s="928"/>
      <c r="EK5" s="928"/>
      <c r="EL5" s="928"/>
      <c r="EM5" s="928"/>
      <c r="EN5" s="928"/>
      <c r="EO5" s="928"/>
      <c r="EP5" s="928"/>
      <c r="EQ5" s="928"/>
      <c r="ER5" s="928"/>
      <c r="ES5" s="928"/>
      <c r="ET5" s="928"/>
      <c r="EU5" s="928"/>
      <c r="EV5" s="928"/>
      <c r="EW5" s="928"/>
      <c r="EX5" s="928"/>
      <c r="EY5" s="928"/>
      <c r="EZ5" s="928"/>
      <c r="FA5" s="928"/>
      <c r="FB5" s="928"/>
      <c r="FC5" s="928"/>
      <c r="FD5" s="928"/>
      <c r="FE5" s="928"/>
      <c r="FF5" s="928"/>
      <c r="FG5" s="928"/>
      <c r="FH5" s="928"/>
      <c r="FI5" s="928"/>
      <c r="FJ5" s="928"/>
      <c r="FK5" s="928"/>
      <c r="FL5" s="928"/>
      <c r="FM5" s="928"/>
      <c r="FN5" s="928"/>
      <c r="FO5" s="928"/>
      <c r="FP5" s="928"/>
      <c r="FQ5" s="928"/>
      <c r="FR5" s="928"/>
      <c r="FS5" s="928"/>
      <c r="FT5" s="928"/>
      <c r="FU5" s="928"/>
      <c r="FV5" s="928"/>
      <c r="FW5" s="928"/>
      <c r="FX5" s="928"/>
      <c r="FY5" s="928"/>
      <c r="FZ5" s="928"/>
      <c r="GA5" s="928"/>
      <c r="GB5" s="928"/>
      <c r="GC5" s="928"/>
      <c r="GD5" s="928"/>
      <c r="GE5" s="928"/>
      <c r="GF5" s="928"/>
      <c r="GG5" s="928"/>
      <c r="GH5" s="928"/>
      <c r="GI5" s="928"/>
      <c r="GJ5" s="928"/>
      <c r="GK5" s="928"/>
      <c r="GL5" s="928"/>
      <c r="GM5" s="928"/>
      <c r="GN5" s="928"/>
      <c r="GO5" s="928"/>
      <c r="GP5" s="928"/>
      <c r="GQ5" s="928"/>
      <c r="GR5" s="928"/>
      <c r="GS5" s="928"/>
      <c r="GT5" s="928"/>
      <c r="GU5" s="928"/>
      <c r="GV5" s="928"/>
      <c r="GW5" s="928"/>
      <c r="GX5" s="928"/>
      <c r="GY5" s="928"/>
      <c r="GZ5" s="928"/>
      <c r="HA5" s="928"/>
      <c r="HB5" s="928"/>
      <c r="HC5" s="928"/>
      <c r="HD5" s="928"/>
      <c r="HE5" s="928"/>
      <c r="HF5" s="928"/>
      <c r="HG5" s="928"/>
      <c r="HH5" s="928"/>
      <c r="HI5" s="928"/>
      <c r="HJ5" s="928"/>
      <c r="HK5" s="928"/>
      <c r="HL5" s="928"/>
      <c r="HM5" s="928"/>
      <c r="HN5" s="928"/>
      <c r="HO5" s="928"/>
      <c r="HP5" s="928"/>
      <c r="HQ5" s="928"/>
      <c r="HR5" s="928"/>
      <c r="HS5" s="928"/>
      <c r="HT5" s="928"/>
      <c r="HU5" s="928"/>
      <c r="HV5" s="928"/>
      <c r="HW5" s="928"/>
      <c r="HX5" s="928"/>
      <c r="HY5" s="928"/>
      <c r="HZ5" s="928"/>
      <c r="IA5" s="928"/>
      <c r="IB5" s="928"/>
      <c r="IC5" s="928"/>
      <c r="ID5" s="928"/>
      <c r="IE5" s="928"/>
      <c r="IF5" s="928"/>
      <c r="IG5" s="928"/>
      <c r="IH5" s="928"/>
      <c r="II5" s="928"/>
      <c r="IJ5" s="928"/>
      <c r="IK5" s="928"/>
      <c r="IL5" s="928"/>
      <c r="IM5" s="928"/>
      <c r="IN5" s="928"/>
      <c r="IO5" s="928"/>
      <c r="IP5" s="928"/>
      <c r="IQ5" s="928"/>
      <c r="IR5" s="928"/>
      <c r="IS5" s="928"/>
      <c r="IT5" s="928"/>
      <c r="IU5" s="928"/>
      <c r="IV5" s="928"/>
      <c r="IW5" s="928"/>
      <c r="IX5" s="928"/>
      <c r="IY5" s="928"/>
      <c r="IZ5" s="928"/>
      <c r="JA5" s="928"/>
      <c r="JB5" s="928"/>
      <c r="JC5" s="928"/>
      <c r="JD5" s="928"/>
      <c r="JE5" s="928"/>
      <c r="JF5" s="928"/>
      <c r="JG5" s="928"/>
      <c r="JH5" s="928"/>
      <c r="JI5" s="928"/>
      <c r="JJ5" s="928"/>
      <c r="JK5" s="928"/>
      <c r="JL5" s="928"/>
      <c r="JM5" s="928"/>
      <c r="JN5" s="928"/>
      <c r="JO5" s="928"/>
      <c r="JP5" s="928"/>
      <c r="JQ5" s="928"/>
      <c r="JR5" s="928"/>
      <c r="JS5" s="928"/>
      <c r="JT5" s="928"/>
      <c r="JU5" s="928"/>
      <c r="JV5" s="928"/>
      <c r="JW5" s="928"/>
    </row>
    <row r="6" spans="1:283" ht="15" x14ac:dyDescent="0.2">
      <c r="A6" s="3779" t="s">
        <v>2263</v>
      </c>
      <c r="B6" s="3779"/>
      <c r="C6" s="3779"/>
      <c r="D6" s="3779"/>
      <c r="E6" s="3779"/>
      <c r="F6" s="3779"/>
      <c r="G6" s="3779"/>
      <c r="H6" s="3779"/>
      <c r="I6" s="3779"/>
      <c r="J6" s="3779"/>
      <c r="K6" s="2248"/>
      <c r="L6" s="1336"/>
      <c r="M6" s="1336"/>
      <c r="N6" s="3781" t="s">
        <v>9</v>
      </c>
      <c r="O6" s="3781"/>
      <c r="P6" s="3781"/>
      <c r="Q6" s="3781"/>
      <c r="R6" s="3781"/>
      <c r="S6" s="3781"/>
      <c r="T6" s="3781"/>
      <c r="U6" s="3781"/>
      <c r="V6" s="3781"/>
      <c r="W6" s="3781"/>
      <c r="X6" s="3781"/>
      <c r="Y6" s="3781"/>
      <c r="Z6" s="3781"/>
      <c r="AA6" s="3781"/>
      <c r="AB6" s="3781"/>
      <c r="AC6" s="3781"/>
      <c r="AD6" s="3781"/>
      <c r="AE6" s="3781"/>
      <c r="AF6" s="3781"/>
      <c r="AG6" s="3781"/>
      <c r="AH6" s="3781"/>
      <c r="AI6" s="3781"/>
      <c r="AJ6" s="3781"/>
      <c r="AK6" s="3781"/>
      <c r="AL6" s="3781"/>
      <c r="AM6" s="3781"/>
      <c r="AN6" s="3781"/>
      <c r="AO6" s="3781"/>
      <c r="AP6" s="3781"/>
      <c r="AQ6" s="3781"/>
      <c r="AR6" s="3781"/>
      <c r="AS6" s="3781"/>
      <c r="AT6" s="3781"/>
      <c r="AU6" s="3781"/>
      <c r="AV6" s="3781"/>
      <c r="AW6" s="3781"/>
      <c r="AX6" s="3781"/>
      <c r="AY6" s="3781"/>
      <c r="AZ6" s="3781"/>
      <c r="BA6" s="3781"/>
      <c r="BB6" s="3781"/>
      <c r="BC6" s="3781"/>
      <c r="BD6" s="3781"/>
      <c r="BE6" s="3781"/>
      <c r="BF6" s="3781"/>
      <c r="BG6" s="3781"/>
      <c r="BH6" s="3781"/>
      <c r="BI6" s="3781"/>
      <c r="BJ6" s="3781"/>
      <c r="BK6" s="3781"/>
      <c r="BL6" s="3781"/>
      <c r="BM6" s="3781"/>
      <c r="BN6" s="3781"/>
      <c r="BO6" s="3781"/>
    </row>
    <row r="7" spans="1:283" ht="15" x14ac:dyDescent="0.2">
      <c r="A7" s="3780"/>
      <c r="B7" s="3780"/>
      <c r="C7" s="3780"/>
      <c r="D7" s="3780"/>
      <c r="E7" s="3780"/>
      <c r="F7" s="3780"/>
      <c r="G7" s="3780"/>
      <c r="H7" s="3780"/>
      <c r="I7" s="3780"/>
      <c r="J7" s="3780"/>
      <c r="K7" s="2249"/>
      <c r="L7" s="1337"/>
      <c r="M7" s="1337"/>
      <c r="N7" s="3218"/>
      <c r="O7" s="3219"/>
      <c r="P7" s="3219"/>
      <c r="Q7" s="3219"/>
      <c r="R7" s="3219"/>
      <c r="S7" s="3219"/>
      <c r="T7" s="3219"/>
      <c r="U7" s="3219"/>
      <c r="V7" s="3219"/>
      <c r="W7" s="3219"/>
      <c r="X7" s="3220"/>
      <c r="Y7" s="3218" t="s">
        <v>449</v>
      </c>
      <c r="Z7" s="3219"/>
      <c r="AA7" s="3219"/>
      <c r="AB7" s="3219"/>
      <c r="AC7" s="3219"/>
      <c r="AD7" s="3219"/>
      <c r="AE7" s="3219"/>
      <c r="AF7" s="3219"/>
      <c r="AG7" s="3219"/>
      <c r="AH7" s="3219"/>
      <c r="AI7" s="3219"/>
      <c r="AJ7" s="3219"/>
      <c r="AK7" s="3219"/>
      <c r="AL7" s="3219"/>
      <c r="AM7" s="3219"/>
      <c r="AN7" s="3219"/>
      <c r="AO7" s="3219"/>
      <c r="AP7" s="3219"/>
      <c r="AQ7" s="3219"/>
      <c r="AR7" s="3219"/>
      <c r="AS7" s="3219"/>
      <c r="AT7" s="3219"/>
      <c r="AU7" s="3219"/>
      <c r="AV7" s="3219"/>
      <c r="AW7" s="3219"/>
      <c r="AX7" s="3219"/>
      <c r="AY7" s="3219"/>
      <c r="AZ7" s="3219"/>
      <c r="BA7" s="3219"/>
      <c r="BB7" s="3219"/>
      <c r="BC7" s="3219"/>
      <c r="BD7" s="2250"/>
      <c r="BE7" s="2250"/>
      <c r="BF7" s="2250"/>
      <c r="BG7" s="2250"/>
      <c r="BH7" s="2250"/>
      <c r="BI7" s="2250"/>
      <c r="BJ7" s="2250"/>
      <c r="BK7" s="3218"/>
      <c r="BL7" s="3219"/>
      <c r="BM7" s="3219"/>
      <c r="BN7" s="3219"/>
      <c r="BO7" s="3220"/>
    </row>
    <row r="8" spans="1:283" ht="25.5" customHeight="1" x14ac:dyDescent="0.2">
      <c r="A8" s="4444" t="s">
        <v>10</v>
      </c>
      <c r="B8" s="4444" t="s">
        <v>11</v>
      </c>
      <c r="C8" s="4444" t="s">
        <v>10</v>
      </c>
      <c r="D8" s="4444" t="s">
        <v>12</v>
      </c>
      <c r="E8" s="4444" t="s">
        <v>10</v>
      </c>
      <c r="F8" s="4444" t="s">
        <v>13</v>
      </c>
      <c r="G8" s="4444" t="s">
        <v>10</v>
      </c>
      <c r="H8" s="4444" t="s">
        <v>14</v>
      </c>
      <c r="I8" s="4444" t="s">
        <v>15</v>
      </c>
      <c r="J8" s="4444" t="s">
        <v>16</v>
      </c>
      <c r="K8" s="4444"/>
      <c r="L8" s="4444" t="s">
        <v>17</v>
      </c>
      <c r="M8" s="4444" t="s">
        <v>18</v>
      </c>
      <c r="N8" s="4444" t="s">
        <v>9</v>
      </c>
      <c r="O8" s="4444" t="s">
        <v>19</v>
      </c>
      <c r="P8" s="4445" t="s">
        <v>20</v>
      </c>
      <c r="Q8" s="4444" t="s">
        <v>21</v>
      </c>
      <c r="R8" s="4444" t="s">
        <v>22</v>
      </c>
      <c r="S8" s="4444" t="s">
        <v>23</v>
      </c>
      <c r="T8" s="4445" t="s">
        <v>20</v>
      </c>
      <c r="U8" s="4445"/>
      <c r="V8" s="4445"/>
      <c r="W8" s="4450" t="s">
        <v>10</v>
      </c>
      <c r="X8" s="4450" t="s">
        <v>24</v>
      </c>
      <c r="Y8" s="4446" t="s">
        <v>25</v>
      </c>
      <c r="Z8" s="4447"/>
      <c r="AA8" s="4447"/>
      <c r="AB8" s="4448"/>
      <c r="AC8" s="4446" t="s">
        <v>26</v>
      </c>
      <c r="AD8" s="4447"/>
      <c r="AE8" s="4447"/>
      <c r="AF8" s="4447"/>
      <c r="AG8" s="4447"/>
      <c r="AH8" s="4447"/>
      <c r="AI8" s="4447"/>
      <c r="AJ8" s="4448"/>
      <c r="AK8" s="4446" t="s">
        <v>27</v>
      </c>
      <c r="AL8" s="4447"/>
      <c r="AM8" s="4447"/>
      <c r="AN8" s="4447"/>
      <c r="AO8" s="4447"/>
      <c r="AP8" s="4447"/>
      <c r="AQ8" s="4447"/>
      <c r="AR8" s="4447"/>
      <c r="AS8" s="4447"/>
      <c r="AT8" s="4447"/>
      <c r="AU8" s="4447"/>
      <c r="AV8" s="4448"/>
      <c r="AW8" s="4446" t="s">
        <v>28</v>
      </c>
      <c r="AX8" s="4447"/>
      <c r="AY8" s="4447"/>
      <c r="AZ8" s="4447"/>
      <c r="BA8" s="4447"/>
      <c r="BB8" s="4448"/>
      <c r="BC8" s="4433" t="s">
        <v>29</v>
      </c>
      <c r="BD8" s="4434"/>
      <c r="BE8" s="4437" t="s">
        <v>30</v>
      </c>
      <c r="BF8" s="4437"/>
      <c r="BG8" s="4437"/>
      <c r="BH8" s="4437"/>
      <c r="BI8" s="4437"/>
      <c r="BJ8" s="4437"/>
      <c r="BK8" s="4438" t="s">
        <v>31</v>
      </c>
      <c r="BL8" s="4438"/>
      <c r="BM8" s="4438" t="s">
        <v>32</v>
      </c>
      <c r="BN8" s="4438"/>
      <c r="BO8" s="4439" t="s">
        <v>33</v>
      </c>
    </row>
    <row r="9" spans="1:283" ht="127.5" customHeight="1" x14ac:dyDescent="0.2">
      <c r="A9" s="4444"/>
      <c r="B9" s="4444"/>
      <c r="C9" s="4444"/>
      <c r="D9" s="4444"/>
      <c r="E9" s="4444"/>
      <c r="F9" s="4444"/>
      <c r="G9" s="4444"/>
      <c r="H9" s="4444"/>
      <c r="I9" s="4444"/>
      <c r="J9" s="4444"/>
      <c r="K9" s="4444"/>
      <c r="L9" s="4444"/>
      <c r="M9" s="4444"/>
      <c r="N9" s="4444"/>
      <c r="O9" s="4444"/>
      <c r="P9" s="4445"/>
      <c r="Q9" s="4444"/>
      <c r="R9" s="4444"/>
      <c r="S9" s="4444"/>
      <c r="T9" s="4445"/>
      <c r="U9" s="4445"/>
      <c r="V9" s="4445"/>
      <c r="W9" s="4451"/>
      <c r="X9" s="4451"/>
      <c r="Y9" s="4442" t="s">
        <v>37</v>
      </c>
      <c r="Z9" s="4443"/>
      <c r="AA9" s="4442" t="s">
        <v>38</v>
      </c>
      <c r="AB9" s="4443"/>
      <c r="AC9" s="4442" t="s">
        <v>39</v>
      </c>
      <c r="AD9" s="4443"/>
      <c r="AE9" s="4442" t="s">
        <v>40</v>
      </c>
      <c r="AF9" s="4443"/>
      <c r="AG9" s="4442" t="s">
        <v>754</v>
      </c>
      <c r="AH9" s="4443"/>
      <c r="AI9" s="4442" t="s">
        <v>42</v>
      </c>
      <c r="AJ9" s="4443"/>
      <c r="AK9" s="4442" t="s">
        <v>43</v>
      </c>
      <c r="AL9" s="4443"/>
      <c r="AM9" s="4442" t="s">
        <v>44</v>
      </c>
      <c r="AN9" s="4443"/>
      <c r="AO9" s="4442" t="s">
        <v>45</v>
      </c>
      <c r="AP9" s="4443"/>
      <c r="AQ9" s="4442" t="s">
        <v>46</v>
      </c>
      <c r="AR9" s="4443"/>
      <c r="AS9" s="4442" t="s">
        <v>1621</v>
      </c>
      <c r="AT9" s="4443"/>
      <c r="AU9" s="4442" t="s">
        <v>48</v>
      </c>
      <c r="AV9" s="4443"/>
      <c r="AW9" s="4442" t="s">
        <v>49</v>
      </c>
      <c r="AX9" s="4443"/>
      <c r="AY9" s="4442" t="s">
        <v>2264</v>
      </c>
      <c r="AZ9" s="4443"/>
      <c r="BA9" s="4449" t="s">
        <v>51</v>
      </c>
      <c r="BB9" s="4436"/>
      <c r="BC9" s="4435"/>
      <c r="BD9" s="4436"/>
      <c r="BE9" s="2700" t="s">
        <v>52</v>
      </c>
      <c r="BF9" s="2701" t="s">
        <v>53</v>
      </c>
      <c r="BG9" s="2700" t="s">
        <v>54</v>
      </c>
      <c r="BH9" s="2778" t="s">
        <v>55</v>
      </c>
      <c r="BI9" s="2700" t="s">
        <v>56</v>
      </c>
      <c r="BJ9" s="2700" t="s">
        <v>57</v>
      </c>
      <c r="BK9" s="4438"/>
      <c r="BL9" s="4438"/>
      <c r="BM9" s="4438"/>
      <c r="BN9" s="4438"/>
      <c r="BO9" s="4440"/>
    </row>
    <row r="10" spans="1:283" ht="27" customHeight="1" x14ac:dyDescent="0.2">
      <c r="A10" s="4444"/>
      <c r="B10" s="4444"/>
      <c r="C10" s="4444"/>
      <c r="D10" s="4444"/>
      <c r="E10" s="4444"/>
      <c r="F10" s="4444"/>
      <c r="G10" s="4444"/>
      <c r="H10" s="4444"/>
      <c r="I10" s="4444"/>
      <c r="J10" s="1794" t="s">
        <v>58</v>
      </c>
      <c r="K10" s="2251" t="s">
        <v>59</v>
      </c>
      <c r="L10" s="4444"/>
      <c r="M10" s="4444"/>
      <c r="N10" s="4444"/>
      <c r="O10" s="4444"/>
      <c r="P10" s="4445"/>
      <c r="Q10" s="4444"/>
      <c r="R10" s="4444"/>
      <c r="S10" s="4444"/>
      <c r="T10" s="20" t="s">
        <v>34</v>
      </c>
      <c r="U10" s="20" t="s">
        <v>35</v>
      </c>
      <c r="V10" s="20" t="s">
        <v>36</v>
      </c>
      <c r="W10" s="4452"/>
      <c r="X10" s="4452"/>
      <c r="Y10" s="1794" t="s">
        <v>58</v>
      </c>
      <c r="Z10" s="1794" t="s">
        <v>59</v>
      </c>
      <c r="AA10" s="1794" t="s">
        <v>58</v>
      </c>
      <c r="AB10" s="1794" t="s">
        <v>59</v>
      </c>
      <c r="AC10" s="1794" t="s">
        <v>58</v>
      </c>
      <c r="AD10" s="1794" t="s">
        <v>59</v>
      </c>
      <c r="AE10" s="1794" t="s">
        <v>58</v>
      </c>
      <c r="AF10" s="1794" t="s">
        <v>59</v>
      </c>
      <c r="AG10" s="1794" t="s">
        <v>58</v>
      </c>
      <c r="AH10" s="1794" t="s">
        <v>59</v>
      </c>
      <c r="AI10" s="1794" t="s">
        <v>58</v>
      </c>
      <c r="AJ10" s="1794" t="s">
        <v>59</v>
      </c>
      <c r="AK10" s="1794" t="s">
        <v>58</v>
      </c>
      <c r="AL10" s="1794" t="s">
        <v>59</v>
      </c>
      <c r="AM10" s="1794" t="s">
        <v>58</v>
      </c>
      <c r="AN10" s="1794" t="s">
        <v>59</v>
      </c>
      <c r="AO10" s="1794" t="s">
        <v>58</v>
      </c>
      <c r="AP10" s="1794" t="s">
        <v>59</v>
      </c>
      <c r="AQ10" s="1794" t="s">
        <v>58</v>
      </c>
      <c r="AR10" s="1794" t="s">
        <v>59</v>
      </c>
      <c r="AS10" s="1794" t="s">
        <v>58</v>
      </c>
      <c r="AT10" s="1794" t="s">
        <v>59</v>
      </c>
      <c r="AU10" s="1794" t="s">
        <v>58</v>
      </c>
      <c r="AV10" s="1794" t="s">
        <v>59</v>
      </c>
      <c r="AW10" s="1794" t="s">
        <v>58</v>
      </c>
      <c r="AX10" s="1794" t="s">
        <v>59</v>
      </c>
      <c r="AY10" s="1794" t="s">
        <v>58</v>
      </c>
      <c r="AZ10" s="1794" t="s">
        <v>59</v>
      </c>
      <c r="BA10" s="1794" t="s">
        <v>58</v>
      </c>
      <c r="BB10" s="1794" t="s">
        <v>59</v>
      </c>
      <c r="BC10" s="1794" t="s">
        <v>58</v>
      </c>
      <c r="BD10" s="1794" t="s">
        <v>59</v>
      </c>
      <c r="BE10" s="2700"/>
      <c r="BF10" s="2701"/>
      <c r="BG10" s="2700"/>
      <c r="BH10" s="2778"/>
      <c r="BI10" s="2700"/>
      <c r="BJ10" s="2700"/>
      <c r="BK10" s="1794" t="s">
        <v>58</v>
      </c>
      <c r="BL10" s="1794" t="s">
        <v>59</v>
      </c>
      <c r="BM10" s="1794" t="s">
        <v>58</v>
      </c>
      <c r="BN10" s="1794" t="s">
        <v>59</v>
      </c>
      <c r="BO10" s="4441"/>
    </row>
    <row r="11" spans="1:283" ht="15" x14ac:dyDescent="0.2">
      <c r="A11" s="2252">
        <v>3</v>
      </c>
      <c r="B11" s="2253" t="s">
        <v>115</v>
      </c>
      <c r="C11" s="2254"/>
      <c r="D11" s="2254"/>
      <c r="E11" s="2254"/>
      <c r="F11" s="2254"/>
      <c r="G11" s="2254"/>
      <c r="H11" s="2255"/>
      <c r="I11" s="2255"/>
      <c r="J11" s="2254"/>
      <c r="K11" s="2256"/>
      <c r="L11" s="2254"/>
      <c r="M11" s="2254"/>
      <c r="N11" s="2255"/>
      <c r="O11" s="2254"/>
      <c r="P11" s="2254"/>
      <c r="Q11" s="2255"/>
      <c r="R11" s="2255"/>
      <c r="S11" s="2255"/>
      <c r="T11" s="2255"/>
      <c r="U11" s="2255"/>
      <c r="V11" s="2255"/>
      <c r="W11" s="2257"/>
      <c r="X11" s="2255"/>
      <c r="Y11" s="2254"/>
      <c r="Z11" s="2254"/>
      <c r="AA11" s="2254"/>
      <c r="AB11" s="2254"/>
      <c r="AC11" s="2254"/>
      <c r="AD11" s="2254"/>
      <c r="AE11" s="2254"/>
      <c r="AF11" s="2254"/>
      <c r="AG11" s="2254"/>
      <c r="AH11" s="2254"/>
      <c r="AI11" s="2254"/>
      <c r="AJ11" s="2254"/>
      <c r="AK11" s="2254"/>
      <c r="AL11" s="2254"/>
      <c r="AM11" s="2254"/>
      <c r="AN11" s="2254"/>
      <c r="AO11" s="2254"/>
      <c r="AP11" s="2254"/>
      <c r="AQ11" s="2254"/>
      <c r="AR11" s="2254"/>
      <c r="AS11" s="2254"/>
      <c r="AT11" s="2254"/>
      <c r="AU11" s="2254"/>
      <c r="AV11" s="2254"/>
      <c r="AW11" s="2254"/>
      <c r="AX11" s="2254"/>
      <c r="AY11" s="2254"/>
      <c r="AZ11" s="2254"/>
      <c r="BA11" s="2254"/>
      <c r="BB11" s="2254"/>
      <c r="BC11" s="2254"/>
      <c r="BD11" s="2254"/>
      <c r="BE11" s="2254"/>
      <c r="BF11" s="2254"/>
      <c r="BG11" s="2254"/>
      <c r="BH11" s="2254"/>
      <c r="BI11" s="2254"/>
      <c r="BJ11" s="2254"/>
      <c r="BK11" s="2254"/>
      <c r="BL11" s="2254"/>
      <c r="BM11" s="2254"/>
      <c r="BN11" s="2254"/>
      <c r="BO11" s="2258"/>
    </row>
    <row r="12" spans="1:283" ht="15" x14ac:dyDescent="0.2">
      <c r="A12" s="2259"/>
      <c r="B12" s="2260"/>
      <c r="C12" s="2261">
        <v>16</v>
      </c>
      <c r="D12" s="2262" t="s">
        <v>434</v>
      </c>
      <c r="E12" s="2263"/>
      <c r="F12" s="2263"/>
      <c r="G12" s="2263"/>
      <c r="H12" s="2264"/>
      <c r="I12" s="2264"/>
      <c r="J12" s="2263"/>
      <c r="K12" s="2265"/>
      <c r="L12" s="2263"/>
      <c r="M12" s="2263"/>
      <c r="N12" s="2264"/>
      <c r="O12" s="2263"/>
      <c r="P12" s="2263"/>
      <c r="Q12" s="2264"/>
      <c r="R12" s="2264"/>
      <c r="S12" s="2264"/>
      <c r="T12" s="2263"/>
      <c r="U12" s="2263"/>
      <c r="V12" s="2263"/>
      <c r="W12" s="2266"/>
      <c r="X12" s="2264"/>
      <c r="Y12" s="2263"/>
      <c r="Z12" s="2263"/>
      <c r="AA12" s="2263"/>
      <c r="AB12" s="2263"/>
      <c r="AC12" s="2263"/>
      <c r="AD12" s="2263"/>
      <c r="AE12" s="2263"/>
      <c r="AF12" s="2263"/>
      <c r="AG12" s="2263"/>
      <c r="AH12" s="2263"/>
      <c r="AI12" s="2263"/>
      <c r="AJ12" s="2263"/>
      <c r="AK12" s="2263"/>
      <c r="AL12" s="2263"/>
      <c r="AM12" s="2263"/>
      <c r="AN12" s="2263"/>
      <c r="AO12" s="2263"/>
      <c r="AP12" s="2263"/>
      <c r="AQ12" s="2263"/>
      <c r="AR12" s="2263"/>
      <c r="AS12" s="2263"/>
      <c r="AT12" s="2263"/>
      <c r="AU12" s="2263"/>
      <c r="AV12" s="2263"/>
      <c r="AW12" s="2263"/>
      <c r="AX12" s="2263"/>
      <c r="AY12" s="2263"/>
      <c r="AZ12" s="2263"/>
      <c r="BA12" s="2263"/>
      <c r="BB12" s="2263"/>
      <c r="BC12" s="2263"/>
      <c r="BD12" s="2263"/>
      <c r="BE12" s="2263"/>
      <c r="BF12" s="2263"/>
      <c r="BG12" s="2263"/>
      <c r="BH12" s="2263"/>
      <c r="BI12" s="2263"/>
      <c r="BJ12" s="2263"/>
      <c r="BK12" s="2263"/>
      <c r="BL12" s="2263"/>
      <c r="BM12" s="2263"/>
      <c r="BN12" s="2263"/>
      <c r="BO12" s="2267"/>
    </row>
    <row r="13" spans="1:283" ht="15" x14ac:dyDescent="0.2">
      <c r="A13" s="2259"/>
      <c r="B13" s="2260"/>
      <c r="C13" s="2268"/>
      <c r="D13" s="2260"/>
      <c r="E13" s="2269">
        <v>56</v>
      </c>
      <c r="F13" s="2270" t="s">
        <v>2265</v>
      </c>
      <c r="G13" s="2271"/>
      <c r="H13" s="2272"/>
      <c r="I13" s="2272"/>
      <c r="J13" s="2271"/>
      <c r="K13" s="2273"/>
      <c r="L13" s="2271"/>
      <c r="M13" s="2271"/>
      <c r="N13" s="2272"/>
      <c r="O13" s="2271"/>
      <c r="P13" s="2271"/>
      <c r="Q13" s="2272"/>
      <c r="R13" s="2272"/>
      <c r="S13" s="2272"/>
      <c r="T13" s="2271"/>
      <c r="U13" s="2271"/>
      <c r="V13" s="2271"/>
      <c r="W13" s="2274"/>
      <c r="X13" s="2272"/>
      <c r="Y13" s="2271"/>
      <c r="Z13" s="2271"/>
      <c r="AA13" s="2271"/>
      <c r="AB13" s="2271"/>
      <c r="AC13" s="2271"/>
      <c r="AD13" s="2271"/>
      <c r="AE13" s="2271"/>
      <c r="AF13" s="2271"/>
      <c r="AG13" s="2271"/>
      <c r="AH13" s="2271"/>
      <c r="AI13" s="2271"/>
      <c r="AJ13" s="2271"/>
      <c r="AK13" s="2271"/>
      <c r="AL13" s="2271"/>
      <c r="AM13" s="2271"/>
      <c r="AN13" s="2271"/>
      <c r="AO13" s="2271"/>
      <c r="AP13" s="2271"/>
      <c r="AQ13" s="2271"/>
      <c r="AR13" s="2271"/>
      <c r="AS13" s="2271"/>
      <c r="AT13" s="2271"/>
      <c r="AU13" s="2271"/>
      <c r="AV13" s="2271"/>
      <c r="AW13" s="2271"/>
      <c r="AX13" s="2271"/>
      <c r="AY13" s="2271"/>
      <c r="AZ13" s="2271"/>
      <c r="BA13" s="2271"/>
      <c r="BB13" s="2271"/>
      <c r="BC13" s="2271"/>
      <c r="BD13" s="2271"/>
      <c r="BE13" s="2271"/>
      <c r="BF13" s="2271"/>
      <c r="BG13" s="2271"/>
      <c r="BH13" s="2271"/>
      <c r="BI13" s="2271"/>
      <c r="BJ13" s="2271"/>
      <c r="BK13" s="2271"/>
      <c r="BL13" s="2271"/>
      <c r="BM13" s="2271"/>
      <c r="BN13" s="2271"/>
      <c r="BO13" s="2275"/>
    </row>
    <row r="14" spans="1:283" ht="48.75" customHeight="1" x14ac:dyDescent="0.2">
      <c r="A14" s="2259"/>
      <c r="B14" s="2260"/>
      <c r="C14" s="2268"/>
      <c r="D14" s="2260"/>
      <c r="E14" s="4432"/>
      <c r="F14" s="4312"/>
      <c r="G14" s="2977">
        <v>180</v>
      </c>
      <c r="H14" s="3810" t="s">
        <v>2266</v>
      </c>
      <c r="I14" s="3810" t="s">
        <v>2267</v>
      </c>
      <c r="J14" s="3165">
        <v>1</v>
      </c>
      <c r="K14" s="4313">
        <v>0.5</v>
      </c>
      <c r="L14" s="4337" t="s">
        <v>2268</v>
      </c>
      <c r="M14" s="4414" t="s">
        <v>2269</v>
      </c>
      <c r="N14" s="3823" t="s">
        <v>2270</v>
      </c>
      <c r="O14" s="3461">
        <f>SUM(T14:T17)/P14</f>
        <v>0.69789227166276346</v>
      </c>
      <c r="P14" s="3415">
        <f>SUM(T14:T21)</f>
        <v>64050000</v>
      </c>
      <c r="Q14" s="3810" t="s">
        <v>2271</v>
      </c>
      <c r="R14" s="2834" t="s">
        <v>2272</v>
      </c>
      <c r="S14" s="1232" t="s">
        <v>2273</v>
      </c>
      <c r="T14" s="2276">
        <v>28960000</v>
      </c>
      <c r="U14" s="1315">
        <v>21686275</v>
      </c>
      <c r="V14" s="1315">
        <v>0</v>
      </c>
      <c r="W14" s="882" t="s">
        <v>682</v>
      </c>
      <c r="X14" s="882" t="s">
        <v>697</v>
      </c>
      <c r="Y14" s="4423">
        <v>1813</v>
      </c>
      <c r="Z14" s="4423">
        <v>404</v>
      </c>
      <c r="AA14" s="4423">
        <v>1887</v>
      </c>
      <c r="AB14" s="4423">
        <v>230</v>
      </c>
      <c r="AC14" s="3878">
        <v>2000</v>
      </c>
      <c r="AD14" s="3878">
        <v>167</v>
      </c>
      <c r="AE14" s="3878">
        <v>700</v>
      </c>
      <c r="AF14" s="3878"/>
      <c r="AG14" s="3878">
        <v>1000</v>
      </c>
      <c r="AH14" s="3878">
        <v>467</v>
      </c>
      <c r="AI14" s="3878"/>
      <c r="AJ14" s="3878"/>
      <c r="AK14" s="3878"/>
      <c r="AL14" s="3878"/>
      <c r="AM14" s="3878"/>
      <c r="AN14" s="3878"/>
      <c r="AO14" s="3878"/>
      <c r="AP14" s="3878"/>
      <c r="AQ14" s="3878"/>
      <c r="AR14" s="3878"/>
      <c r="AS14" s="3878"/>
      <c r="AT14" s="3878"/>
      <c r="AU14" s="3878"/>
      <c r="AV14" s="3878"/>
      <c r="AW14" s="3878"/>
      <c r="AX14" s="3878"/>
      <c r="AY14" s="3878"/>
      <c r="AZ14" s="3878"/>
      <c r="BA14" s="3878"/>
      <c r="BB14" s="3878"/>
      <c r="BC14" s="3878">
        <v>3700</v>
      </c>
      <c r="BD14" s="3878">
        <v>634</v>
      </c>
      <c r="BE14" s="3878">
        <v>2</v>
      </c>
      <c r="BF14" s="4426">
        <v>50601275</v>
      </c>
      <c r="BG14" s="4429">
        <v>17764000</v>
      </c>
      <c r="BH14" s="3461">
        <f>+BG14/BF14</f>
        <v>0.35105834783807327</v>
      </c>
      <c r="BI14" s="3165" t="s">
        <v>1462</v>
      </c>
      <c r="BJ14" s="3165" t="s">
        <v>2274</v>
      </c>
      <c r="BK14" s="3170">
        <v>43467</v>
      </c>
      <c r="BL14" s="3170">
        <v>43467</v>
      </c>
      <c r="BM14" s="3170">
        <v>43830</v>
      </c>
      <c r="BN14" s="3170">
        <v>43830</v>
      </c>
      <c r="BO14" s="2977" t="s">
        <v>2275</v>
      </c>
    </row>
    <row r="15" spans="1:283" ht="51.75" customHeight="1" x14ac:dyDescent="0.2">
      <c r="A15" s="2259"/>
      <c r="B15" s="2260"/>
      <c r="C15" s="2268"/>
      <c r="D15" s="2260"/>
      <c r="E15" s="4278"/>
      <c r="F15" s="4302"/>
      <c r="G15" s="2966"/>
      <c r="H15" s="3823"/>
      <c r="I15" s="3823"/>
      <c r="J15" s="3207"/>
      <c r="K15" s="4313"/>
      <c r="L15" s="4338"/>
      <c r="M15" s="4415"/>
      <c r="N15" s="3823"/>
      <c r="O15" s="3462"/>
      <c r="P15" s="3415"/>
      <c r="Q15" s="3823"/>
      <c r="R15" s="2923"/>
      <c r="S15" s="1259" t="s">
        <v>2276</v>
      </c>
      <c r="T15" s="2276">
        <v>3500000</v>
      </c>
      <c r="U15" s="1315">
        <v>2600000</v>
      </c>
      <c r="V15" s="1315">
        <v>2600000</v>
      </c>
      <c r="W15" s="882" t="s">
        <v>682</v>
      </c>
      <c r="X15" s="882" t="s">
        <v>697</v>
      </c>
      <c r="Y15" s="4424"/>
      <c r="Z15" s="4424"/>
      <c r="AA15" s="4424"/>
      <c r="AB15" s="4424"/>
      <c r="AC15" s="3840"/>
      <c r="AD15" s="3840"/>
      <c r="AE15" s="3840"/>
      <c r="AF15" s="3840"/>
      <c r="AG15" s="3840"/>
      <c r="AH15" s="3840"/>
      <c r="AI15" s="3840"/>
      <c r="AJ15" s="3840"/>
      <c r="AK15" s="3840"/>
      <c r="AL15" s="3840"/>
      <c r="AM15" s="3840"/>
      <c r="AN15" s="3840"/>
      <c r="AO15" s="3840"/>
      <c r="AP15" s="3840"/>
      <c r="AQ15" s="3840"/>
      <c r="AR15" s="3840"/>
      <c r="AS15" s="3840"/>
      <c r="AT15" s="3840"/>
      <c r="AU15" s="3840"/>
      <c r="AV15" s="3840"/>
      <c r="AW15" s="3840"/>
      <c r="AX15" s="3840"/>
      <c r="AY15" s="3840"/>
      <c r="AZ15" s="3840"/>
      <c r="BA15" s="3840"/>
      <c r="BB15" s="3840"/>
      <c r="BC15" s="3840"/>
      <c r="BD15" s="3840"/>
      <c r="BE15" s="3840"/>
      <c r="BF15" s="4427"/>
      <c r="BG15" s="4430"/>
      <c r="BH15" s="3462"/>
      <c r="BI15" s="3207"/>
      <c r="BJ15" s="3207"/>
      <c r="BK15" s="3170"/>
      <c r="BL15" s="3170"/>
      <c r="BM15" s="3170"/>
      <c r="BN15" s="3170"/>
      <c r="BO15" s="2966"/>
    </row>
    <row r="16" spans="1:283" ht="63.75" customHeight="1" x14ac:dyDescent="0.2">
      <c r="A16" s="2259"/>
      <c r="B16" s="2260"/>
      <c r="C16" s="2268"/>
      <c r="D16" s="2260"/>
      <c r="E16" s="4278"/>
      <c r="F16" s="4302"/>
      <c r="G16" s="2966"/>
      <c r="H16" s="3823"/>
      <c r="I16" s="3823"/>
      <c r="J16" s="3207"/>
      <c r="K16" s="4313"/>
      <c r="L16" s="4338"/>
      <c r="M16" s="4415"/>
      <c r="N16" s="3823"/>
      <c r="O16" s="3462"/>
      <c r="P16" s="3415"/>
      <c r="Q16" s="3823"/>
      <c r="R16" s="2923"/>
      <c r="S16" s="1232" t="s">
        <v>2277</v>
      </c>
      <c r="T16" s="2276">
        <v>4280000</v>
      </c>
      <c r="U16" s="1315">
        <v>2000000</v>
      </c>
      <c r="V16" s="1315">
        <v>2000000</v>
      </c>
      <c r="W16" s="882" t="s">
        <v>682</v>
      </c>
      <c r="X16" s="882" t="s">
        <v>697</v>
      </c>
      <c r="Y16" s="4424"/>
      <c r="Z16" s="4424"/>
      <c r="AA16" s="4424"/>
      <c r="AB16" s="4424"/>
      <c r="AC16" s="3840"/>
      <c r="AD16" s="3840"/>
      <c r="AE16" s="3840"/>
      <c r="AF16" s="3840"/>
      <c r="AG16" s="3840"/>
      <c r="AH16" s="3840"/>
      <c r="AI16" s="3840"/>
      <c r="AJ16" s="3840"/>
      <c r="AK16" s="3840"/>
      <c r="AL16" s="3840"/>
      <c r="AM16" s="3840"/>
      <c r="AN16" s="3840"/>
      <c r="AO16" s="3840"/>
      <c r="AP16" s="3840"/>
      <c r="AQ16" s="3840"/>
      <c r="AR16" s="3840"/>
      <c r="AS16" s="3840"/>
      <c r="AT16" s="3840"/>
      <c r="AU16" s="3840"/>
      <c r="AV16" s="3840"/>
      <c r="AW16" s="3840"/>
      <c r="AX16" s="3840"/>
      <c r="AY16" s="3840"/>
      <c r="AZ16" s="3840"/>
      <c r="BA16" s="3840"/>
      <c r="BB16" s="3840"/>
      <c r="BC16" s="3840"/>
      <c r="BD16" s="3840"/>
      <c r="BE16" s="3840"/>
      <c r="BF16" s="4427"/>
      <c r="BG16" s="4430"/>
      <c r="BH16" s="3462"/>
      <c r="BI16" s="3207"/>
      <c r="BJ16" s="3207"/>
      <c r="BK16" s="3170"/>
      <c r="BL16" s="3170"/>
      <c r="BM16" s="3170"/>
      <c r="BN16" s="3170"/>
      <c r="BO16" s="2966"/>
    </row>
    <row r="17" spans="1:72" ht="66" customHeight="1" x14ac:dyDescent="0.2">
      <c r="A17" s="2259"/>
      <c r="B17" s="2260"/>
      <c r="C17" s="2268"/>
      <c r="D17" s="2260"/>
      <c r="E17" s="4278"/>
      <c r="F17" s="4302"/>
      <c r="G17" s="2967"/>
      <c r="H17" s="3811"/>
      <c r="I17" s="3811"/>
      <c r="J17" s="3179"/>
      <c r="K17" s="4313"/>
      <c r="L17" s="4338"/>
      <c r="M17" s="4415"/>
      <c r="N17" s="3823"/>
      <c r="O17" s="3466"/>
      <c r="P17" s="3415"/>
      <c r="Q17" s="3823"/>
      <c r="R17" s="2835"/>
      <c r="S17" s="1232" t="s">
        <v>2278</v>
      </c>
      <c r="T17" s="2276">
        <v>7960000</v>
      </c>
      <c r="U17" s="1315">
        <v>7960000</v>
      </c>
      <c r="V17" s="1315">
        <v>2350000</v>
      </c>
      <c r="W17" s="882" t="s">
        <v>682</v>
      </c>
      <c r="X17" s="882" t="s">
        <v>697</v>
      </c>
      <c r="Y17" s="4424"/>
      <c r="Z17" s="4424"/>
      <c r="AA17" s="4424"/>
      <c r="AB17" s="4424"/>
      <c r="AC17" s="3840"/>
      <c r="AD17" s="3840"/>
      <c r="AE17" s="3840"/>
      <c r="AF17" s="3840"/>
      <c r="AG17" s="3840"/>
      <c r="AH17" s="3840"/>
      <c r="AI17" s="3840"/>
      <c r="AJ17" s="3840"/>
      <c r="AK17" s="3840"/>
      <c r="AL17" s="3840"/>
      <c r="AM17" s="3840"/>
      <c r="AN17" s="3840"/>
      <c r="AO17" s="3840"/>
      <c r="AP17" s="3840"/>
      <c r="AQ17" s="3840"/>
      <c r="AR17" s="3840"/>
      <c r="AS17" s="3840"/>
      <c r="AT17" s="3840"/>
      <c r="AU17" s="3840"/>
      <c r="AV17" s="3840"/>
      <c r="AW17" s="3840"/>
      <c r="AX17" s="3840"/>
      <c r="AY17" s="3840"/>
      <c r="AZ17" s="3840"/>
      <c r="BA17" s="3840"/>
      <c r="BB17" s="3840"/>
      <c r="BC17" s="3840"/>
      <c r="BD17" s="3840"/>
      <c r="BE17" s="3840"/>
      <c r="BF17" s="4427"/>
      <c r="BG17" s="4430"/>
      <c r="BH17" s="3462"/>
      <c r="BI17" s="3207"/>
      <c r="BJ17" s="3207"/>
      <c r="BK17" s="3170"/>
      <c r="BL17" s="3170"/>
      <c r="BM17" s="3170"/>
      <c r="BN17" s="3170"/>
      <c r="BO17" s="2966"/>
    </row>
    <row r="18" spans="1:72" ht="66" customHeight="1" x14ac:dyDescent="0.2">
      <c r="A18" s="2259"/>
      <c r="B18" s="2260"/>
      <c r="C18" s="2268"/>
      <c r="D18" s="2260"/>
      <c r="E18" s="4278"/>
      <c r="F18" s="4302"/>
      <c r="G18" s="2977">
        <v>181</v>
      </c>
      <c r="H18" s="3810" t="s">
        <v>2279</v>
      </c>
      <c r="I18" s="3810" t="s">
        <v>2280</v>
      </c>
      <c r="J18" s="3165">
        <v>6</v>
      </c>
      <c r="K18" s="4366">
        <v>6</v>
      </c>
      <c r="L18" s="4338"/>
      <c r="M18" s="4415"/>
      <c r="N18" s="3823"/>
      <c r="O18" s="3461">
        <f>SUM(T18:T21)/P14</f>
        <v>0.30210772833723654</v>
      </c>
      <c r="P18" s="3415"/>
      <c r="Q18" s="3823"/>
      <c r="R18" s="2834" t="s">
        <v>2281</v>
      </c>
      <c r="S18" s="1232" t="s">
        <v>2282</v>
      </c>
      <c r="T18" s="2276">
        <v>4750000</v>
      </c>
      <c r="U18" s="1315">
        <v>4300000</v>
      </c>
      <c r="V18" s="1315">
        <v>2009000</v>
      </c>
      <c r="W18" s="882" t="s">
        <v>682</v>
      </c>
      <c r="X18" s="882" t="s">
        <v>697</v>
      </c>
      <c r="Y18" s="4424"/>
      <c r="Z18" s="4424"/>
      <c r="AA18" s="4424"/>
      <c r="AB18" s="4424"/>
      <c r="AC18" s="3840"/>
      <c r="AD18" s="3840"/>
      <c r="AE18" s="3840"/>
      <c r="AF18" s="3840"/>
      <c r="AG18" s="3840"/>
      <c r="AH18" s="3840"/>
      <c r="AI18" s="3840"/>
      <c r="AJ18" s="3840"/>
      <c r="AK18" s="3840"/>
      <c r="AL18" s="3840"/>
      <c r="AM18" s="3840"/>
      <c r="AN18" s="3840"/>
      <c r="AO18" s="3840"/>
      <c r="AP18" s="3840"/>
      <c r="AQ18" s="3840"/>
      <c r="AR18" s="3840"/>
      <c r="AS18" s="3840"/>
      <c r="AT18" s="3840"/>
      <c r="AU18" s="3840"/>
      <c r="AV18" s="3840"/>
      <c r="AW18" s="3840"/>
      <c r="AX18" s="3840"/>
      <c r="AY18" s="3840"/>
      <c r="AZ18" s="3840"/>
      <c r="BA18" s="3840"/>
      <c r="BB18" s="3840"/>
      <c r="BC18" s="3840"/>
      <c r="BD18" s="3840"/>
      <c r="BE18" s="3840"/>
      <c r="BF18" s="4427"/>
      <c r="BG18" s="4430"/>
      <c r="BH18" s="3462"/>
      <c r="BI18" s="3207"/>
      <c r="BJ18" s="3207"/>
      <c r="BK18" s="3170"/>
      <c r="BL18" s="3170"/>
      <c r="BM18" s="3170"/>
      <c r="BN18" s="3170"/>
      <c r="BO18" s="2966"/>
      <c r="BP18" s="657"/>
      <c r="BQ18" s="657"/>
      <c r="BR18" s="657"/>
      <c r="BS18" s="657"/>
      <c r="BT18" s="657"/>
    </row>
    <row r="19" spans="1:72" ht="72" customHeight="1" x14ac:dyDescent="0.2">
      <c r="A19" s="2259"/>
      <c r="B19" s="2260"/>
      <c r="C19" s="2268"/>
      <c r="D19" s="2260"/>
      <c r="E19" s="4278"/>
      <c r="F19" s="4302"/>
      <c r="G19" s="2966"/>
      <c r="H19" s="3823"/>
      <c r="I19" s="3823"/>
      <c r="J19" s="3207"/>
      <c r="K19" s="4366"/>
      <c r="L19" s="4338"/>
      <c r="M19" s="4415"/>
      <c r="N19" s="3823"/>
      <c r="O19" s="3462"/>
      <c r="P19" s="3415"/>
      <c r="Q19" s="3823"/>
      <c r="R19" s="2923"/>
      <c r="S19" s="1232" t="s">
        <v>2283</v>
      </c>
      <c r="T19" s="2276">
        <v>5750000</v>
      </c>
      <c r="U19" s="1315">
        <v>5000000</v>
      </c>
      <c r="V19" s="1315">
        <v>4250000</v>
      </c>
      <c r="W19" s="882" t="s">
        <v>682</v>
      </c>
      <c r="X19" s="882" t="s">
        <v>697</v>
      </c>
      <c r="Y19" s="4424"/>
      <c r="Z19" s="4424"/>
      <c r="AA19" s="4424"/>
      <c r="AB19" s="4424"/>
      <c r="AC19" s="3840"/>
      <c r="AD19" s="3840"/>
      <c r="AE19" s="3840"/>
      <c r="AF19" s="3840"/>
      <c r="AG19" s="3840"/>
      <c r="AH19" s="3840"/>
      <c r="AI19" s="3840"/>
      <c r="AJ19" s="3840"/>
      <c r="AK19" s="3840"/>
      <c r="AL19" s="3840"/>
      <c r="AM19" s="3840"/>
      <c r="AN19" s="3840"/>
      <c r="AO19" s="3840"/>
      <c r="AP19" s="3840"/>
      <c r="AQ19" s="3840"/>
      <c r="AR19" s="3840"/>
      <c r="AS19" s="3840"/>
      <c r="AT19" s="3840"/>
      <c r="AU19" s="3840"/>
      <c r="AV19" s="3840"/>
      <c r="AW19" s="3840"/>
      <c r="AX19" s="3840"/>
      <c r="AY19" s="3840"/>
      <c r="AZ19" s="3840"/>
      <c r="BA19" s="3840"/>
      <c r="BB19" s="3840"/>
      <c r="BC19" s="3840"/>
      <c r="BD19" s="3840"/>
      <c r="BE19" s="3840"/>
      <c r="BF19" s="4427"/>
      <c r="BG19" s="4430"/>
      <c r="BH19" s="3462"/>
      <c r="BI19" s="3207"/>
      <c r="BJ19" s="3207"/>
      <c r="BK19" s="3170"/>
      <c r="BL19" s="3170"/>
      <c r="BM19" s="3170"/>
      <c r="BN19" s="3170"/>
      <c r="BO19" s="2966"/>
      <c r="BP19" s="657"/>
      <c r="BQ19" s="657"/>
      <c r="BR19" s="657"/>
      <c r="BS19" s="657"/>
      <c r="BT19" s="657"/>
    </row>
    <row r="20" spans="1:72" ht="66" customHeight="1" x14ac:dyDescent="0.2">
      <c r="A20" s="2259"/>
      <c r="B20" s="2260"/>
      <c r="C20" s="2268"/>
      <c r="D20" s="2260"/>
      <c r="E20" s="4278"/>
      <c r="F20" s="4302"/>
      <c r="G20" s="2966"/>
      <c r="H20" s="3823"/>
      <c r="I20" s="3823"/>
      <c r="J20" s="3207"/>
      <c r="K20" s="4366"/>
      <c r="L20" s="4338"/>
      <c r="M20" s="4415"/>
      <c r="N20" s="3823"/>
      <c r="O20" s="3462"/>
      <c r="P20" s="3415"/>
      <c r="Q20" s="3823"/>
      <c r="R20" s="2923"/>
      <c r="S20" s="1232" t="s">
        <v>2284</v>
      </c>
      <c r="T20" s="2276">
        <v>4750000</v>
      </c>
      <c r="U20" s="1315">
        <v>3500000</v>
      </c>
      <c r="V20" s="1315">
        <v>2000000</v>
      </c>
      <c r="W20" s="882" t="s">
        <v>682</v>
      </c>
      <c r="X20" s="882" t="s">
        <v>697</v>
      </c>
      <c r="Y20" s="4424"/>
      <c r="Z20" s="4424"/>
      <c r="AA20" s="4424"/>
      <c r="AB20" s="4424"/>
      <c r="AC20" s="3840"/>
      <c r="AD20" s="3840"/>
      <c r="AE20" s="3840"/>
      <c r="AF20" s="3840"/>
      <c r="AG20" s="3840"/>
      <c r="AH20" s="3840"/>
      <c r="AI20" s="3840"/>
      <c r="AJ20" s="3840"/>
      <c r="AK20" s="3840"/>
      <c r="AL20" s="3840"/>
      <c r="AM20" s="3840"/>
      <c r="AN20" s="3840"/>
      <c r="AO20" s="3840"/>
      <c r="AP20" s="3840"/>
      <c r="AQ20" s="3840"/>
      <c r="AR20" s="3840"/>
      <c r="AS20" s="3840"/>
      <c r="AT20" s="3840"/>
      <c r="AU20" s="3840"/>
      <c r="AV20" s="3840"/>
      <c r="AW20" s="3840"/>
      <c r="AX20" s="3840"/>
      <c r="AY20" s="3840"/>
      <c r="AZ20" s="3840"/>
      <c r="BA20" s="3840"/>
      <c r="BB20" s="3840"/>
      <c r="BC20" s="3840"/>
      <c r="BD20" s="3840"/>
      <c r="BE20" s="3840"/>
      <c r="BF20" s="4427"/>
      <c r="BG20" s="4430"/>
      <c r="BH20" s="3462"/>
      <c r="BI20" s="3207"/>
      <c r="BJ20" s="3207"/>
      <c r="BK20" s="3170"/>
      <c r="BL20" s="3170"/>
      <c r="BM20" s="3170"/>
      <c r="BN20" s="3170"/>
      <c r="BO20" s="2966"/>
      <c r="BP20" s="657"/>
      <c r="BQ20" s="657"/>
      <c r="BR20" s="657"/>
      <c r="BS20" s="657"/>
      <c r="BT20" s="657"/>
    </row>
    <row r="21" spans="1:72" ht="57.75" customHeight="1" x14ac:dyDescent="0.2">
      <c r="A21" s="2259"/>
      <c r="B21" s="2260"/>
      <c r="C21" s="2277"/>
      <c r="D21" s="2278"/>
      <c r="E21" s="4279"/>
      <c r="F21" s="4303"/>
      <c r="G21" s="2967"/>
      <c r="H21" s="3811"/>
      <c r="I21" s="3811"/>
      <c r="J21" s="3179"/>
      <c r="K21" s="4367"/>
      <c r="L21" s="4339"/>
      <c r="M21" s="4416"/>
      <c r="N21" s="3811"/>
      <c r="O21" s="3466"/>
      <c r="P21" s="3476"/>
      <c r="Q21" s="3811"/>
      <c r="R21" s="2835"/>
      <c r="S21" s="1259" t="s">
        <v>2285</v>
      </c>
      <c r="T21" s="1325">
        <v>4100000</v>
      </c>
      <c r="U21" s="1315">
        <v>3555000</v>
      </c>
      <c r="V21" s="1315">
        <v>2555000</v>
      </c>
      <c r="W21" s="882" t="s">
        <v>682</v>
      </c>
      <c r="X21" s="882" t="s">
        <v>697</v>
      </c>
      <c r="Y21" s="4425"/>
      <c r="Z21" s="4425"/>
      <c r="AA21" s="4425"/>
      <c r="AB21" s="4425"/>
      <c r="AC21" s="3841"/>
      <c r="AD21" s="3841"/>
      <c r="AE21" s="3841"/>
      <c r="AF21" s="3841"/>
      <c r="AG21" s="3841"/>
      <c r="AH21" s="3841"/>
      <c r="AI21" s="3841"/>
      <c r="AJ21" s="3841"/>
      <c r="AK21" s="3841"/>
      <c r="AL21" s="3841"/>
      <c r="AM21" s="3841"/>
      <c r="AN21" s="3841"/>
      <c r="AO21" s="3841"/>
      <c r="AP21" s="3841"/>
      <c r="AQ21" s="3841"/>
      <c r="AR21" s="3841"/>
      <c r="AS21" s="3841"/>
      <c r="AT21" s="3841"/>
      <c r="AU21" s="3841"/>
      <c r="AV21" s="3841"/>
      <c r="AW21" s="3841"/>
      <c r="AX21" s="3841"/>
      <c r="AY21" s="3841"/>
      <c r="AZ21" s="3841"/>
      <c r="BA21" s="3841"/>
      <c r="BB21" s="3841"/>
      <c r="BC21" s="3841"/>
      <c r="BD21" s="3841"/>
      <c r="BE21" s="3841"/>
      <c r="BF21" s="4428"/>
      <c r="BG21" s="4431"/>
      <c r="BH21" s="3466"/>
      <c r="BI21" s="3179"/>
      <c r="BJ21" s="3179"/>
      <c r="BK21" s="4287"/>
      <c r="BL21" s="4287"/>
      <c r="BM21" s="4287"/>
      <c r="BN21" s="4287"/>
      <c r="BO21" s="2967"/>
      <c r="BP21" s="657"/>
      <c r="BQ21" s="657"/>
      <c r="BR21" s="657"/>
      <c r="BS21" s="657"/>
      <c r="BT21" s="657"/>
    </row>
    <row r="22" spans="1:72" ht="15" x14ac:dyDescent="0.2">
      <c r="A22" s="2259"/>
      <c r="B22" s="2260"/>
      <c r="C22" s="2279">
        <v>17</v>
      </c>
      <c r="D22" s="2280" t="s">
        <v>2286</v>
      </c>
      <c r="E22" s="2281"/>
      <c r="F22" s="2281"/>
      <c r="G22" s="2281"/>
      <c r="H22" s="2133"/>
      <c r="I22" s="2133"/>
      <c r="J22" s="2281"/>
      <c r="K22" s="2282"/>
      <c r="L22" s="2281"/>
      <c r="M22" s="2281"/>
      <c r="N22" s="2227"/>
      <c r="O22" s="2281"/>
      <c r="P22" s="2283"/>
      <c r="Q22" s="2133"/>
      <c r="R22" s="2133"/>
      <c r="S22" s="2133"/>
      <c r="T22" s="2283"/>
      <c r="U22" s="2284"/>
      <c r="V22" s="2284"/>
      <c r="W22" s="2225"/>
      <c r="X22" s="2227"/>
      <c r="Y22" s="2281"/>
      <c r="Z22" s="2281"/>
      <c r="AA22" s="2281"/>
      <c r="AB22" s="2281"/>
      <c r="AC22" s="2281"/>
      <c r="AD22" s="2281"/>
      <c r="AE22" s="2281"/>
      <c r="AF22" s="2281"/>
      <c r="AG22" s="2281"/>
      <c r="AH22" s="2281"/>
      <c r="AI22" s="2281"/>
      <c r="AJ22" s="2281"/>
      <c r="AK22" s="2281"/>
      <c r="AL22" s="2281"/>
      <c r="AM22" s="2281"/>
      <c r="AN22" s="2281"/>
      <c r="AO22" s="2281"/>
      <c r="AP22" s="2281"/>
      <c r="AQ22" s="2281"/>
      <c r="AR22" s="2281"/>
      <c r="AS22" s="2281"/>
      <c r="AT22" s="2281"/>
      <c r="AU22" s="2281"/>
      <c r="AV22" s="2281"/>
      <c r="AW22" s="2281"/>
      <c r="AX22" s="2281"/>
      <c r="AY22" s="2281"/>
      <c r="AZ22" s="2281"/>
      <c r="BA22" s="2281"/>
      <c r="BB22" s="2281"/>
      <c r="BC22" s="2281"/>
      <c r="BD22" s="2281"/>
      <c r="BE22" s="2281"/>
      <c r="BF22" s="2281"/>
      <c r="BG22" s="2281"/>
      <c r="BH22" s="2281"/>
      <c r="BI22" s="2281"/>
      <c r="BJ22" s="2281"/>
      <c r="BK22" s="2281"/>
      <c r="BL22" s="2281"/>
      <c r="BM22" s="2281"/>
      <c r="BN22" s="2281"/>
      <c r="BO22" s="2285"/>
      <c r="BP22" s="657"/>
      <c r="BQ22" s="657"/>
      <c r="BR22" s="657"/>
      <c r="BS22" s="657"/>
      <c r="BT22" s="657"/>
    </row>
    <row r="23" spans="1:72" ht="15" x14ac:dyDescent="0.2">
      <c r="A23" s="2259"/>
      <c r="B23" s="2260"/>
      <c r="C23" s="1210"/>
      <c r="D23" s="1212"/>
      <c r="E23" s="1385">
        <v>58</v>
      </c>
      <c r="F23" s="2286" t="s">
        <v>2287</v>
      </c>
      <c r="G23" s="2287"/>
      <c r="H23" s="2080"/>
      <c r="I23" s="2080"/>
      <c r="J23" s="2287"/>
      <c r="K23" s="2288"/>
      <c r="L23" s="2287"/>
      <c r="M23" s="2287"/>
      <c r="N23" s="1368"/>
      <c r="O23" s="2287"/>
      <c r="P23" s="2289"/>
      <c r="Q23" s="2080"/>
      <c r="R23" s="2080"/>
      <c r="S23" s="1888"/>
      <c r="T23" s="2289"/>
      <c r="U23" s="2290"/>
      <c r="V23" s="2290"/>
      <c r="W23" s="1893"/>
      <c r="X23" s="1889"/>
      <c r="Y23" s="2287"/>
      <c r="Z23" s="2287"/>
      <c r="AA23" s="2287"/>
      <c r="AB23" s="2287"/>
      <c r="AC23" s="2287"/>
      <c r="AD23" s="2287"/>
      <c r="AE23" s="2287"/>
      <c r="AF23" s="2287"/>
      <c r="AG23" s="2287"/>
      <c r="AH23" s="2287"/>
      <c r="AI23" s="2287"/>
      <c r="AJ23" s="2287"/>
      <c r="AK23" s="2287"/>
      <c r="AL23" s="2287"/>
      <c r="AM23" s="2287"/>
      <c r="AN23" s="2287"/>
      <c r="AO23" s="2287"/>
      <c r="AP23" s="2287"/>
      <c r="AQ23" s="2287"/>
      <c r="AR23" s="2287"/>
      <c r="AS23" s="2287"/>
      <c r="AT23" s="2287"/>
      <c r="AU23" s="2287"/>
      <c r="AV23" s="2287"/>
      <c r="AW23" s="2287"/>
      <c r="AX23" s="2287"/>
      <c r="AY23" s="2287"/>
      <c r="AZ23" s="2287"/>
      <c r="BA23" s="2287"/>
      <c r="BB23" s="2287"/>
      <c r="BC23" s="2287"/>
      <c r="BD23" s="2287"/>
      <c r="BE23" s="2287"/>
      <c r="BF23" s="2287"/>
      <c r="BG23" s="2287"/>
      <c r="BH23" s="2287"/>
      <c r="BI23" s="2287"/>
      <c r="BJ23" s="2287"/>
      <c r="BK23" s="2287"/>
      <c r="BL23" s="2287"/>
      <c r="BM23" s="2287"/>
      <c r="BN23" s="2287"/>
      <c r="BO23" s="2291"/>
      <c r="BP23" s="657"/>
      <c r="BQ23" s="657"/>
      <c r="BR23" s="657"/>
      <c r="BS23" s="657"/>
      <c r="BT23" s="657"/>
    </row>
    <row r="24" spans="1:72" ht="51.75" customHeight="1" x14ac:dyDescent="0.2">
      <c r="A24" s="2259"/>
      <c r="B24" s="2260"/>
      <c r="C24" s="1210"/>
      <c r="D24" s="1212"/>
      <c r="E24" s="1193"/>
      <c r="F24" s="1195"/>
      <c r="G24" s="4302">
        <v>183</v>
      </c>
      <c r="H24" s="2923" t="s">
        <v>2288</v>
      </c>
      <c r="I24" s="2923" t="s">
        <v>2289</v>
      </c>
      <c r="J24" s="4421">
        <v>1</v>
      </c>
      <c r="K24" s="4365">
        <v>0.5</v>
      </c>
      <c r="L24" s="4337" t="s">
        <v>2290</v>
      </c>
      <c r="M24" s="4415" t="s">
        <v>2291</v>
      </c>
      <c r="N24" s="3823" t="s">
        <v>2292</v>
      </c>
      <c r="O24" s="3462">
        <f>SUM(T24:T30)/P24</f>
        <v>1</v>
      </c>
      <c r="P24" s="3415">
        <f>SUM(T24:T30)</f>
        <v>178850000</v>
      </c>
      <c r="Q24" s="3823" t="s">
        <v>2293</v>
      </c>
      <c r="R24" s="2922" t="s">
        <v>2294</v>
      </c>
      <c r="S24" s="1232" t="s">
        <v>2295</v>
      </c>
      <c r="T24" s="2292">
        <v>18590000</v>
      </c>
      <c r="U24" s="1319">
        <v>18590000</v>
      </c>
      <c r="V24" s="1319">
        <v>17191000</v>
      </c>
      <c r="W24" s="2293">
        <v>20</v>
      </c>
      <c r="X24" s="2293" t="s">
        <v>86</v>
      </c>
      <c r="Y24" s="4420">
        <v>3625</v>
      </c>
      <c r="Z24" s="4400">
        <v>145</v>
      </c>
      <c r="AA24" s="4401">
        <v>3875</v>
      </c>
      <c r="AB24" s="4400">
        <v>48</v>
      </c>
      <c r="AC24" s="4401">
        <v>2000</v>
      </c>
      <c r="AD24" s="4400"/>
      <c r="AE24" s="4401">
        <v>4000</v>
      </c>
      <c r="AF24" s="4400"/>
      <c r="AG24" s="4401">
        <v>1000</v>
      </c>
      <c r="AH24" s="4400"/>
      <c r="AI24" s="4401">
        <v>500</v>
      </c>
      <c r="AJ24" s="4400">
        <v>193</v>
      </c>
      <c r="AK24" s="4401"/>
      <c r="AL24" s="4400"/>
      <c r="AM24" s="4401"/>
      <c r="AN24" s="4400"/>
      <c r="AO24" s="4401"/>
      <c r="AP24" s="4400"/>
      <c r="AQ24" s="4401"/>
      <c r="AR24" s="4400"/>
      <c r="AS24" s="4401"/>
      <c r="AT24" s="4400"/>
      <c r="AU24" s="4401"/>
      <c r="AV24" s="4400"/>
      <c r="AW24" s="4401"/>
      <c r="AX24" s="4400"/>
      <c r="AY24" s="4401"/>
      <c r="AZ24" s="4400"/>
      <c r="BA24" s="4401"/>
      <c r="BB24" s="4400"/>
      <c r="BC24" s="4400">
        <v>7500</v>
      </c>
      <c r="BD24" s="4400">
        <v>193</v>
      </c>
      <c r="BE24" s="4400">
        <v>5</v>
      </c>
      <c r="BF24" s="4406">
        <v>131072850</v>
      </c>
      <c r="BG24" s="4406">
        <v>69365500</v>
      </c>
      <c r="BH24" s="3127">
        <f>+BG24/BF24</f>
        <v>0.52921333441670038</v>
      </c>
      <c r="BI24" s="4396" t="s">
        <v>1462</v>
      </c>
      <c r="BJ24" s="4396" t="s">
        <v>2274</v>
      </c>
      <c r="BK24" s="3169">
        <v>43467</v>
      </c>
      <c r="BL24" s="3169">
        <v>43467</v>
      </c>
      <c r="BM24" s="3169">
        <v>43830</v>
      </c>
      <c r="BN24" s="3169">
        <v>43830</v>
      </c>
      <c r="BO24" s="2966" t="s">
        <v>2275</v>
      </c>
      <c r="BP24" s="657"/>
      <c r="BQ24" s="657"/>
      <c r="BR24" s="657"/>
      <c r="BS24" s="657"/>
      <c r="BT24" s="657"/>
    </row>
    <row r="25" spans="1:72" ht="86.25" customHeight="1" x14ac:dyDescent="0.2">
      <c r="A25" s="2259"/>
      <c r="B25" s="2260"/>
      <c r="C25" s="1210"/>
      <c r="D25" s="1212"/>
      <c r="E25" s="1210"/>
      <c r="F25" s="1212"/>
      <c r="G25" s="4302"/>
      <c r="H25" s="2923"/>
      <c r="I25" s="2923"/>
      <c r="J25" s="4421"/>
      <c r="K25" s="4366"/>
      <c r="L25" s="4338"/>
      <c r="M25" s="4415"/>
      <c r="N25" s="3823"/>
      <c r="O25" s="3462"/>
      <c r="P25" s="3415"/>
      <c r="Q25" s="3823"/>
      <c r="R25" s="2968"/>
      <c r="S25" s="1232" t="s">
        <v>2296</v>
      </c>
      <c r="T25" s="2292">
        <v>55751000</v>
      </c>
      <c r="U25" s="1319">
        <v>30079850</v>
      </c>
      <c r="V25" s="1319">
        <v>23184500</v>
      </c>
      <c r="W25" s="2293">
        <v>20</v>
      </c>
      <c r="X25" s="2293" t="s">
        <v>86</v>
      </c>
      <c r="Y25" s="4420"/>
      <c r="Z25" s="4401"/>
      <c r="AA25" s="4401"/>
      <c r="AB25" s="4401"/>
      <c r="AC25" s="4401"/>
      <c r="AD25" s="4401"/>
      <c r="AE25" s="4401"/>
      <c r="AF25" s="4401"/>
      <c r="AG25" s="4401"/>
      <c r="AH25" s="4401"/>
      <c r="AI25" s="4401"/>
      <c r="AJ25" s="4401"/>
      <c r="AK25" s="4401"/>
      <c r="AL25" s="4401"/>
      <c r="AM25" s="4401"/>
      <c r="AN25" s="4401"/>
      <c r="AO25" s="4401"/>
      <c r="AP25" s="4401"/>
      <c r="AQ25" s="4401"/>
      <c r="AR25" s="4401"/>
      <c r="AS25" s="4401"/>
      <c r="AT25" s="4401"/>
      <c r="AU25" s="4401"/>
      <c r="AV25" s="4401"/>
      <c r="AW25" s="4401"/>
      <c r="AX25" s="4401"/>
      <c r="AY25" s="4401"/>
      <c r="AZ25" s="4401"/>
      <c r="BA25" s="4401"/>
      <c r="BB25" s="4401"/>
      <c r="BC25" s="4401"/>
      <c r="BD25" s="4401"/>
      <c r="BE25" s="4401"/>
      <c r="BF25" s="4407"/>
      <c r="BG25" s="4407"/>
      <c r="BH25" s="4294"/>
      <c r="BI25" s="4397"/>
      <c r="BJ25" s="4397"/>
      <c r="BK25" s="3355"/>
      <c r="BL25" s="3355"/>
      <c r="BM25" s="3355"/>
      <c r="BN25" s="3355"/>
      <c r="BO25" s="2966"/>
      <c r="BP25" s="657"/>
      <c r="BQ25" s="657"/>
      <c r="BR25" s="657"/>
      <c r="BS25" s="657"/>
      <c r="BT25" s="657"/>
    </row>
    <row r="26" spans="1:72" ht="55.5" customHeight="1" x14ac:dyDescent="0.2">
      <c r="A26" s="2259"/>
      <c r="B26" s="2260"/>
      <c r="C26" s="1210"/>
      <c r="D26" s="1212"/>
      <c r="E26" s="1210"/>
      <c r="F26" s="1212"/>
      <c r="G26" s="4302"/>
      <c r="H26" s="2923"/>
      <c r="I26" s="2923"/>
      <c r="J26" s="4421"/>
      <c r="K26" s="4366"/>
      <c r="L26" s="4338"/>
      <c r="M26" s="4415"/>
      <c r="N26" s="3823"/>
      <c r="O26" s="3462"/>
      <c r="P26" s="3415"/>
      <c r="Q26" s="3823"/>
      <c r="R26" s="2968"/>
      <c r="S26" s="1232" t="s">
        <v>2297</v>
      </c>
      <c r="T26" s="2292">
        <v>30000000</v>
      </c>
      <c r="U26" s="1319">
        <v>30000000</v>
      </c>
      <c r="V26" s="1319">
        <v>15000000</v>
      </c>
      <c r="W26" s="2293">
        <v>20</v>
      </c>
      <c r="X26" s="2293" t="s">
        <v>86</v>
      </c>
      <c r="Y26" s="4420"/>
      <c r="Z26" s="4401"/>
      <c r="AA26" s="4401"/>
      <c r="AB26" s="4401"/>
      <c r="AC26" s="4401"/>
      <c r="AD26" s="4401"/>
      <c r="AE26" s="4401"/>
      <c r="AF26" s="4401"/>
      <c r="AG26" s="4401"/>
      <c r="AH26" s="4401"/>
      <c r="AI26" s="4401"/>
      <c r="AJ26" s="4401"/>
      <c r="AK26" s="4401"/>
      <c r="AL26" s="4401"/>
      <c r="AM26" s="4401"/>
      <c r="AN26" s="4401"/>
      <c r="AO26" s="4401"/>
      <c r="AP26" s="4401"/>
      <c r="AQ26" s="4401"/>
      <c r="AR26" s="4401"/>
      <c r="AS26" s="4401"/>
      <c r="AT26" s="4401"/>
      <c r="AU26" s="4401"/>
      <c r="AV26" s="4401"/>
      <c r="AW26" s="4401"/>
      <c r="AX26" s="4401"/>
      <c r="AY26" s="4401"/>
      <c r="AZ26" s="4401"/>
      <c r="BA26" s="4401"/>
      <c r="BB26" s="4401"/>
      <c r="BC26" s="4401"/>
      <c r="BD26" s="4401"/>
      <c r="BE26" s="4401"/>
      <c r="BF26" s="4407"/>
      <c r="BG26" s="4407"/>
      <c r="BH26" s="4294"/>
      <c r="BI26" s="4397"/>
      <c r="BJ26" s="4397"/>
      <c r="BK26" s="3355"/>
      <c r="BL26" s="3355"/>
      <c r="BM26" s="3355"/>
      <c r="BN26" s="3355"/>
      <c r="BO26" s="2966"/>
      <c r="BP26" s="657"/>
      <c r="BQ26" s="657"/>
      <c r="BR26" s="657"/>
      <c r="BS26" s="657"/>
      <c r="BT26" s="657"/>
    </row>
    <row r="27" spans="1:72" ht="51.75" customHeight="1" x14ac:dyDescent="0.2">
      <c r="A27" s="2259"/>
      <c r="B27" s="2260"/>
      <c r="C27" s="1210"/>
      <c r="D27" s="1212"/>
      <c r="E27" s="1210"/>
      <c r="F27" s="1212"/>
      <c r="G27" s="4302"/>
      <c r="H27" s="2923"/>
      <c r="I27" s="2923"/>
      <c r="J27" s="4421"/>
      <c r="K27" s="4366"/>
      <c r="L27" s="4338"/>
      <c r="M27" s="4415"/>
      <c r="N27" s="3823"/>
      <c r="O27" s="3462"/>
      <c r="P27" s="3415"/>
      <c r="Q27" s="3823"/>
      <c r="R27" s="2968"/>
      <c r="S27" s="1232" t="s">
        <v>2298</v>
      </c>
      <c r="T27" s="2292">
        <v>29379000</v>
      </c>
      <c r="U27" s="1319">
        <v>29379000</v>
      </c>
      <c r="V27" s="1319">
        <v>13990000</v>
      </c>
      <c r="W27" s="2293">
        <v>20</v>
      </c>
      <c r="X27" s="2294" t="s">
        <v>86</v>
      </c>
      <c r="Y27" s="4420"/>
      <c r="Z27" s="4401"/>
      <c r="AA27" s="4401"/>
      <c r="AB27" s="4401"/>
      <c r="AC27" s="4401"/>
      <c r="AD27" s="4401"/>
      <c r="AE27" s="4401"/>
      <c r="AF27" s="4401"/>
      <c r="AG27" s="4401"/>
      <c r="AH27" s="4401"/>
      <c r="AI27" s="4401"/>
      <c r="AJ27" s="4401"/>
      <c r="AK27" s="4401"/>
      <c r="AL27" s="4401"/>
      <c r="AM27" s="4401"/>
      <c r="AN27" s="4401"/>
      <c r="AO27" s="4401"/>
      <c r="AP27" s="4401"/>
      <c r="AQ27" s="4401"/>
      <c r="AR27" s="4401"/>
      <c r="AS27" s="4401"/>
      <c r="AT27" s="4401"/>
      <c r="AU27" s="4401"/>
      <c r="AV27" s="4401"/>
      <c r="AW27" s="4401"/>
      <c r="AX27" s="4401"/>
      <c r="AY27" s="4401"/>
      <c r="AZ27" s="4401"/>
      <c r="BA27" s="4401"/>
      <c r="BB27" s="4401"/>
      <c r="BC27" s="4401"/>
      <c r="BD27" s="4401"/>
      <c r="BE27" s="4401"/>
      <c r="BF27" s="4407"/>
      <c r="BG27" s="4407"/>
      <c r="BH27" s="4294"/>
      <c r="BI27" s="4397"/>
      <c r="BJ27" s="4397"/>
      <c r="BK27" s="3355"/>
      <c r="BL27" s="3355"/>
      <c r="BM27" s="3355"/>
      <c r="BN27" s="3355"/>
      <c r="BO27" s="2966"/>
      <c r="BP27" s="657"/>
      <c r="BQ27" s="657"/>
      <c r="BR27" s="657"/>
      <c r="BS27" s="657"/>
      <c r="BT27" s="657"/>
    </row>
    <row r="28" spans="1:72" ht="45.75" customHeight="1" x14ac:dyDescent="0.2">
      <c r="A28" s="2259"/>
      <c r="B28" s="2260"/>
      <c r="C28" s="1210"/>
      <c r="D28" s="1212"/>
      <c r="E28" s="1210"/>
      <c r="F28" s="1212"/>
      <c r="G28" s="4302"/>
      <c r="H28" s="2923"/>
      <c r="I28" s="2923"/>
      <c r="J28" s="4421"/>
      <c r="K28" s="4366"/>
      <c r="L28" s="4338"/>
      <c r="M28" s="4415"/>
      <c r="N28" s="3823"/>
      <c r="O28" s="3462"/>
      <c r="P28" s="3415"/>
      <c r="Q28" s="3823"/>
      <c r="R28" s="2968"/>
      <c r="S28" s="1232" t="s">
        <v>2299</v>
      </c>
      <c r="T28" s="2292">
        <v>31130000</v>
      </c>
      <c r="U28" s="1319">
        <v>9024000</v>
      </c>
      <c r="V28" s="1319">
        <v>0</v>
      </c>
      <c r="W28" s="2293">
        <v>20</v>
      </c>
      <c r="X28" s="2294" t="s">
        <v>86</v>
      </c>
      <c r="Y28" s="4420"/>
      <c r="Z28" s="4401"/>
      <c r="AA28" s="4401"/>
      <c r="AB28" s="4401"/>
      <c r="AC28" s="4401"/>
      <c r="AD28" s="4401"/>
      <c r="AE28" s="4401"/>
      <c r="AF28" s="4401"/>
      <c r="AG28" s="4401"/>
      <c r="AH28" s="4401"/>
      <c r="AI28" s="4401"/>
      <c r="AJ28" s="4401"/>
      <c r="AK28" s="4401"/>
      <c r="AL28" s="4401"/>
      <c r="AM28" s="4401"/>
      <c r="AN28" s="4401"/>
      <c r="AO28" s="4401"/>
      <c r="AP28" s="4401"/>
      <c r="AQ28" s="4401"/>
      <c r="AR28" s="4401"/>
      <c r="AS28" s="4401"/>
      <c r="AT28" s="4401"/>
      <c r="AU28" s="4401"/>
      <c r="AV28" s="4401"/>
      <c r="AW28" s="4401"/>
      <c r="AX28" s="4401"/>
      <c r="AY28" s="4401"/>
      <c r="AZ28" s="4401"/>
      <c r="BA28" s="4401"/>
      <c r="BB28" s="4401"/>
      <c r="BC28" s="4401"/>
      <c r="BD28" s="4401"/>
      <c r="BE28" s="4401"/>
      <c r="BF28" s="4407"/>
      <c r="BG28" s="4407"/>
      <c r="BH28" s="4294"/>
      <c r="BI28" s="4397"/>
      <c r="BJ28" s="4397"/>
      <c r="BK28" s="3355"/>
      <c r="BL28" s="3355"/>
      <c r="BM28" s="3355"/>
      <c r="BN28" s="3355"/>
      <c r="BO28" s="2966"/>
      <c r="BP28" s="657"/>
      <c r="BQ28" s="657"/>
      <c r="BR28" s="657"/>
      <c r="BS28" s="657"/>
      <c r="BT28" s="657"/>
    </row>
    <row r="29" spans="1:72" ht="33.75" customHeight="1" x14ac:dyDescent="0.2">
      <c r="A29" s="2259"/>
      <c r="B29" s="2260"/>
      <c r="C29" s="1210"/>
      <c r="D29" s="1212"/>
      <c r="E29" s="1210"/>
      <c r="F29" s="1212"/>
      <c r="G29" s="4302"/>
      <c r="H29" s="2923"/>
      <c r="I29" s="2923"/>
      <c r="J29" s="4421"/>
      <c r="K29" s="4366"/>
      <c r="L29" s="4338"/>
      <c r="M29" s="4415"/>
      <c r="N29" s="3823"/>
      <c r="O29" s="3462"/>
      <c r="P29" s="3415"/>
      <c r="Q29" s="3823"/>
      <c r="R29" s="2834" t="s">
        <v>2300</v>
      </c>
      <c r="S29" s="1259" t="s">
        <v>2301</v>
      </c>
      <c r="T29" s="2295">
        <v>6000000</v>
      </c>
      <c r="U29" s="1319">
        <v>6000000</v>
      </c>
      <c r="V29" s="1319">
        <v>0</v>
      </c>
      <c r="W29" s="2293">
        <v>20</v>
      </c>
      <c r="X29" s="2294" t="s">
        <v>86</v>
      </c>
      <c r="Y29" s="4420"/>
      <c r="Z29" s="4401"/>
      <c r="AA29" s="4401"/>
      <c r="AB29" s="4401"/>
      <c r="AC29" s="4401"/>
      <c r="AD29" s="4401"/>
      <c r="AE29" s="4401"/>
      <c r="AF29" s="4401"/>
      <c r="AG29" s="4401"/>
      <c r="AH29" s="4401"/>
      <c r="AI29" s="4401"/>
      <c r="AJ29" s="4401"/>
      <c r="AK29" s="4401"/>
      <c r="AL29" s="4401"/>
      <c r="AM29" s="4401"/>
      <c r="AN29" s="4401"/>
      <c r="AO29" s="4401"/>
      <c r="AP29" s="4401"/>
      <c r="AQ29" s="4401"/>
      <c r="AR29" s="4401"/>
      <c r="AS29" s="4401"/>
      <c r="AT29" s="4401"/>
      <c r="AU29" s="4401"/>
      <c r="AV29" s="4401"/>
      <c r="AW29" s="4401"/>
      <c r="AX29" s="4401"/>
      <c r="AY29" s="4401"/>
      <c r="AZ29" s="4401"/>
      <c r="BA29" s="4401"/>
      <c r="BB29" s="4401"/>
      <c r="BC29" s="4401"/>
      <c r="BD29" s="4401"/>
      <c r="BE29" s="4401"/>
      <c r="BF29" s="4407"/>
      <c r="BG29" s="4407"/>
      <c r="BH29" s="4294"/>
      <c r="BI29" s="4397"/>
      <c r="BJ29" s="4397"/>
      <c r="BK29" s="3355"/>
      <c r="BL29" s="3355"/>
      <c r="BM29" s="3355"/>
      <c r="BN29" s="3355"/>
      <c r="BO29" s="2966"/>
      <c r="BP29" s="657"/>
      <c r="BQ29" s="657"/>
      <c r="BR29" s="657"/>
      <c r="BS29" s="657"/>
      <c r="BT29" s="657"/>
    </row>
    <row r="30" spans="1:72" ht="31.5" customHeight="1" x14ac:dyDescent="0.2">
      <c r="A30" s="2259"/>
      <c r="B30" s="2260"/>
      <c r="C30" s="1210"/>
      <c r="D30" s="1212"/>
      <c r="E30" s="1210"/>
      <c r="F30" s="1212"/>
      <c r="G30" s="4302"/>
      <c r="H30" s="2923"/>
      <c r="I30" s="2923"/>
      <c r="J30" s="4422"/>
      <c r="K30" s="4367"/>
      <c r="L30" s="4338"/>
      <c r="M30" s="4415"/>
      <c r="N30" s="3823"/>
      <c r="O30" s="3462"/>
      <c r="P30" s="3413"/>
      <c r="Q30" s="3823"/>
      <c r="R30" s="2923"/>
      <c r="S30" s="1259" t="s">
        <v>2302</v>
      </c>
      <c r="T30" s="2296">
        <v>8000000</v>
      </c>
      <c r="U30" s="1319">
        <v>8000000</v>
      </c>
      <c r="V30" s="1319">
        <v>0</v>
      </c>
      <c r="W30" s="2293">
        <v>20</v>
      </c>
      <c r="X30" s="2294" t="s">
        <v>86</v>
      </c>
      <c r="Y30" s="4420"/>
      <c r="Z30" s="4402"/>
      <c r="AA30" s="4401"/>
      <c r="AB30" s="4402"/>
      <c r="AC30" s="4401"/>
      <c r="AD30" s="4402"/>
      <c r="AE30" s="4401"/>
      <c r="AF30" s="4402"/>
      <c r="AG30" s="4401"/>
      <c r="AH30" s="4402"/>
      <c r="AI30" s="4401"/>
      <c r="AJ30" s="4402"/>
      <c r="AK30" s="4401"/>
      <c r="AL30" s="4402"/>
      <c r="AM30" s="4401"/>
      <c r="AN30" s="4402"/>
      <c r="AO30" s="4401"/>
      <c r="AP30" s="4402"/>
      <c r="AQ30" s="4401"/>
      <c r="AR30" s="4402"/>
      <c r="AS30" s="4401"/>
      <c r="AT30" s="4402"/>
      <c r="AU30" s="4401"/>
      <c r="AV30" s="4402"/>
      <c r="AW30" s="4401"/>
      <c r="AX30" s="4402"/>
      <c r="AY30" s="4401"/>
      <c r="AZ30" s="4402"/>
      <c r="BA30" s="4401"/>
      <c r="BB30" s="4402"/>
      <c r="BC30" s="3488"/>
      <c r="BD30" s="4402"/>
      <c r="BE30" s="4402"/>
      <c r="BF30" s="4408"/>
      <c r="BG30" s="4408"/>
      <c r="BH30" s="4295"/>
      <c r="BI30" s="4398"/>
      <c r="BJ30" s="4398"/>
      <c r="BK30" s="3170"/>
      <c r="BL30" s="3170"/>
      <c r="BM30" s="3170"/>
      <c r="BN30" s="3170"/>
      <c r="BO30" s="2966"/>
      <c r="BP30" s="657"/>
      <c r="BQ30" s="657"/>
      <c r="BR30" s="657"/>
      <c r="BS30" s="657"/>
      <c r="BT30" s="657"/>
    </row>
    <row r="31" spans="1:72" ht="28.5" customHeight="1" x14ac:dyDescent="0.2">
      <c r="A31" s="2259"/>
      <c r="B31" s="2260"/>
      <c r="C31" s="1210"/>
      <c r="D31" s="1212"/>
      <c r="E31" s="1385">
        <v>59</v>
      </c>
      <c r="F31" s="2286" t="s">
        <v>2303</v>
      </c>
      <c r="G31" s="2297"/>
      <c r="H31" s="2080"/>
      <c r="I31" s="2080"/>
      <c r="J31" s="2287"/>
      <c r="K31" s="2288"/>
      <c r="L31" s="2287"/>
      <c r="M31" s="2287"/>
      <c r="N31" s="1368"/>
      <c r="O31" s="2287"/>
      <c r="P31" s="2289"/>
      <c r="Q31" s="2080"/>
      <c r="R31" s="1888"/>
      <c r="S31" s="2080" t="s">
        <v>1316</v>
      </c>
      <c r="T31" s="2289"/>
      <c r="U31" s="2290"/>
      <c r="V31" s="2290"/>
      <c r="W31" s="2298"/>
      <c r="X31" s="2052"/>
      <c r="Y31" s="2287"/>
      <c r="Z31" s="2287"/>
      <c r="AA31" s="2287"/>
      <c r="AB31" s="2287"/>
      <c r="AC31" s="2287"/>
      <c r="AD31" s="2287"/>
      <c r="AE31" s="2287"/>
      <c r="AF31" s="2287"/>
      <c r="AG31" s="2287"/>
      <c r="AH31" s="2287"/>
      <c r="AI31" s="2287"/>
      <c r="AJ31" s="2287"/>
      <c r="AK31" s="2287"/>
      <c r="AL31" s="2287"/>
      <c r="AM31" s="2287"/>
      <c r="AN31" s="2287"/>
      <c r="AO31" s="2287"/>
      <c r="AP31" s="2287"/>
      <c r="AQ31" s="2287"/>
      <c r="AR31" s="2287"/>
      <c r="AS31" s="2287"/>
      <c r="AT31" s="2287"/>
      <c r="AU31" s="2287"/>
      <c r="AV31" s="2287"/>
      <c r="AW31" s="2287"/>
      <c r="AX31" s="2287"/>
      <c r="AY31" s="2287"/>
      <c r="AZ31" s="2287"/>
      <c r="BA31" s="2287"/>
      <c r="BB31" s="2287"/>
      <c r="BC31" s="2287"/>
      <c r="BD31" s="2287"/>
      <c r="BE31" s="2287"/>
      <c r="BF31" s="2287"/>
      <c r="BG31" s="2287"/>
      <c r="BH31" s="2287"/>
      <c r="BI31" s="2287"/>
      <c r="BJ31" s="2287"/>
      <c r="BK31" s="2287"/>
      <c r="BL31" s="2287"/>
      <c r="BM31" s="2287"/>
      <c r="BN31" s="2287"/>
      <c r="BO31" s="2291"/>
      <c r="BP31" s="657"/>
      <c r="BQ31" s="657"/>
      <c r="BR31" s="657"/>
      <c r="BS31" s="657"/>
      <c r="BT31" s="657"/>
    </row>
    <row r="32" spans="1:72" ht="52.5" customHeight="1" x14ac:dyDescent="0.2">
      <c r="A32" s="2259"/>
      <c r="B32" s="2260"/>
      <c r="C32" s="1210"/>
      <c r="D32" s="1212"/>
      <c r="E32" s="1210"/>
      <c r="F32" s="1211"/>
      <c r="G32" s="3161">
        <v>184</v>
      </c>
      <c r="H32" s="4393" t="s">
        <v>2304</v>
      </c>
      <c r="I32" s="3810" t="s">
        <v>2305</v>
      </c>
      <c r="J32" s="3878">
        <v>1</v>
      </c>
      <c r="K32" s="4378">
        <v>0.5</v>
      </c>
      <c r="L32" s="4413" t="s">
        <v>2306</v>
      </c>
      <c r="M32" s="4414" t="s">
        <v>2307</v>
      </c>
      <c r="N32" s="4417" t="s">
        <v>2308</v>
      </c>
      <c r="O32" s="3461">
        <f>SUM(T32:T38)/P32</f>
        <v>0.52774498229043687</v>
      </c>
      <c r="P32" s="3476">
        <f>SUM(T32:T44)</f>
        <v>169400000</v>
      </c>
      <c r="Q32" s="4412" t="s">
        <v>2309</v>
      </c>
      <c r="R32" s="2807" t="s">
        <v>2310</v>
      </c>
      <c r="S32" s="1232" t="s">
        <v>2311</v>
      </c>
      <c r="T32" s="2299">
        <v>6500000</v>
      </c>
      <c r="U32" s="1319">
        <v>5000000</v>
      </c>
      <c r="V32" s="1319">
        <v>5000000</v>
      </c>
      <c r="W32" s="4286" t="s">
        <v>682</v>
      </c>
      <c r="X32" s="4312" t="s">
        <v>697</v>
      </c>
      <c r="Y32" s="4411">
        <v>8575</v>
      </c>
      <c r="Z32" s="4309">
        <v>1823</v>
      </c>
      <c r="AA32" s="4411">
        <v>8925</v>
      </c>
      <c r="AB32" s="4309">
        <v>1751</v>
      </c>
      <c r="AC32" s="3120">
        <v>12000</v>
      </c>
      <c r="AD32" s="3878">
        <v>1844</v>
      </c>
      <c r="AE32" s="4409">
        <v>4000</v>
      </c>
      <c r="AF32" s="3890">
        <v>1033</v>
      </c>
      <c r="AG32" s="4409">
        <v>1500</v>
      </c>
      <c r="AH32" s="3890">
        <v>697</v>
      </c>
      <c r="AI32" s="3120"/>
      <c r="AJ32" s="3878"/>
      <c r="AK32" s="3120"/>
      <c r="AL32" s="3878"/>
      <c r="AM32" s="3120"/>
      <c r="AN32" s="3878"/>
      <c r="AO32" s="3120"/>
      <c r="AP32" s="3878"/>
      <c r="AQ32" s="3120"/>
      <c r="AR32" s="3878"/>
      <c r="AS32" s="3120"/>
      <c r="AT32" s="3878"/>
      <c r="AU32" s="3120"/>
      <c r="AV32" s="3878"/>
      <c r="AW32" s="3120"/>
      <c r="AX32" s="3878"/>
      <c r="AY32" s="3120"/>
      <c r="AZ32" s="3878"/>
      <c r="BA32" s="3120"/>
      <c r="BB32" s="3878"/>
      <c r="BC32" s="4399">
        <v>17500</v>
      </c>
      <c r="BD32" s="4400">
        <v>3574</v>
      </c>
      <c r="BE32" s="4403">
        <v>3</v>
      </c>
      <c r="BF32" s="4406">
        <v>138137500</v>
      </c>
      <c r="BG32" s="4406">
        <v>45895000</v>
      </c>
      <c r="BH32" s="3127">
        <f>+BG32/BF32</f>
        <v>0.33224142611528368</v>
      </c>
      <c r="BI32" s="4396" t="s">
        <v>1462</v>
      </c>
      <c r="BJ32" s="4396" t="s">
        <v>2274</v>
      </c>
      <c r="BK32" s="4287">
        <v>43467</v>
      </c>
      <c r="BL32" s="4287">
        <v>43467</v>
      </c>
      <c r="BM32" s="4287">
        <v>43830</v>
      </c>
      <c r="BN32" s="4287">
        <v>43830</v>
      </c>
      <c r="BO32" s="3161" t="s">
        <v>2275</v>
      </c>
      <c r="BP32" s="657"/>
      <c r="BQ32" s="657"/>
      <c r="BR32" s="657"/>
      <c r="BS32" s="657"/>
      <c r="BT32" s="657"/>
    </row>
    <row r="33" spans="1:72" ht="54.75" customHeight="1" x14ac:dyDescent="0.2">
      <c r="A33" s="2259"/>
      <c r="B33" s="2260"/>
      <c r="C33" s="1210"/>
      <c r="D33" s="1212"/>
      <c r="E33" s="1210"/>
      <c r="F33" s="1211"/>
      <c r="G33" s="3161"/>
      <c r="H33" s="4394"/>
      <c r="I33" s="3823"/>
      <c r="J33" s="3840"/>
      <c r="K33" s="4378"/>
      <c r="L33" s="4413"/>
      <c r="M33" s="4415"/>
      <c r="N33" s="4418"/>
      <c r="O33" s="3462"/>
      <c r="P33" s="3476"/>
      <c r="Q33" s="4412"/>
      <c r="R33" s="2807"/>
      <c r="S33" s="1232" t="s">
        <v>2312</v>
      </c>
      <c r="T33" s="2300">
        <v>6500000</v>
      </c>
      <c r="U33" s="1319">
        <v>5000000</v>
      </c>
      <c r="V33" s="1319">
        <v>5000000</v>
      </c>
      <c r="W33" s="4286"/>
      <c r="X33" s="4302"/>
      <c r="Y33" s="4411"/>
      <c r="Z33" s="4310"/>
      <c r="AA33" s="4411"/>
      <c r="AB33" s="4310"/>
      <c r="AC33" s="3120"/>
      <c r="AD33" s="3840"/>
      <c r="AE33" s="4409"/>
      <c r="AF33" s="3891"/>
      <c r="AG33" s="4409"/>
      <c r="AH33" s="3891"/>
      <c r="AI33" s="3120"/>
      <c r="AJ33" s="3840"/>
      <c r="AK33" s="3120"/>
      <c r="AL33" s="3840"/>
      <c r="AM33" s="3120"/>
      <c r="AN33" s="3840"/>
      <c r="AO33" s="3120"/>
      <c r="AP33" s="3840"/>
      <c r="AQ33" s="3120"/>
      <c r="AR33" s="3840"/>
      <c r="AS33" s="3120"/>
      <c r="AT33" s="3840"/>
      <c r="AU33" s="3120"/>
      <c r="AV33" s="3840"/>
      <c r="AW33" s="3120"/>
      <c r="AX33" s="3840"/>
      <c r="AY33" s="3120"/>
      <c r="AZ33" s="3840"/>
      <c r="BA33" s="3120"/>
      <c r="BB33" s="3840"/>
      <c r="BC33" s="4399"/>
      <c r="BD33" s="4401"/>
      <c r="BE33" s="4404"/>
      <c r="BF33" s="4407"/>
      <c r="BG33" s="4407"/>
      <c r="BH33" s="4294"/>
      <c r="BI33" s="4397"/>
      <c r="BJ33" s="4397"/>
      <c r="BK33" s="4287"/>
      <c r="BL33" s="4287"/>
      <c r="BM33" s="4287"/>
      <c r="BN33" s="4287"/>
      <c r="BO33" s="3161"/>
      <c r="BP33" s="657"/>
      <c r="BQ33" s="657"/>
      <c r="BR33" s="657"/>
      <c r="BS33" s="657"/>
      <c r="BT33" s="657"/>
    </row>
    <row r="34" spans="1:72" ht="60.75" customHeight="1" x14ac:dyDescent="0.2">
      <c r="A34" s="2259"/>
      <c r="B34" s="2260"/>
      <c r="C34" s="1210"/>
      <c r="D34" s="1212"/>
      <c r="E34" s="1210"/>
      <c r="F34" s="1211"/>
      <c r="G34" s="3161"/>
      <c r="H34" s="4394"/>
      <c r="I34" s="3823"/>
      <c r="J34" s="3840"/>
      <c r="K34" s="4378"/>
      <c r="L34" s="4413"/>
      <c r="M34" s="4415"/>
      <c r="N34" s="4418"/>
      <c r="O34" s="3462"/>
      <c r="P34" s="3476"/>
      <c r="Q34" s="4412"/>
      <c r="R34" s="2807"/>
      <c r="S34" s="1232" t="s">
        <v>2313</v>
      </c>
      <c r="T34" s="2295">
        <v>37170000</v>
      </c>
      <c r="U34" s="1319">
        <v>29897050</v>
      </c>
      <c r="V34" s="1319">
        <v>11030000</v>
      </c>
      <c r="W34" s="4286"/>
      <c r="X34" s="4302"/>
      <c r="Y34" s="4411"/>
      <c r="Z34" s="4310"/>
      <c r="AA34" s="4411"/>
      <c r="AB34" s="4310"/>
      <c r="AC34" s="3120"/>
      <c r="AD34" s="3840"/>
      <c r="AE34" s="4409"/>
      <c r="AF34" s="3891"/>
      <c r="AG34" s="4409"/>
      <c r="AH34" s="3891"/>
      <c r="AI34" s="3120"/>
      <c r="AJ34" s="3840"/>
      <c r="AK34" s="3120"/>
      <c r="AL34" s="3840"/>
      <c r="AM34" s="3120"/>
      <c r="AN34" s="3840"/>
      <c r="AO34" s="3120"/>
      <c r="AP34" s="3840"/>
      <c r="AQ34" s="3120"/>
      <c r="AR34" s="3840"/>
      <c r="AS34" s="3120"/>
      <c r="AT34" s="3840"/>
      <c r="AU34" s="3120"/>
      <c r="AV34" s="3840"/>
      <c r="AW34" s="3120"/>
      <c r="AX34" s="3840"/>
      <c r="AY34" s="3120"/>
      <c r="AZ34" s="3840"/>
      <c r="BA34" s="3120"/>
      <c r="BB34" s="3840"/>
      <c r="BC34" s="4399"/>
      <c r="BD34" s="4401"/>
      <c r="BE34" s="4404"/>
      <c r="BF34" s="4407"/>
      <c r="BG34" s="4407"/>
      <c r="BH34" s="4294"/>
      <c r="BI34" s="4397"/>
      <c r="BJ34" s="4397"/>
      <c r="BK34" s="4287"/>
      <c r="BL34" s="4287"/>
      <c r="BM34" s="4287"/>
      <c r="BN34" s="4287"/>
      <c r="BO34" s="3161"/>
      <c r="BP34" s="657"/>
      <c r="BQ34" s="657"/>
      <c r="BR34" s="657"/>
      <c r="BS34" s="657"/>
      <c r="BT34" s="657"/>
    </row>
    <row r="35" spans="1:72" ht="69" customHeight="1" x14ac:dyDescent="0.2">
      <c r="A35" s="2259"/>
      <c r="B35" s="2260"/>
      <c r="C35" s="1210"/>
      <c r="D35" s="1212"/>
      <c r="E35" s="1210"/>
      <c r="F35" s="1211"/>
      <c r="G35" s="3161"/>
      <c r="H35" s="4394"/>
      <c r="I35" s="3823"/>
      <c r="J35" s="3840"/>
      <c r="K35" s="4378"/>
      <c r="L35" s="4413"/>
      <c r="M35" s="4415"/>
      <c r="N35" s="4418"/>
      <c r="O35" s="3462"/>
      <c r="P35" s="3476"/>
      <c r="Q35" s="4412"/>
      <c r="R35" s="2807"/>
      <c r="S35" s="1232" t="s">
        <v>2314</v>
      </c>
      <c r="T35" s="2301">
        <v>29400000</v>
      </c>
      <c r="U35" s="1319">
        <v>29400000</v>
      </c>
      <c r="V35" s="1319">
        <v>15425000</v>
      </c>
      <c r="W35" s="4286"/>
      <c r="X35" s="4302"/>
      <c r="Y35" s="4411"/>
      <c r="Z35" s="4310"/>
      <c r="AA35" s="4411"/>
      <c r="AB35" s="4310"/>
      <c r="AC35" s="3120"/>
      <c r="AD35" s="3840"/>
      <c r="AE35" s="4409"/>
      <c r="AF35" s="3891"/>
      <c r="AG35" s="4409"/>
      <c r="AH35" s="3891"/>
      <c r="AI35" s="3120"/>
      <c r="AJ35" s="3840"/>
      <c r="AK35" s="3120"/>
      <c r="AL35" s="3840"/>
      <c r="AM35" s="3120"/>
      <c r="AN35" s="3840"/>
      <c r="AO35" s="3120"/>
      <c r="AP35" s="3840"/>
      <c r="AQ35" s="3120"/>
      <c r="AR35" s="3840"/>
      <c r="AS35" s="3120"/>
      <c r="AT35" s="3840"/>
      <c r="AU35" s="3120"/>
      <c r="AV35" s="3840"/>
      <c r="AW35" s="3120"/>
      <c r="AX35" s="3840"/>
      <c r="AY35" s="3120"/>
      <c r="AZ35" s="3840"/>
      <c r="BA35" s="3120"/>
      <c r="BB35" s="3840"/>
      <c r="BC35" s="4399"/>
      <c r="BD35" s="4401"/>
      <c r="BE35" s="4404"/>
      <c r="BF35" s="4407"/>
      <c r="BG35" s="4407"/>
      <c r="BH35" s="4294"/>
      <c r="BI35" s="4397"/>
      <c r="BJ35" s="4397"/>
      <c r="BK35" s="4287"/>
      <c r="BL35" s="4287"/>
      <c r="BM35" s="4287"/>
      <c r="BN35" s="4287"/>
      <c r="BO35" s="3161"/>
      <c r="BP35" s="657"/>
      <c r="BQ35" s="657"/>
      <c r="BR35" s="657"/>
      <c r="BS35" s="657"/>
      <c r="BT35" s="657"/>
    </row>
    <row r="36" spans="1:72" ht="89.25" customHeight="1" x14ac:dyDescent="0.2">
      <c r="A36" s="2259"/>
      <c r="B36" s="2260"/>
      <c r="C36" s="1210"/>
      <c r="D36" s="1212"/>
      <c r="E36" s="1210"/>
      <c r="F36" s="1211"/>
      <c r="G36" s="3161"/>
      <c r="H36" s="4394"/>
      <c r="I36" s="3823"/>
      <c r="J36" s="3840"/>
      <c r="K36" s="4378"/>
      <c r="L36" s="4413"/>
      <c r="M36" s="4415"/>
      <c r="N36" s="4418"/>
      <c r="O36" s="3462"/>
      <c r="P36" s="3476"/>
      <c r="Q36" s="4412"/>
      <c r="R36" s="2807"/>
      <c r="S36" s="1232" t="s">
        <v>2315</v>
      </c>
      <c r="T36" s="2301">
        <v>1830000</v>
      </c>
      <c r="U36" s="1319">
        <v>1830000</v>
      </c>
      <c r="V36" s="1319">
        <v>1830000</v>
      </c>
      <c r="W36" s="4286"/>
      <c r="X36" s="4302"/>
      <c r="Y36" s="4411"/>
      <c r="Z36" s="4310"/>
      <c r="AA36" s="4411"/>
      <c r="AB36" s="4310"/>
      <c r="AC36" s="3120"/>
      <c r="AD36" s="3840"/>
      <c r="AE36" s="4409"/>
      <c r="AF36" s="3891"/>
      <c r="AG36" s="4409"/>
      <c r="AH36" s="3891"/>
      <c r="AI36" s="3120"/>
      <c r="AJ36" s="3840"/>
      <c r="AK36" s="3120"/>
      <c r="AL36" s="3840"/>
      <c r="AM36" s="3120"/>
      <c r="AN36" s="3840"/>
      <c r="AO36" s="3120"/>
      <c r="AP36" s="3840"/>
      <c r="AQ36" s="3120"/>
      <c r="AR36" s="3840"/>
      <c r="AS36" s="3120"/>
      <c r="AT36" s="3840"/>
      <c r="AU36" s="3120"/>
      <c r="AV36" s="3840"/>
      <c r="AW36" s="3120"/>
      <c r="AX36" s="3840"/>
      <c r="AY36" s="3120"/>
      <c r="AZ36" s="3840"/>
      <c r="BA36" s="3120"/>
      <c r="BB36" s="3840"/>
      <c r="BC36" s="4399"/>
      <c r="BD36" s="4401"/>
      <c r="BE36" s="4404"/>
      <c r="BF36" s="4407"/>
      <c r="BG36" s="4407"/>
      <c r="BH36" s="4294"/>
      <c r="BI36" s="4397"/>
      <c r="BJ36" s="4397"/>
      <c r="BK36" s="4287"/>
      <c r="BL36" s="4287"/>
      <c r="BM36" s="4287"/>
      <c r="BN36" s="4287"/>
      <c r="BO36" s="3161"/>
      <c r="BP36" s="657"/>
      <c r="BQ36" s="657"/>
      <c r="BR36" s="657"/>
      <c r="BS36" s="657"/>
      <c r="BT36" s="657"/>
    </row>
    <row r="37" spans="1:72" ht="82.5" customHeight="1" x14ac:dyDescent="0.2">
      <c r="A37" s="2259"/>
      <c r="B37" s="2260"/>
      <c r="C37" s="1210"/>
      <c r="D37" s="1212"/>
      <c r="E37" s="1210"/>
      <c r="F37" s="1211"/>
      <c r="G37" s="3161"/>
      <c r="H37" s="4394"/>
      <c r="I37" s="3823"/>
      <c r="J37" s="3840"/>
      <c r="K37" s="4378"/>
      <c r="L37" s="4413"/>
      <c r="M37" s="4415"/>
      <c r="N37" s="4418"/>
      <c r="O37" s="3462"/>
      <c r="P37" s="3476"/>
      <c r="Q37" s="4412"/>
      <c r="R37" s="2807"/>
      <c r="S37" s="1232" t="s">
        <v>2316</v>
      </c>
      <c r="T37" s="2301">
        <v>0</v>
      </c>
      <c r="U37" s="1319">
        <v>0</v>
      </c>
      <c r="V37" s="1319">
        <v>0</v>
      </c>
      <c r="W37" s="4286"/>
      <c r="X37" s="4302"/>
      <c r="Y37" s="4411"/>
      <c r="Z37" s="4310"/>
      <c r="AA37" s="4411"/>
      <c r="AB37" s="4310"/>
      <c r="AC37" s="3120"/>
      <c r="AD37" s="3840"/>
      <c r="AE37" s="4409"/>
      <c r="AF37" s="3891"/>
      <c r="AG37" s="4409"/>
      <c r="AH37" s="3891"/>
      <c r="AI37" s="3120"/>
      <c r="AJ37" s="3840"/>
      <c r="AK37" s="3120"/>
      <c r="AL37" s="3840"/>
      <c r="AM37" s="3120"/>
      <c r="AN37" s="3840"/>
      <c r="AO37" s="3120"/>
      <c r="AP37" s="3840"/>
      <c r="AQ37" s="3120"/>
      <c r="AR37" s="3840"/>
      <c r="AS37" s="3120"/>
      <c r="AT37" s="3840"/>
      <c r="AU37" s="3120"/>
      <c r="AV37" s="3840"/>
      <c r="AW37" s="3120"/>
      <c r="AX37" s="3840"/>
      <c r="AY37" s="3120"/>
      <c r="AZ37" s="3840"/>
      <c r="BA37" s="3120"/>
      <c r="BB37" s="3840"/>
      <c r="BC37" s="4399"/>
      <c r="BD37" s="4401"/>
      <c r="BE37" s="4404"/>
      <c r="BF37" s="4407"/>
      <c r="BG37" s="4407"/>
      <c r="BH37" s="4294"/>
      <c r="BI37" s="4397"/>
      <c r="BJ37" s="4397"/>
      <c r="BK37" s="4287"/>
      <c r="BL37" s="4287"/>
      <c r="BM37" s="4287"/>
      <c r="BN37" s="4287"/>
      <c r="BO37" s="3161"/>
      <c r="BP37" s="657"/>
      <c r="BQ37" s="657"/>
      <c r="BR37" s="657"/>
      <c r="BS37" s="657"/>
      <c r="BT37" s="657"/>
    </row>
    <row r="38" spans="1:72" ht="27.75" customHeight="1" x14ac:dyDescent="0.2">
      <c r="A38" s="2259"/>
      <c r="B38" s="2260"/>
      <c r="C38" s="1210"/>
      <c r="D38" s="1212"/>
      <c r="E38" s="1210"/>
      <c r="F38" s="1211"/>
      <c r="G38" s="3161"/>
      <c r="H38" s="4394"/>
      <c r="I38" s="3823"/>
      <c r="J38" s="3840"/>
      <c r="K38" s="4378"/>
      <c r="L38" s="4413"/>
      <c r="M38" s="4415"/>
      <c r="N38" s="4418"/>
      <c r="O38" s="3462"/>
      <c r="P38" s="3476"/>
      <c r="Q38" s="4412"/>
      <c r="R38" s="2807"/>
      <c r="S38" s="1232" t="s">
        <v>2317</v>
      </c>
      <c r="T38" s="2295">
        <v>8000000</v>
      </c>
      <c r="U38" s="1319">
        <v>8000000</v>
      </c>
      <c r="V38" s="1319">
        <v>0</v>
      </c>
      <c r="W38" s="4286"/>
      <c r="X38" s="4302"/>
      <c r="Y38" s="4411"/>
      <c r="Z38" s="4310"/>
      <c r="AA38" s="4411"/>
      <c r="AB38" s="4310"/>
      <c r="AC38" s="3120"/>
      <c r="AD38" s="3840"/>
      <c r="AE38" s="4409"/>
      <c r="AF38" s="3891"/>
      <c r="AG38" s="4409"/>
      <c r="AH38" s="3891"/>
      <c r="AI38" s="3120"/>
      <c r="AJ38" s="3840"/>
      <c r="AK38" s="3120"/>
      <c r="AL38" s="3840"/>
      <c r="AM38" s="3120"/>
      <c r="AN38" s="3840"/>
      <c r="AO38" s="3120"/>
      <c r="AP38" s="3840"/>
      <c r="AQ38" s="3120"/>
      <c r="AR38" s="3840"/>
      <c r="AS38" s="3120"/>
      <c r="AT38" s="3840"/>
      <c r="AU38" s="3120"/>
      <c r="AV38" s="3840"/>
      <c r="AW38" s="3120"/>
      <c r="AX38" s="3840"/>
      <c r="AY38" s="3120"/>
      <c r="AZ38" s="3840"/>
      <c r="BA38" s="3120"/>
      <c r="BB38" s="3840"/>
      <c r="BC38" s="4399"/>
      <c r="BD38" s="4401"/>
      <c r="BE38" s="4404"/>
      <c r="BF38" s="4407"/>
      <c r="BG38" s="4407"/>
      <c r="BH38" s="4294"/>
      <c r="BI38" s="4397"/>
      <c r="BJ38" s="4397"/>
      <c r="BK38" s="4287"/>
      <c r="BL38" s="4287"/>
      <c r="BM38" s="4287"/>
      <c r="BN38" s="4287"/>
      <c r="BO38" s="3161"/>
      <c r="BP38" s="657"/>
      <c r="BQ38" s="657"/>
      <c r="BR38" s="657"/>
      <c r="BS38" s="657"/>
      <c r="BT38" s="657"/>
    </row>
    <row r="39" spans="1:72" ht="57" customHeight="1" x14ac:dyDescent="0.2">
      <c r="A39" s="2259"/>
      <c r="B39" s="2260"/>
      <c r="C39" s="1210"/>
      <c r="D39" s="1212"/>
      <c r="E39" s="1210"/>
      <c r="F39" s="1212"/>
      <c r="G39" s="2966">
        <v>185</v>
      </c>
      <c r="H39" s="2834" t="s">
        <v>2318</v>
      </c>
      <c r="I39" s="3810" t="s">
        <v>2319</v>
      </c>
      <c r="J39" s="3878">
        <v>1</v>
      </c>
      <c r="K39" s="4378">
        <v>0.5</v>
      </c>
      <c r="L39" s="4413"/>
      <c r="M39" s="4415"/>
      <c r="N39" s="4418"/>
      <c r="O39" s="3461">
        <f>SUM(T39:T41)/P32</f>
        <v>0.23612750885478159</v>
      </c>
      <c r="P39" s="3476"/>
      <c r="Q39" s="3836"/>
      <c r="R39" s="4394" t="s">
        <v>2320</v>
      </c>
      <c r="S39" s="1232" t="s">
        <v>2321</v>
      </c>
      <c r="T39" s="2300">
        <v>19000000</v>
      </c>
      <c r="U39" s="1319">
        <v>19000000</v>
      </c>
      <c r="V39" s="1319"/>
      <c r="W39" s="4286"/>
      <c r="X39" s="4302"/>
      <c r="Y39" s="4411"/>
      <c r="Z39" s="4310"/>
      <c r="AA39" s="4411"/>
      <c r="AB39" s="4310"/>
      <c r="AC39" s="3120"/>
      <c r="AD39" s="3840"/>
      <c r="AE39" s="4409"/>
      <c r="AF39" s="3891"/>
      <c r="AG39" s="4409"/>
      <c r="AH39" s="3891"/>
      <c r="AI39" s="3120"/>
      <c r="AJ39" s="3840"/>
      <c r="AK39" s="3120"/>
      <c r="AL39" s="3840"/>
      <c r="AM39" s="3120"/>
      <c r="AN39" s="3840"/>
      <c r="AO39" s="3120"/>
      <c r="AP39" s="3840"/>
      <c r="AQ39" s="3120"/>
      <c r="AR39" s="3840"/>
      <c r="AS39" s="3120"/>
      <c r="AT39" s="3840"/>
      <c r="AU39" s="3120"/>
      <c r="AV39" s="3840"/>
      <c r="AW39" s="3120"/>
      <c r="AX39" s="3840"/>
      <c r="AY39" s="3120"/>
      <c r="AZ39" s="3840"/>
      <c r="BA39" s="3120"/>
      <c r="BB39" s="3840"/>
      <c r="BC39" s="4399"/>
      <c r="BD39" s="4401"/>
      <c r="BE39" s="4404"/>
      <c r="BF39" s="4407"/>
      <c r="BG39" s="4407"/>
      <c r="BH39" s="4294"/>
      <c r="BI39" s="4397"/>
      <c r="BJ39" s="4397"/>
      <c r="BK39" s="4287"/>
      <c r="BL39" s="4287"/>
      <c r="BM39" s="4287"/>
      <c r="BN39" s="4287"/>
      <c r="BO39" s="3161"/>
      <c r="BP39" s="657"/>
      <c r="BQ39" s="657"/>
      <c r="BR39" s="657"/>
      <c r="BS39" s="657"/>
      <c r="BT39" s="657"/>
    </row>
    <row r="40" spans="1:72" ht="46.5" customHeight="1" x14ac:dyDescent="0.2">
      <c r="A40" s="2259"/>
      <c r="B40" s="2260"/>
      <c r="C40" s="1210"/>
      <c r="D40" s="1212"/>
      <c r="E40" s="1210"/>
      <c r="F40" s="1212"/>
      <c r="G40" s="2966"/>
      <c r="H40" s="2923"/>
      <c r="I40" s="3823"/>
      <c r="J40" s="3840"/>
      <c r="K40" s="4378"/>
      <c r="L40" s="4413"/>
      <c r="M40" s="4415"/>
      <c r="N40" s="4418"/>
      <c r="O40" s="3462"/>
      <c r="P40" s="3476"/>
      <c r="Q40" s="3836"/>
      <c r="R40" s="4394"/>
      <c r="S40" s="1232" t="s">
        <v>2322</v>
      </c>
      <c r="T40" s="2300">
        <v>18600000</v>
      </c>
      <c r="U40" s="1319">
        <v>10853450</v>
      </c>
      <c r="V40" s="1319">
        <v>4250000</v>
      </c>
      <c r="W40" s="4286"/>
      <c r="X40" s="4302"/>
      <c r="Y40" s="4411"/>
      <c r="Z40" s="4310"/>
      <c r="AA40" s="4411"/>
      <c r="AB40" s="4310"/>
      <c r="AC40" s="3120"/>
      <c r="AD40" s="3840"/>
      <c r="AE40" s="4409"/>
      <c r="AF40" s="3891"/>
      <c r="AG40" s="4409"/>
      <c r="AH40" s="3891"/>
      <c r="AI40" s="3120"/>
      <c r="AJ40" s="3840"/>
      <c r="AK40" s="3120"/>
      <c r="AL40" s="3840"/>
      <c r="AM40" s="3120"/>
      <c r="AN40" s="3840"/>
      <c r="AO40" s="3120"/>
      <c r="AP40" s="3840"/>
      <c r="AQ40" s="3120"/>
      <c r="AR40" s="3840"/>
      <c r="AS40" s="3120"/>
      <c r="AT40" s="3840"/>
      <c r="AU40" s="3120"/>
      <c r="AV40" s="3840"/>
      <c r="AW40" s="3120"/>
      <c r="AX40" s="3840"/>
      <c r="AY40" s="3120"/>
      <c r="AZ40" s="3840"/>
      <c r="BA40" s="3120"/>
      <c r="BB40" s="3840"/>
      <c r="BC40" s="4399"/>
      <c r="BD40" s="4401"/>
      <c r="BE40" s="4404"/>
      <c r="BF40" s="4407"/>
      <c r="BG40" s="4407"/>
      <c r="BH40" s="4294"/>
      <c r="BI40" s="4397"/>
      <c r="BJ40" s="4397"/>
      <c r="BK40" s="4287"/>
      <c r="BL40" s="4287"/>
      <c r="BM40" s="4287"/>
      <c r="BN40" s="4287"/>
      <c r="BO40" s="3161"/>
      <c r="BP40" s="657"/>
      <c r="BQ40" s="657"/>
      <c r="BR40" s="657"/>
      <c r="BS40" s="657"/>
      <c r="BT40" s="657"/>
    </row>
    <row r="41" spans="1:72" ht="70.5" customHeight="1" x14ac:dyDescent="0.2">
      <c r="A41" s="2259"/>
      <c r="B41" s="2260"/>
      <c r="C41" s="1210"/>
      <c r="D41" s="1212"/>
      <c r="E41" s="1210"/>
      <c r="F41" s="1212"/>
      <c r="G41" s="2967"/>
      <c r="H41" s="2835"/>
      <c r="I41" s="3811"/>
      <c r="J41" s="3841"/>
      <c r="K41" s="4378"/>
      <c r="L41" s="4413"/>
      <c r="M41" s="4415"/>
      <c r="N41" s="4418"/>
      <c r="O41" s="3466"/>
      <c r="P41" s="3476"/>
      <c r="Q41" s="3836"/>
      <c r="R41" s="4395"/>
      <c r="S41" s="1232" t="s">
        <v>2323</v>
      </c>
      <c r="T41" s="2300">
        <v>2400000</v>
      </c>
      <c r="U41" s="1319">
        <v>2400000</v>
      </c>
      <c r="V41" s="1319">
        <v>1200000</v>
      </c>
      <c r="W41" s="4286"/>
      <c r="X41" s="4302"/>
      <c r="Y41" s="4411"/>
      <c r="Z41" s="4310"/>
      <c r="AA41" s="4411"/>
      <c r="AB41" s="4310"/>
      <c r="AC41" s="3120"/>
      <c r="AD41" s="3840"/>
      <c r="AE41" s="4409"/>
      <c r="AF41" s="3891"/>
      <c r="AG41" s="4409"/>
      <c r="AH41" s="3891"/>
      <c r="AI41" s="3120"/>
      <c r="AJ41" s="3840"/>
      <c r="AK41" s="3120"/>
      <c r="AL41" s="3840"/>
      <c r="AM41" s="3120"/>
      <c r="AN41" s="3840"/>
      <c r="AO41" s="3120"/>
      <c r="AP41" s="3840"/>
      <c r="AQ41" s="3120"/>
      <c r="AR41" s="3840"/>
      <c r="AS41" s="3120"/>
      <c r="AT41" s="3840"/>
      <c r="AU41" s="3120"/>
      <c r="AV41" s="3840"/>
      <c r="AW41" s="3120"/>
      <c r="AX41" s="3840"/>
      <c r="AY41" s="3120"/>
      <c r="AZ41" s="3840"/>
      <c r="BA41" s="3120"/>
      <c r="BB41" s="3840"/>
      <c r="BC41" s="4399"/>
      <c r="BD41" s="4401"/>
      <c r="BE41" s="4404"/>
      <c r="BF41" s="4407"/>
      <c r="BG41" s="4407"/>
      <c r="BH41" s="4294"/>
      <c r="BI41" s="4397"/>
      <c r="BJ41" s="4397"/>
      <c r="BK41" s="4287"/>
      <c r="BL41" s="4287"/>
      <c r="BM41" s="4287"/>
      <c r="BN41" s="4287"/>
      <c r="BO41" s="3161"/>
      <c r="BP41" s="657"/>
      <c r="BQ41" s="657"/>
      <c r="BR41" s="657"/>
      <c r="BS41" s="657"/>
      <c r="BT41" s="657"/>
    </row>
    <row r="42" spans="1:72" ht="85.5" customHeight="1" x14ac:dyDescent="0.2">
      <c r="A42" s="2259"/>
      <c r="B42" s="2260"/>
      <c r="C42" s="1210"/>
      <c r="D42" s="1212"/>
      <c r="E42" s="1210"/>
      <c r="F42" s="1211"/>
      <c r="G42" s="3161">
        <v>186</v>
      </c>
      <c r="H42" s="2807" t="s">
        <v>2324</v>
      </c>
      <c r="I42" s="3836" t="s">
        <v>2325</v>
      </c>
      <c r="J42" s="3120">
        <v>1</v>
      </c>
      <c r="K42" s="4378">
        <v>0.5</v>
      </c>
      <c r="L42" s="4413"/>
      <c r="M42" s="4415"/>
      <c r="N42" s="4418"/>
      <c r="O42" s="3427">
        <f>SUM(T42:T44)/P32</f>
        <v>0.23612750885478159</v>
      </c>
      <c r="P42" s="3476"/>
      <c r="Q42" s="3836"/>
      <c r="R42" s="4393" t="s">
        <v>2326</v>
      </c>
      <c r="S42" s="1234" t="s">
        <v>2327</v>
      </c>
      <c r="T42" s="2300">
        <f>25000000+1451000</f>
        <v>26451000</v>
      </c>
      <c r="U42" s="1319">
        <v>24597000</v>
      </c>
      <c r="V42" s="1319"/>
      <c r="W42" s="4286"/>
      <c r="X42" s="4302"/>
      <c r="Y42" s="4411"/>
      <c r="Z42" s="4310"/>
      <c r="AA42" s="4411"/>
      <c r="AB42" s="4310"/>
      <c r="AC42" s="3120"/>
      <c r="AD42" s="3840"/>
      <c r="AE42" s="4409"/>
      <c r="AF42" s="3891"/>
      <c r="AG42" s="4409"/>
      <c r="AH42" s="3891"/>
      <c r="AI42" s="3120"/>
      <c r="AJ42" s="3840"/>
      <c r="AK42" s="3120"/>
      <c r="AL42" s="3840"/>
      <c r="AM42" s="3120"/>
      <c r="AN42" s="3840"/>
      <c r="AO42" s="3120"/>
      <c r="AP42" s="3840"/>
      <c r="AQ42" s="3120"/>
      <c r="AR42" s="3840"/>
      <c r="AS42" s="3120"/>
      <c r="AT42" s="3840"/>
      <c r="AU42" s="3120"/>
      <c r="AV42" s="3840"/>
      <c r="AW42" s="3120"/>
      <c r="AX42" s="3840"/>
      <c r="AY42" s="3120"/>
      <c r="AZ42" s="3840"/>
      <c r="BA42" s="3120"/>
      <c r="BB42" s="3840"/>
      <c r="BC42" s="4399"/>
      <c r="BD42" s="4401"/>
      <c r="BE42" s="4404"/>
      <c r="BF42" s="4407"/>
      <c r="BG42" s="4407"/>
      <c r="BH42" s="4294"/>
      <c r="BI42" s="4397"/>
      <c r="BJ42" s="4397"/>
      <c r="BK42" s="4287"/>
      <c r="BL42" s="4287"/>
      <c r="BM42" s="4287"/>
      <c r="BN42" s="4287"/>
      <c r="BO42" s="3161"/>
      <c r="BP42" s="657"/>
      <c r="BQ42" s="657"/>
      <c r="BR42" s="657"/>
      <c r="BS42" s="657"/>
      <c r="BT42" s="657"/>
    </row>
    <row r="43" spans="1:72" ht="64.5" customHeight="1" x14ac:dyDescent="0.2">
      <c r="A43" s="2259"/>
      <c r="B43" s="2260"/>
      <c r="C43" s="1210"/>
      <c r="D43" s="1212"/>
      <c r="E43" s="1210"/>
      <c r="F43" s="1211"/>
      <c r="G43" s="3161"/>
      <c r="H43" s="2807"/>
      <c r="I43" s="3836"/>
      <c r="J43" s="3120"/>
      <c r="K43" s="4378"/>
      <c r="L43" s="4413"/>
      <c r="M43" s="4415"/>
      <c r="N43" s="4418"/>
      <c r="O43" s="3427"/>
      <c r="P43" s="3476"/>
      <c r="Q43" s="3836"/>
      <c r="R43" s="4394"/>
      <c r="S43" s="1234" t="s">
        <v>2328</v>
      </c>
      <c r="T43" s="2300">
        <f>8500000-1451000</f>
        <v>7049000</v>
      </c>
      <c r="U43" s="1319">
        <v>2160000</v>
      </c>
      <c r="V43" s="1319">
        <v>2160000</v>
      </c>
      <c r="W43" s="4286"/>
      <c r="X43" s="4302"/>
      <c r="Y43" s="4411"/>
      <c r="Z43" s="4310"/>
      <c r="AA43" s="4411"/>
      <c r="AB43" s="4310"/>
      <c r="AC43" s="3120"/>
      <c r="AD43" s="3840"/>
      <c r="AE43" s="4409"/>
      <c r="AF43" s="3891"/>
      <c r="AG43" s="4409"/>
      <c r="AH43" s="3891"/>
      <c r="AI43" s="3120"/>
      <c r="AJ43" s="3840"/>
      <c r="AK43" s="3120"/>
      <c r="AL43" s="3840"/>
      <c r="AM43" s="3120"/>
      <c r="AN43" s="3840"/>
      <c r="AO43" s="3120"/>
      <c r="AP43" s="3840"/>
      <c r="AQ43" s="3120"/>
      <c r="AR43" s="3840"/>
      <c r="AS43" s="3120"/>
      <c r="AT43" s="3840"/>
      <c r="AU43" s="3120"/>
      <c r="AV43" s="3840"/>
      <c r="AW43" s="3120"/>
      <c r="AX43" s="3840"/>
      <c r="AY43" s="3120"/>
      <c r="AZ43" s="3840"/>
      <c r="BA43" s="3120"/>
      <c r="BB43" s="3840"/>
      <c r="BC43" s="4399"/>
      <c r="BD43" s="4401"/>
      <c r="BE43" s="4404"/>
      <c r="BF43" s="4407"/>
      <c r="BG43" s="4407"/>
      <c r="BH43" s="4294"/>
      <c r="BI43" s="4397"/>
      <c r="BJ43" s="4397"/>
      <c r="BK43" s="4287"/>
      <c r="BL43" s="4287"/>
      <c r="BM43" s="4287"/>
      <c r="BN43" s="4287"/>
      <c r="BO43" s="3161"/>
      <c r="BP43" s="657"/>
      <c r="BQ43" s="657"/>
      <c r="BR43" s="657"/>
      <c r="BS43" s="657"/>
      <c r="BT43" s="657"/>
    </row>
    <row r="44" spans="1:72" ht="57" x14ac:dyDescent="0.2">
      <c r="A44" s="2259"/>
      <c r="B44" s="2260"/>
      <c r="C44" s="1210"/>
      <c r="D44" s="1212"/>
      <c r="E44" s="1210"/>
      <c r="F44" s="1211"/>
      <c r="G44" s="3161"/>
      <c r="H44" s="2807"/>
      <c r="I44" s="3836"/>
      <c r="J44" s="3120"/>
      <c r="K44" s="4378"/>
      <c r="L44" s="4413"/>
      <c r="M44" s="4416"/>
      <c r="N44" s="4419"/>
      <c r="O44" s="3427"/>
      <c r="P44" s="3476"/>
      <c r="Q44" s="3836"/>
      <c r="R44" s="4395"/>
      <c r="S44" s="1254" t="s">
        <v>2329</v>
      </c>
      <c r="T44" s="2300">
        <v>6500000</v>
      </c>
      <c r="U44" s="1319"/>
      <c r="V44" s="1319"/>
      <c r="W44" s="4286"/>
      <c r="X44" s="4303"/>
      <c r="Y44" s="4411"/>
      <c r="Z44" s="4311"/>
      <c r="AA44" s="4411"/>
      <c r="AB44" s="4311"/>
      <c r="AC44" s="3120"/>
      <c r="AD44" s="3841"/>
      <c r="AE44" s="4409"/>
      <c r="AF44" s="4410"/>
      <c r="AG44" s="4409"/>
      <c r="AH44" s="4410"/>
      <c r="AI44" s="3120"/>
      <c r="AJ44" s="3841"/>
      <c r="AK44" s="3120"/>
      <c r="AL44" s="3841"/>
      <c r="AM44" s="3120"/>
      <c r="AN44" s="3841"/>
      <c r="AO44" s="3120"/>
      <c r="AP44" s="3841"/>
      <c r="AQ44" s="3120"/>
      <c r="AR44" s="3841"/>
      <c r="AS44" s="3120"/>
      <c r="AT44" s="3841"/>
      <c r="AU44" s="3120"/>
      <c r="AV44" s="3841"/>
      <c r="AW44" s="3120"/>
      <c r="AX44" s="3841"/>
      <c r="AY44" s="3120"/>
      <c r="AZ44" s="3841"/>
      <c r="BA44" s="3120"/>
      <c r="BB44" s="3841"/>
      <c r="BC44" s="4399"/>
      <c r="BD44" s="4402"/>
      <c r="BE44" s="4405"/>
      <c r="BF44" s="4408"/>
      <c r="BG44" s="4408"/>
      <c r="BH44" s="4295"/>
      <c r="BI44" s="4398"/>
      <c r="BJ44" s="4398"/>
      <c r="BK44" s="4287"/>
      <c r="BL44" s="4287"/>
      <c r="BM44" s="4287"/>
      <c r="BN44" s="4287"/>
      <c r="BO44" s="3161"/>
      <c r="BP44" s="657"/>
      <c r="BQ44" s="657"/>
      <c r="BR44" s="657"/>
      <c r="BS44" s="657"/>
      <c r="BT44" s="657"/>
    </row>
    <row r="45" spans="1:72" ht="15" x14ac:dyDescent="0.2">
      <c r="A45" s="2259"/>
      <c r="B45" s="2260"/>
      <c r="C45" s="1210"/>
      <c r="D45" s="1212"/>
      <c r="E45" s="2302">
        <v>60</v>
      </c>
      <c r="F45" s="2286" t="s">
        <v>2330</v>
      </c>
      <c r="G45" s="2287"/>
      <c r="H45" s="2080"/>
      <c r="I45" s="2080"/>
      <c r="J45" s="2287"/>
      <c r="K45" s="2288"/>
      <c r="L45" s="2287"/>
      <c r="M45" s="2287"/>
      <c r="N45" s="1368"/>
      <c r="O45" s="2287"/>
      <c r="P45" s="2289"/>
      <c r="Q45" s="2080"/>
      <c r="R45" s="2080"/>
      <c r="S45" s="2080"/>
      <c r="T45" s="2303"/>
      <c r="U45" s="2290"/>
      <c r="V45" s="2290"/>
      <c r="W45" s="2304"/>
      <c r="X45" s="1368"/>
      <c r="Y45" s="2287"/>
      <c r="Z45" s="2287"/>
      <c r="AA45" s="2287"/>
      <c r="AB45" s="2287"/>
      <c r="AC45" s="2287"/>
      <c r="AD45" s="2287"/>
      <c r="AE45" s="2287"/>
      <c r="AF45" s="2287"/>
      <c r="AG45" s="2287"/>
      <c r="AH45" s="2287"/>
      <c r="AI45" s="2287"/>
      <c r="AJ45" s="2287"/>
      <c r="AK45" s="2287"/>
      <c r="AL45" s="2287"/>
      <c r="AM45" s="2287"/>
      <c r="AN45" s="2287"/>
      <c r="AO45" s="2287"/>
      <c r="AP45" s="2287"/>
      <c r="AQ45" s="2287"/>
      <c r="AR45" s="2287"/>
      <c r="AS45" s="2287"/>
      <c r="AT45" s="2287"/>
      <c r="AU45" s="2287"/>
      <c r="AV45" s="2287"/>
      <c r="AW45" s="2287"/>
      <c r="AX45" s="2287"/>
      <c r="AY45" s="2287"/>
      <c r="AZ45" s="2287"/>
      <c r="BA45" s="2287"/>
      <c r="BB45" s="2287"/>
      <c r="BC45" s="2287"/>
      <c r="BD45" s="2287"/>
      <c r="BE45" s="2287"/>
      <c r="BF45" s="2287"/>
      <c r="BG45" s="2287"/>
      <c r="BH45" s="2287"/>
      <c r="BI45" s="2287"/>
      <c r="BJ45" s="2287"/>
      <c r="BK45" s="2287"/>
      <c r="BL45" s="2287"/>
      <c r="BM45" s="2287"/>
      <c r="BN45" s="2287"/>
      <c r="BO45" s="2291"/>
      <c r="BP45" s="657"/>
      <c r="BQ45" s="657"/>
      <c r="BR45" s="657"/>
      <c r="BS45" s="657"/>
      <c r="BT45" s="657"/>
    </row>
    <row r="46" spans="1:72" ht="52.5" customHeight="1" x14ac:dyDescent="0.2">
      <c r="A46" s="2259"/>
      <c r="B46" s="2260"/>
      <c r="C46" s="1210"/>
      <c r="D46" s="1212"/>
      <c r="E46" s="1193"/>
      <c r="F46" s="1195"/>
      <c r="G46" s="2977">
        <v>187</v>
      </c>
      <c r="H46" s="2834" t="s">
        <v>2331</v>
      </c>
      <c r="I46" s="2834" t="s">
        <v>2332</v>
      </c>
      <c r="J46" s="3487">
        <v>1</v>
      </c>
      <c r="K46" s="4380">
        <v>0.7</v>
      </c>
      <c r="L46" s="4337" t="s">
        <v>2333</v>
      </c>
      <c r="M46" s="4314" t="s">
        <v>2334</v>
      </c>
      <c r="N46" s="3823" t="s">
        <v>2335</v>
      </c>
      <c r="O46" s="4381">
        <f>(T46+T47+T48+T49+T50+T51)/(P46)</f>
        <v>0.33333333333333331</v>
      </c>
      <c r="P46" s="3415">
        <f>SUM(T46:T57)</f>
        <v>120000000</v>
      </c>
      <c r="Q46" s="3823" t="s">
        <v>2336</v>
      </c>
      <c r="R46" s="3836" t="s">
        <v>2337</v>
      </c>
      <c r="S46" s="1232" t="s">
        <v>2338</v>
      </c>
      <c r="T46" s="2300">
        <v>10000000</v>
      </c>
      <c r="U46" s="1319">
        <v>5000000</v>
      </c>
      <c r="V46" s="1319">
        <v>5000000</v>
      </c>
      <c r="W46" s="4302" t="s">
        <v>682</v>
      </c>
      <c r="X46" s="2834" t="s">
        <v>697</v>
      </c>
      <c r="Y46" s="3878">
        <v>2500</v>
      </c>
      <c r="Z46" s="4390">
        <v>567</v>
      </c>
      <c r="AA46" s="3890">
        <v>1500</v>
      </c>
      <c r="AB46" s="4384">
        <v>556</v>
      </c>
      <c r="AC46" s="3878"/>
      <c r="AD46" s="3878">
        <v>307</v>
      </c>
      <c r="AE46" s="3878">
        <v>2500</v>
      </c>
      <c r="AF46" s="3878">
        <v>728</v>
      </c>
      <c r="AG46" s="3878">
        <v>1500</v>
      </c>
      <c r="AH46" s="3878">
        <v>88</v>
      </c>
      <c r="AI46" s="3878"/>
      <c r="AJ46" s="3878"/>
      <c r="AK46" s="4386"/>
      <c r="AL46" s="4386"/>
      <c r="AM46" s="3878"/>
      <c r="AN46" s="3878"/>
      <c r="AO46" s="3487"/>
      <c r="AP46" s="3487"/>
      <c r="AQ46" s="3487"/>
      <c r="AR46" s="3487"/>
      <c r="AS46" s="3487"/>
      <c r="AT46" s="3487"/>
      <c r="AU46" s="3487"/>
      <c r="AV46" s="3487"/>
      <c r="AW46" s="3487"/>
      <c r="AX46" s="3487"/>
      <c r="AY46" s="3487"/>
      <c r="AZ46" s="3487"/>
      <c r="BA46" s="3487"/>
      <c r="BB46" s="3487"/>
      <c r="BC46" s="2958">
        <f>+Y46+AA46</f>
        <v>4000</v>
      </c>
      <c r="BD46" s="4384">
        <f>+Z46+AB46</f>
        <v>1123</v>
      </c>
      <c r="BE46" s="3487">
        <v>4</v>
      </c>
      <c r="BF46" s="4306">
        <v>67832500</v>
      </c>
      <c r="BG46" s="4306">
        <v>33917000</v>
      </c>
      <c r="BH46" s="3127">
        <f>+BG46/BF46</f>
        <v>0.50001105664688761</v>
      </c>
      <c r="BI46" s="2977" t="s">
        <v>1462</v>
      </c>
      <c r="BJ46" s="2977" t="s">
        <v>2339</v>
      </c>
      <c r="BK46" s="4379">
        <v>43467</v>
      </c>
      <c r="BL46" s="4379">
        <v>43467</v>
      </c>
      <c r="BM46" s="3170">
        <v>43830</v>
      </c>
      <c r="BN46" s="3170">
        <v>43830</v>
      </c>
      <c r="BO46" s="2967" t="s">
        <v>2275</v>
      </c>
      <c r="BP46" s="657"/>
      <c r="BQ46" s="657"/>
      <c r="BR46" s="657"/>
      <c r="BS46" s="657"/>
      <c r="BT46" s="657"/>
    </row>
    <row r="47" spans="1:72" ht="45" customHeight="1" x14ac:dyDescent="0.2">
      <c r="A47" s="2259"/>
      <c r="B47" s="2260"/>
      <c r="C47" s="1210"/>
      <c r="D47" s="1212"/>
      <c r="E47" s="1210"/>
      <c r="F47" s="1212"/>
      <c r="G47" s="2966"/>
      <c r="H47" s="2923"/>
      <c r="I47" s="2923"/>
      <c r="J47" s="3488"/>
      <c r="K47" s="4380"/>
      <c r="L47" s="4338"/>
      <c r="M47" s="4314"/>
      <c r="N47" s="3823"/>
      <c r="O47" s="4382"/>
      <c r="P47" s="3415"/>
      <c r="Q47" s="3823"/>
      <c r="R47" s="3836"/>
      <c r="S47" s="1232" t="s">
        <v>2340</v>
      </c>
      <c r="T47" s="2300">
        <v>8000000</v>
      </c>
      <c r="U47" s="1319">
        <v>0</v>
      </c>
      <c r="V47" s="1319">
        <v>0</v>
      </c>
      <c r="W47" s="4302"/>
      <c r="X47" s="2923"/>
      <c r="Y47" s="3840"/>
      <c r="Z47" s="4385"/>
      <c r="AA47" s="3891"/>
      <c r="AB47" s="4389"/>
      <c r="AC47" s="3840"/>
      <c r="AD47" s="3840"/>
      <c r="AE47" s="3840"/>
      <c r="AF47" s="3840"/>
      <c r="AG47" s="3840"/>
      <c r="AH47" s="3840"/>
      <c r="AI47" s="3840"/>
      <c r="AJ47" s="3840"/>
      <c r="AK47" s="4387"/>
      <c r="AL47" s="4387"/>
      <c r="AM47" s="3840"/>
      <c r="AN47" s="3840"/>
      <c r="AO47" s="3488"/>
      <c r="AP47" s="3488"/>
      <c r="AQ47" s="3488"/>
      <c r="AR47" s="3488"/>
      <c r="AS47" s="3488"/>
      <c r="AT47" s="3488"/>
      <c r="AU47" s="3488"/>
      <c r="AV47" s="3488"/>
      <c r="AW47" s="3488"/>
      <c r="AX47" s="3488"/>
      <c r="AY47" s="3488"/>
      <c r="AZ47" s="3488"/>
      <c r="BA47" s="3488"/>
      <c r="BB47" s="3488"/>
      <c r="BC47" s="3488"/>
      <c r="BD47" s="4385"/>
      <c r="BE47" s="3488"/>
      <c r="BF47" s="4307"/>
      <c r="BG47" s="4307"/>
      <c r="BH47" s="4294"/>
      <c r="BI47" s="2966"/>
      <c r="BJ47" s="2966"/>
      <c r="BK47" s="4379"/>
      <c r="BL47" s="4379"/>
      <c r="BM47" s="3170"/>
      <c r="BN47" s="3170"/>
      <c r="BO47" s="2967"/>
      <c r="BP47" s="657"/>
      <c r="BQ47" s="657"/>
      <c r="BR47" s="657"/>
      <c r="BS47" s="657"/>
      <c r="BT47" s="657"/>
    </row>
    <row r="48" spans="1:72" ht="51" customHeight="1" x14ac:dyDescent="0.2">
      <c r="A48" s="2259"/>
      <c r="B48" s="2260"/>
      <c r="C48" s="1210"/>
      <c r="D48" s="1212"/>
      <c r="E48" s="1210"/>
      <c r="F48" s="1212"/>
      <c r="G48" s="2966"/>
      <c r="H48" s="2923"/>
      <c r="I48" s="2923"/>
      <c r="J48" s="3488"/>
      <c r="K48" s="4380"/>
      <c r="L48" s="4338"/>
      <c r="M48" s="4314"/>
      <c r="N48" s="3823"/>
      <c r="O48" s="4382"/>
      <c r="P48" s="3415"/>
      <c r="Q48" s="3823"/>
      <c r="R48" s="3836"/>
      <c r="S48" s="1232" t="s">
        <v>2341</v>
      </c>
      <c r="T48" s="2300">
        <v>8000000</v>
      </c>
      <c r="U48" s="1319">
        <v>1793000</v>
      </c>
      <c r="V48" s="1319">
        <v>1793000</v>
      </c>
      <c r="W48" s="4302"/>
      <c r="X48" s="2923"/>
      <c r="Y48" s="3840"/>
      <c r="Z48" s="4385"/>
      <c r="AA48" s="3891"/>
      <c r="AB48" s="4389"/>
      <c r="AC48" s="3840"/>
      <c r="AD48" s="3840"/>
      <c r="AE48" s="3840"/>
      <c r="AF48" s="3840"/>
      <c r="AG48" s="3840"/>
      <c r="AH48" s="3840"/>
      <c r="AI48" s="3840"/>
      <c r="AJ48" s="3840"/>
      <c r="AK48" s="4387"/>
      <c r="AL48" s="4387"/>
      <c r="AM48" s="3840"/>
      <c r="AN48" s="3840"/>
      <c r="AO48" s="3488"/>
      <c r="AP48" s="3488"/>
      <c r="AQ48" s="3488"/>
      <c r="AR48" s="3488"/>
      <c r="AS48" s="3488"/>
      <c r="AT48" s="3488"/>
      <c r="AU48" s="3488"/>
      <c r="AV48" s="3488"/>
      <c r="AW48" s="3488"/>
      <c r="AX48" s="3488"/>
      <c r="AY48" s="3488"/>
      <c r="AZ48" s="3488"/>
      <c r="BA48" s="3488"/>
      <c r="BB48" s="3488"/>
      <c r="BC48" s="3488"/>
      <c r="BD48" s="4385"/>
      <c r="BE48" s="3488"/>
      <c r="BF48" s="4307"/>
      <c r="BG48" s="4307"/>
      <c r="BH48" s="4294"/>
      <c r="BI48" s="2966"/>
      <c r="BJ48" s="2966"/>
      <c r="BK48" s="4379"/>
      <c r="BL48" s="4379"/>
      <c r="BM48" s="3170"/>
      <c r="BN48" s="3170"/>
      <c r="BO48" s="2967"/>
      <c r="BP48" s="657"/>
      <c r="BQ48" s="657"/>
      <c r="BR48" s="657"/>
      <c r="BS48" s="657"/>
      <c r="BT48" s="657"/>
    </row>
    <row r="49" spans="1:72" ht="63.75" customHeight="1" x14ac:dyDescent="0.2">
      <c r="A49" s="2259"/>
      <c r="B49" s="2260"/>
      <c r="C49" s="1210"/>
      <c r="D49" s="1212"/>
      <c r="E49" s="1210"/>
      <c r="F49" s="1212"/>
      <c r="G49" s="2966"/>
      <c r="H49" s="2923"/>
      <c r="I49" s="2923"/>
      <c r="J49" s="3488"/>
      <c r="K49" s="4380"/>
      <c r="L49" s="4338"/>
      <c r="M49" s="4314"/>
      <c r="N49" s="3823"/>
      <c r="O49" s="4382"/>
      <c r="P49" s="3415"/>
      <c r="Q49" s="3823"/>
      <c r="R49" s="3836"/>
      <c r="S49" s="1232" t="s">
        <v>2342</v>
      </c>
      <c r="T49" s="2300">
        <v>4000000</v>
      </c>
      <c r="U49" s="1319">
        <v>3000000</v>
      </c>
      <c r="V49" s="1319">
        <v>3000000</v>
      </c>
      <c r="W49" s="4302"/>
      <c r="X49" s="2923"/>
      <c r="Y49" s="3840"/>
      <c r="Z49" s="4385"/>
      <c r="AA49" s="3891"/>
      <c r="AB49" s="4389"/>
      <c r="AC49" s="3840"/>
      <c r="AD49" s="3840"/>
      <c r="AE49" s="3840"/>
      <c r="AF49" s="3840"/>
      <c r="AG49" s="3840"/>
      <c r="AH49" s="3840"/>
      <c r="AI49" s="3840"/>
      <c r="AJ49" s="3840"/>
      <c r="AK49" s="4387"/>
      <c r="AL49" s="4387"/>
      <c r="AM49" s="3840"/>
      <c r="AN49" s="3840"/>
      <c r="AO49" s="3488"/>
      <c r="AP49" s="3488"/>
      <c r="AQ49" s="3488"/>
      <c r="AR49" s="3488"/>
      <c r="AS49" s="3488"/>
      <c r="AT49" s="3488"/>
      <c r="AU49" s="3488"/>
      <c r="AV49" s="3488"/>
      <c r="AW49" s="3488"/>
      <c r="AX49" s="3488"/>
      <c r="AY49" s="3488"/>
      <c r="AZ49" s="3488"/>
      <c r="BA49" s="3488"/>
      <c r="BB49" s="3488"/>
      <c r="BC49" s="3488"/>
      <c r="BD49" s="4385"/>
      <c r="BE49" s="3488"/>
      <c r="BF49" s="4307"/>
      <c r="BG49" s="4307"/>
      <c r="BH49" s="4294"/>
      <c r="BI49" s="2966"/>
      <c r="BJ49" s="2966"/>
      <c r="BK49" s="4379"/>
      <c r="BL49" s="4379"/>
      <c r="BM49" s="3170"/>
      <c r="BN49" s="3170"/>
      <c r="BO49" s="2967"/>
      <c r="BP49" s="657"/>
      <c r="BQ49" s="657"/>
      <c r="BR49" s="657"/>
      <c r="BS49" s="657"/>
      <c r="BT49" s="657"/>
    </row>
    <row r="50" spans="1:72" ht="46.5" customHeight="1" x14ac:dyDescent="0.2">
      <c r="A50" s="2259"/>
      <c r="B50" s="2260"/>
      <c r="C50" s="1210"/>
      <c r="D50" s="1212"/>
      <c r="E50" s="1210"/>
      <c r="F50" s="1212"/>
      <c r="G50" s="2966"/>
      <c r="H50" s="2923"/>
      <c r="I50" s="2923"/>
      <c r="J50" s="3488"/>
      <c r="K50" s="4380"/>
      <c r="L50" s="4338"/>
      <c r="M50" s="4314"/>
      <c r="N50" s="3823"/>
      <c r="O50" s="4382"/>
      <c r="P50" s="3415"/>
      <c r="Q50" s="3823"/>
      <c r="R50" s="3836"/>
      <c r="S50" s="1232" t="s">
        <v>2343</v>
      </c>
      <c r="T50" s="2300">
        <v>9000000</v>
      </c>
      <c r="U50" s="1319">
        <v>7000000</v>
      </c>
      <c r="V50" s="1319">
        <v>0</v>
      </c>
      <c r="W50" s="4302"/>
      <c r="X50" s="2923"/>
      <c r="Y50" s="3840"/>
      <c r="Z50" s="4385"/>
      <c r="AA50" s="3891"/>
      <c r="AB50" s="4389"/>
      <c r="AC50" s="3840"/>
      <c r="AD50" s="3840"/>
      <c r="AE50" s="3840"/>
      <c r="AF50" s="3840"/>
      <c r="AG50" s="3840"/>
      <c r="AH50" s="3840"/>
      <c r="AI50" s="3840"/>
      <c r="AJ50" s="3840"/>
      <c r="AK50" s="4387"/>
      <c r="AL50" s="4387"/>
      <c r="AM50" s="3840"/>
      <c r="AN50" s="3840"/>
      <c r="AO50" s="3488"/>
      <c r="AP50" s="3488"/>
      <c r="AQ50" s="3488"/>
      <c r="AR50" s="3488"/>
      <c r="AS50" s="3488"/>
      <c r="AT50" s="3488"/>
      <c r="AU50" s="3488"/>
      <c r="AV50" s="3488"/>
      <c r="AW50" s="3488"/>
      <c r="AX50" s="3488"/>
      <c r="AY50" s="3488"/>
      <c r="AZ50" s="3488"/>
      <c r="BA50" s="3488"/>
      <c r="BB50" s="3488"/>
      <c r="BC50" s="3488"/>
      <c r="BD50" s="4385"/>
      <c r="BE50" s="3488"/>
      <c r="BF50" s="4307"/>
      <c r="BG50" s="4307"/>
      <c r="BH50" s="4294"/>
      <c r="BI50" s="2966"/>
      <c r="BJ50" s="2966"/>
      <c r="BK50" s="4379"/>
      <c r="BL50" s="4379"/>
      <c r="BM50" s="3170"/>
      <c r="BN50" s="3170"/>
      <c r="BO50" s="2967"/>
      <c r="BP50" s="657"/>
      <c r="BQ50" s="657"/>
      <c r="BR50" s="657"/>
      <c r="BS50" s="657"/>
      <c r="BT50" s="657"/>
    </row>
    <row r="51" spans="1:72" ht="35.25" customHeight="1" x14ac:dyDescent="0.2">
      <c r="A51" s="2259"/>
      <c r="B51" s="2260"/>
      <c r="C51" s="1210"/>
      <c r="D51" s="1212"/>
      <c r="E51" s="1210"/>
      <c r="F51" s="1212"/>
      <c r="G51" s="2967"/>
      <c r="H51" s="2835"/>
      <c r="I51" s="2835"/>
      <c r="J51" s="3489"/>
      <c r="K51" s="4380"/>
      <c r="L51" s="4338"/>
      <c r="M51" s="4314"/>
      <c r="N51" s="3823"/>
      <c r="O51" s="4383"/>
      <c r="P51" s="3415"/>
      <c r="Q51" s="3823"/>
      <c r="R51" s="3836"/>
      <c r="S51" s="1232" t="s">
        <v>2344</v>
      </c>
      <c r="T51" s="2300">
        <v>1000000</v>
      </c>
      <c r="U51" s="1319">
        <v>500000</v>
      </c>
      <c r="V51" s="1319">
        <v>0</v>
      </c>
      <c r="W51" s="4302"/>
      <c r="X51" s="2923"/>
      <c r="Y51" s="3840"/>
      <c r="Z51" s="4385"/>
      <c r="AA51" s="3891"/>
      <c r="AB51" s="4389"/>
      <c r="AC51" s="3840"/>
      <c r="AD51" s="3840"/>
      <c r="AE51" s="3840"/>
      <c r="AF51" s="3840"/>
      <c r="AG51" s="3840"/>
      <c r="AH51" s="3840"/>
      <c r="AI51" s="3840"/>
      <c r="AJ51" s="3840"/>
      <c r="AK51" s="4387"/>
      <c r="AL51" s="4387"/>
      <c r="AM51" s="3840"/>
      <c r="AN51" s="3840"/>
      <c r="AO51" s="3488"/>
      <c r="AP51" s="3488"/>
      <c r="AQ51" s="3488"/>
      <c r="AR51" s="3488"/>
      <c r="AS51" s="3488"/>
      <c r="AT51" s="3488"/>
      <c r="AU51" s="3488"/>
      <c r="AV51" s="3488"/>
      <c r="AW51" s="3488"/>
      <c r="AX51" s="3488"/>
      <c r="AY51" s="3488"/>
      <c r="AZ51" s="3488"/>
      <c r="BA51" s="3488"/>
      <c r="BB51" s="3488"/>
      <c r="BC51" s="3488"/>
      <c r="BD51" s="4385"/>
      <c r="BE51" s="3488"/>
      <c r="BF51" s="4307"/>
      <c r="BG51" s="4307"/>
      <c r="BH51" s="4294"/>
      <c r="BI51" s="2966"/>
      <c r="BJ51" s="2966"/>
      <c r="BK51" s="4379"/>
      <c r="BL51" s="4379"/>
      <c r="BM51" s="3170"/>
      <c r="BN51" s="3170"/>
      <c r="BO51" s="2967"/>
      <c r="BP51" s="657"/>
      <c r="BQ51" s="657"/>
      <c r="BR51" s="657"/>
      <c r="BS51" s="657"/>
      <c r="BT51" s="657"/>
    </row>
    <row r="52" spans="1:72" ht="89.25" customHeight="1" x14ac:dyDescent="0.2">
      <c r="A52" s="2259"/>
      <c r="B52" s="2260"/>
      <c r="C52" s="1210"/>
      <c r="D52" s="1212"/>
      <c r="E52" s="1210"/>
      <c r="F52" s="1212"/>
      <c r="G52" s="2977">
        <v>188</v>
      </c>
      <c r="H52" s="2834" t="s">
        <v>2345</v>
      </c>
      <c r="I52" s="2834" t="s">
        <v>2346</v>
      </c>
      <c r="J52" s="3487">
        <v>2</v>
      </c>
      <c r="K52" s="4380">
        <v>1.4</v>
      </c>
      <c r="L52" s="4338"/>
      <c r="M52" s="4314"/>
      <c r="N52" s="3823"/>
      <c r="O52" s="4381">
        <f>SUM(T52:T54)/P46</f>
        <v>0.33333333333333331</v>
      </c>
      <c r="P52" s="3415"/>
      <c r="Q52" s="3823"/>
      <c r="R52" s="2834" t="s">
        <v>2345</v>
      </c>
      <c r="S52" s="1232" t="s">
        <v>2347</v>
      </c>
      <c r="T52" s="2300">
        <v>30000000</v>
      </c>
      <c r="U52" s="1319">
        <v>17599500</v>
      </c>
      <c r="V52" s="1319">
        <f>7164000+8480000</f>
        <v>15644000</v>
      </c>
      <c r="W52" s="4302"/>
      <c r="X52" s="2923"/>
      <c r="Y52" s="3840"/>
      <c r="Z52" s="4385"/>
      <c r="AA52" s="3891"/>
      <c r="AB52" s="4389"/>
      <c r="AC52" s="3840"/>
      <c r="AD52" s="3840"/>
      <c r="AE52" s="3840"/>
      <c r="AF52" s="3840"/>
      <c r="AG52" s="3840"/>
      <c r="AH52" s="3840"/>
      <c r="AI52" s="3840"/>
      <c r="AJ52" s="3840"/>
      <c r="AK52" s="4387"/>
      <c r="AL52" s="4387"/>
      <c r="AM52" s="3840"/>
      <c r="AN52" s="3840"/>
      <c r="AO52" s="3488"/>
      <c r="AP52" s="3488"/>
      <c r="AQ52" s="3488"/>
      <c r="AR52" s="3488"/>
      <c r="AS52" s="3488"/>
      <c r="AT52" s="3488"/>
      <c r="AU52" s="3488"/>
      <c r="AV52" s="3488"/>
      <c r="AW52" s="3488"/>
      <c r="AX52" s="3488"/>
      <c r="AY52" s="3488"/>
      <c r="AZ52" s="3488"/>
      <c r="BA52" s="3488"/>
      <c r="BB52" s="3488"/>
      <c r="BC52" s="3488"/>
      <c r="BD52" s="4385"/>
      <c r="BE52" s="3488"/>
      <c r="BF52" s="4307"/>
      <c r="BG52" s="4307"/>
      <c r="BH52" s="4294"/>
      <c r="BI52" s="2966"/>
      <c r="BJ52" s="2966"/>
      <c r="BK52" s="4379"/>
      <c r="BL52" s="4379"/>
      <c r="BM52" s="3170"/>
      <c r="BN52" s="3170"/>
      <c r="BO52" s="2967"/>
      <c r="BP52" s="657"/>
      <c r="BQ52" s="657"/>
      <c r="BR52" s="657"/>
      <c r="BS52" s="657"/>
      <c r="BT52" s="657"/>
    </row>
    <row r="53" spans="1:72" ht="52.5" customHeight="1" x14ac:dyDescent="0.2">
      <c r="A53" s="2259"/>
      <c r="B53" s="2260"/>
      <c r="C53" s="1210"/>
      <c r="D53" s="1212"/>
      <c r="E53" s="1210"/>
      <c r="F53" s="1212"/>
      <c r="G53" s="2966"/>
      <c r="H53" s="2923"/>
      <c r="I53" s="2923"/>
      <c r="J53" s="3488"/>
      <c r="K53" s="4380"/>
      <c r="L53" s="4338"/>
      <c r="M53" s="4314"/>
      <c r="N53" s="3823"/>
      <c r="O53" s="4382"/>
      <c r="P53" s="3415"/>
      <c r="Q53" s="3823"/>
      <c r="R53" s="2923"/>
      <c r="S53" s="1232" t="s">
        <v>2348</v>
      </c>
      <c r="T53" s="2300">
        <v>7000000</v>
      </c>
      <c r="U53" s="1319">
        <v>7000000</v>
      </c>
      <c r="V53" s="1319">
        <v>5940000</v>
      </c>
      <c r="W53" s="4302"/>
      <c r="X53" s="2923"/>
      <c r="Y53" s="3840"/>
      <c r="Z53" s="4385"/>
      <c r="AA53" s="3891"/>
      <c r="AB53" s="4389"/>
      <c r="AC53" s="3840"/>
      <c r="AD53" s="3840"/>
      <c r="AE53" s="3840"/>
      <c r="AF53" s="3840"/>
      <c r="AG53" s="3840"/>
      <c r="AH53" s="3840"/>
      <c r="AI53" s="3840"/>
      <c r="AJ53" s="3840"/>
      <c r="AK53" s="4387"/>
      <c r="AL53" s="4387"/>
      <c r="AM53" s="3840"/>
      <c r="AN53" s="3840"/>
      <c r="AO53" s="3488"/>
      <c r="AP53" s="3488"/>
      <c r="AQ53" s="3488"/>
      <c r="AR53" s="3488"/>
      <c r="AS53" s="3488"/>
      <c r="AT53" s="3488"/>
      <c r="AU53" s="3488"/>
      <c r="AV53" s="3488"/>
      <c r="AW53" s="3488"/>
      <c r="AX53" s="3488"/>
      <c r="AY53" s="3488"/>
      <c r="AZ53" s="3488"/>
      <c r="BA53" s="3488"/>
      <c r="BB53" s="3488"/>
      <c r="BC53" s="3488"/>
      <c r="BD53" s="4385"/>
      <c r="BE53" s="3488"/>
      <c r="BF53" s="4307"/>
      <c r="BG53" s="4307"/>
      <c r="BH53" s="4294"/>
      <c r="BI53" s="2966"/>
      <c r="BJ53" s="2966"/>
      <c r="BK53" s="4379"/>
      <c r="BL53" s="4379"/>
      <c r="BM53" s="3170"/>
      <c r="BN53" s="3170"/>
      <c r="BO53" s="2967"/>
      <c r="BP53" s="657"/>
      <c r="BQ53" s="657"/>
      <c r="BR53" s="657"/>
      <c r="BS53" s="657"/>
      <c r="BT53" s="657"/>
    </row>
    <row r="54" spans="1:72" ht="45" customHeight="1" x14ac:dyDescent="0.2">
      <c r="A54" s="2259"/>
      <c r="B54" s="2260"/>
      <c r="C54" s="1210"/>
      <c r="D54" s="1212"/>
      <c r="E54" s="1210"/>
      <c r="F54" s="1212"/>
      <c r="G54" s="2967"/>
      <c r="H54" s="2835"/>
      <c r="I54" s="2835"/>
      <c r="J54" s="3489"/>
      <c r="K54" s="4380"/>
      <c r="L54" s="4338"/>
      <c r="M54" s="4314"/>
      <c r="N54" s="3823"/>
      <c r="O54" s="4383"/>
      <c r="P54" s="3476"/>
      <c r="Q54" s="3823"/>
      <c r="R54" s="2835"/>
      <c r="S54" s="1232" t="s">
        <v>2349</v>
      </c>
      <c r="T54" s="2300">
        <v>3000000</v>
      </c>
      <c r="U54" s="1319">
        <v>2540000</v>
      </c>
      <c r="V54" s="1319">
        <v>2540000</v>
      </c>
      <c r="W54" s="4302"/>
      <c r="X54" s="2923"/>
      <c r="Y54" s="3840"/>
      <c r="Z54" s="4385"/>
      <c r="AA54" s="3891"/>
      <c r="AB54" s="4389"/>
      <c r="AC54" s="3840"/>
      <c r="AD54" s="3840"/>
      <c r="AE54" s="3840"/>
      <c r="AF54" s="3840"/>
      <c r="AG54" s="3840"/>
      <c r="AH54" s="3840"/>
      <c r="AI54" s="3840"/>
      <c r="AJ54" s="3840"/>
      <c r="AK54" s="4387"/>
      <c r="AL54" s="4387"/>
      <c r="AM54" s="3840"/>
      <c r="AN54" s="3840"/>
      <c r="AO54" s="3488"/>
      <c r="AP54" s="3488"/>
      <c r="AQ54" s="3488"/>
      <c r="AR54" s="3488"/>
      <c r="AS54" s="3488"/>
      <c r="AT54" s="3488"/>
      <c r="AU54" s="3488"/>
      <c r="AV54" s="3488"/>
      <c r="AW54" s="3488"/>
      <c r="AX54" s="3488"/>
      <c r="AY54" s="3488"/>
      <c r="AZ54" s="3488"/>
      <c r="BA54" s="3488"/>
      <c r="BB54" s="3488"/>
      <c r="BC54" s="3488"/>
      <c r="BD54" s="4385"/>
      <c r="BE54" s="3488"/>
      <c r="BF54" s="4307"/>
      <c r="BG54" s="4307"/>
      <c r="BH54" s="4294"/>
      <c r="BI54" s="2966"/>
      <c r="BJ54" s="2966"/>
      <c r="BK54" s="3120"/>
      <c r="BL54" s="3120"/>
      <c r="BM54" s="3115"/>
      <c r="BN54" s="3115"/>
      <c r="BO54" s="3161"/>
      <c r="BP54" s="657"/>
      <c r="BQ54" s="657"/>
      <c r="BR54" s="657"/>
      <c r="BS54" s="657"/>
      <c r="BT54" s="657"/>
    </row>
    <row r="55" spans="1:72" ht="50.25" customHeight="1" x14ac:dyDescent="0.2">
      <c r="A55" s="2259"/>
      <c r="B55" s="2260"/>
      <c r="C55" s="1210"/>
      <c r="D55" s="1212"/>
      <c r="E55" s="1210"/>
      <c r="F55" s="1212"/>
      <c r="G55" s="2977">
        <v>189</v>
      </c>
      <c r="H55" s="2834" t="s">
        <v>2350</v>
      </c>
      <c r="I55" s="3810" t="s">
        <v>2351</v>
      </c>
      <c r="J55" s="3878">
        <v>1</v>
      </c>
      <c r="K55" s="4378">
        <v>0.4</v>
      </c>
      <c r="L55" s="4338"/>
      <c r="M55" s="4314"/>
      <c r="N55" s="3823"/>
      <c r="O55" s="4391">
        <f>SUM(T55:T57)/P46</f>
        <v>0.33333333333333331</v>
      </c>
      <c r="P55" s="3476"/>
      <c r="Q55" s="3823"/>
      <c r="R55" s="3810" t="s">
        <v>2352</v>
      </c>
      <c r="S55" s="1259" t="s">
        <v>2353</v>
      </c>
      <c r="T55" s="2300">
        <v>32000000</v>
      </c>
      <c r="U55" s="1319">
        <v>23400000</v>
      </c>
      <c r="V55" s="1319">
        <v>0</v>
      </c>
      <c r="W55" s="4302"/>
      <c r="X55" s="2923"/>
      <c r="Y55" s="3840"/>
      <c r="Z55" s="4385"/>
      <c r="AA55" s="3891"/>
      <c r="AB55" s="4389"/>
      <c r="AC55" s="3840"/>
      <c r="AD55" s="3840"/>
      <c r="AE55" s="3840"/>
      <c r="AF55" s="3840"/>
      <c r="AG55" s="3840"/>
      <c r="AH55" s="3840"/>
      <c r="AI55" s="3840"/>
      <c r="AJ55" s="3840"/>
      <c r="AK55" s="4387"/>
      <c r="AL55" s="4387"/>
      <c r="AM55" s="3840"/>
      <c r="AN55" s="3840"/>
      <c r="AO55" s="3488"/>
      <c r="AP55" s="3488"/>
      <c r="AQ55" s="3488"/>
      <c r="AR55" s="3488"/>
      <c r="AS55" s="3488"/>
      <c r="AT55" s="3488"/>
      <c r="AU55" s="3488"/>
      <c r="AV55" s="3488"/>
      <c r="AW55" s="3488"/>
      <c r="AX55" s="3488"/>
      <c r="AY55" s="3488"/>
      <c r="AZ55" s="3488"/>
      <c r="BA55" s="3488"/>
      <c r="BB55" s="3488"/>
      <c r="BC55" s="3488"/>
      <c r="BD55" s="4385"/>
      <c r="BE55" s="3488"/>
      <c r="BF55" s="4307"/>
      <c r="BG55" s="4307"/>
      <c r="BH55" s="4294"/>
      <c r="BI55" s="2966"/>
      <c r="BJ55" s="2966"/>
      <c r="BK55" s="3120"/>
      <c r="BL55" s="3120"/>
      <c r="BM55" s="3115"/>
      <c r="BN55" s="3115"/>
      <c r="BO55" s="3161"/>
      <c r="BP55" s="657"/>
      <c r="BQ55" s="657"/>
      <c r="BR55" s="657"/>
      <c r="BS55" s="657"/>
      <c r="BT55" s="657"/>
    </row>
    <row r="56" spans="1:72" ht="54" customHeight="1" x14ac:dyDescent="0.2">
      <c r="A56" s="2259"/>
      <c r="B56" s="2260"/>
      <c r="C56" s="1210"/>
      <c r="D56" s="1212"/>
      <c r="E56" s="1210"/>
      <c r="F56" s="1212"/>
      <c r="G56" s="2966"/>
      <c r="H56" s="2923"/>
      <c r="I56" s="3823"/>
      <c r="J56" s="3840"/>
      <c r="K56" s="4378"/>
      <c r="L56" s="4338"/>
      <c r="M56" s="4314"/>
      <c r="N56" s="3823"/>
      <c r="O56" s="4392"/>
      <c r="P56" s="3476"/>
      <c r="Q56" s="3823"/>
      <c r="R56" s="3823"/>
      <c r="S56" s="1259" t="s">
        <v>2354</v>
      </c>
      <c r="T56" s="2300">
        <v>4000000</v>
      </c>
      <c r="U56" s="1319">
        <v>0</v>
      </c>
      <c r="V56" s="1319">
        <v>0</v>
      </c>
      <c r="W56" s="4302"/>
      <c r="X56" s="2923"/>
      <c r="Y56" s="3840"/>
      <c r="Z56" s="4385"/>
      <c r="AA56" s="3891"/>
      <c r="AB56" s="4389"/>
      <c r="AC56" s="3840"/>
      <c r="AD56" s="3840"/>
      <c r="AE56" s="3840"/>
      <c r="AF56" s="3840"/>
      <c r="AG56" s="3840"/>
      <c r="AH56" s="3840"/>
      <c r="AI56" s="3840"/>
      <c r="AJ56" s="3840"/>
      <c r="AK56" s="4387"/>
      <c r="AL56" s="4387"/>
      <c r="AM56" s="3840"/>
      <c r="AN56" s="3840"/>
      <c r="AO56" s="3488"/>
      <c r="AP56" s="3488"/>
      <c r="AQ56" s="3488"/>
      <c r="AR56" s="3488"/>
      <c r="AS56" s="3488"/>
      <c r="AT56" s="3488"/>
      <c r="AU56" s="3488"/>
      <c r="AV56" s="3488"/>
      <c r="AW56" s="3488"/>
      <c r="AX56" s="3488"/>
      <c r="AY56" s="3488"/>
      <c r="AZ56" s="3488"/>
      <c r="BA56" s="3488"/>
      <c r="BB56" s="3488"/>
      <c r="BC56" s="3488"/>
      <c r="BD56" s="4385"/>
      <c r="BE56" s="3488"/>
      <c r="BF56" s="4307"/>
      <c r="BG56" s="4307"/>
      <c r="BH56" s="4294"/>
      <c r="BI56" s="2966"/>
      <c r="BJ56" s="2966"/>
      <c r="BK56" s="3120"/>
      <c r="BL56" s="3120"/>
      <c r="BM56" s="3115"/>
      <c r="BN56" s="3115"/>
      <c r="BO56" s="3161"/>
      <c r="BP56" s="657"/>
      <c r="BQ56" s="657"/>
      <c r="BR56" s="657"/>
      <c r="BS56" s="657"/>
      <c r="BT56" s="657"/>
    </row>
    <row r="57" spans="1:72" ht="48.75" customHeight="1" x14ac:dyDescent="0.2">
      <c r="A57" s="2259"/>
      <c r="B57" s="2260"/>
      <c r="C57" s="1210"/>
      <c r="D57" s="1212"/>
      <c r="E57" s="1210"/>
      <c r="F57" s="1212"/>
      <c r="G57" s="2966"/>
      <c r="H57" s="2923"/>
      <c r="I57" s="3823"/>
      <c r="J57" s="3840"/>
      <c r="K57" s="4378"/>
      <c r="L57" s="4338"/>
      <c r="M57" s="4314"/>
      <c r="N57" s="3823"/>
      <c r="O57" s="4392"/>
      <c r="P57" s="3476"/>
      <c r="Q57" s="3823"/>
      <c r="R57" s="3823"/>
      <c r="S57" s="1259" t="s">
        <v>2355</v>
      </c>
      <c r="T57" s="2300">
        <v>4000000</v>
      </c>
      <c r="U57" s="1319">
        <v>0</v>
      </c>
      <c r="V57" s="1319">
        <v>0</v>
      </c>
      <c r="W57" s="4302"/>
      <c r="X57" s="2923"/>
      <c r="Y57" s="3840"/>
      <c r="Z57" s="4385"/>
      <c r="AA57" s="3891"/>
      <c r="AB57" s="4389"/>
      <c r="AC57" s="3840"/>
      <c r="AD57" s="3841"/>
      <c r="AE57" s="3840"/>
      <c r="AF57" s="3841"/>
      <c r="AG57" s="3840"/>
      <c r="AH57" s="3841"/>
      <c r="AI57" s="3840"/>
      <c r="AJ57" s="3841"/>
      <c r="AK57" s="4387"/>
      <c r="AL57" s="4388"/>
      <c r="AM57" s="3840"/>
      <c r="AN57" s="3841"/>
      <c r="AO57" s="3488"/>
      <c r="AP57" s="3489"/>
      <c r="AQ57" s="3488"/>
      <c r="AR57" s="3489"/>
      <c r="AS57" s="3488"/>
      <c r="AT57" s="3489"/>
      <c r="AU57" s="3488"/>
      <c r="AV57" s="3489"/>
      <c r="AW57" s="3488"/>
      <c r="AX57" s="3489"/>
      <c r="AY57" s="3488"/>
      <c r="AZ57" s="3489"/>
      <c r="BA57" s="3488"/>
      <c r="BB57" s="3489"/>
      <c r="BC57" s="3488"/>
      <c r="BD57" s="4385"/>
      <c r="BE57" s="3489"/>
      <c r="BF57" s="4308"/>
      <c r="BG57" s="4308"/>
      <c r="BH57" s="4295"/>
      <c r="BI57" s="2967"/>
      <c r="BJ57" s="2967"/>
      <c r="BK57" s="3120"/>
      <c r="BL57" s="3120"/>
      <c r="BM57" s="3115"/>
      <c r="BN57" s="3115"/>
      <c r="BO57" s="3161"/>
      <c r="BP57" s="657"/>
      <c r="BQ57" s="657"/>
      <c r="BR57" s="657"/>
      <c r="BS57" s="657"/>
      <c r="BT57" s="657"/>
    </row>
    <row r="58" spans="1:72" ht="15" x14ac:dyDescent="0.2">
      <c r="A58" s="2259"/>
      <c r="B58" s="2260"/>
      <c r="C58" s="1210"/>
      <c r="D58" s="1212"/>
      <c r="E58" s="1385">
        <v>61</v>
      </c>
      <c r="F58" s="2286" t="s">
        <v>2356</v>
      </c>
      <c r="G58" s="2287"/>
      <c r="H58" s="2080"/>
      <c r="I58" s="2080"/>
      <c r="J58" s="2287"/>
      <c r="K58" s="2288"/>
      <c r="L58" s="2287"/>
      <c r="M58" s="2287"/>
      <c r="N58" s="1368"/>
      <c r="O58" s="2287"/>
      <c r="P58" s="2289"/>
      <c r="Q58" s="2080"/>
      <c r="R58" s="2080"/>
      <c r="S58" s="2080"/>
      <c r="T58" s="2289"/>
      <c r="U58" s="2290"/>
      <c r="V58" s="2290"/>
      <c r="W58" s="1367"/>
      <c r="X58" s="1368"/>
      <c r="Y58" s="2287"/>
      <c r="Z58" s="2287"/>
      <c r="AA58" s="2287"/>
      <c r="AB58" s="2287"/>
      <c r="AC58" s="2287"/>
      <c r="AD58" s="2287"/>
      <c r="AE58" s="2287"/>
      <c r="AF58" s="2287"/>
      <c r="AG58" s="2287"/>
      <c r="AH58" s="2287"/>
      <c r="AI58" s="2287"/>
      <c r="AJ58" s="2287"/>
      <c r="AK58" s="2287"/>
      <c r="AL58" s="2287"/>
      <c r="AM58" s="2287"/>
      <c r="AN58" s="2287"/>
      <c r="AO58" s="2287"/>
      <c r="AP58" s="2287"/>
      <c r="AQ58" s="2287"/>
      <c r="AR58" s="2287"/>
      <c r="AS58" s="2287"/>
      <c r="AT58" s="2287"/>
      <c r="AU58" s="2287"/>
      <c r="AV58" s="2287"/>
      <c r="AW58" s="2287"/>
      <c r="AX58" s="2287"/>
      <c r="AY58" s="2287"/>
      <c r="AZ58" s="2287"/>
      <c r="BA58" s="2287"/>
      <c r="BB58" s="2287"/>
      <c r="BC58" s="2287"/>
      <c r="BD58" s="2287"/>
      <c r="BE58" s="2287"/>
      <c r="BF58" s="2287"/>
      <c r="BG58" s="2287"/>
      <c r="BH58" s="2287"/>
      <c r="BI58" s="2287"/>
      <c r="BJ58" s="2287"/>
      <c r="BK58" s="2287"/>
      <c r="BL58" s="2287"/>
      <c r="BM58" s="2287"/>
      <c r="BN58" s="2287"/>
      <c r="BO58" s="2291"/>
      <c r="BP58" s="657"/>
      <c r="BQ58" s="657"/>
      <c r="BR58" s="657"/>
      <c r="BS58" s="657"/>
      <c r="BT58" s="657"/>
    </row>
    <row r="59" spans="1:72" ht="57" x14ac:dyDescent="0.2">
      <c r="A59" s="2259"/>
      <c r="B59" s="2260"/>
      <c r="C59" s="1210"/>
      <c r="D59" s="1212"/>
      <c r="E59" s="1193"/>
      <c r="F59" s="1212"/>
      <c r="G59" s="2977">
        <v>190</v>
      </c>
      <c r="H59" s="2834" t="s">
        <v>2357</v>
      </c>
      <c r="I59" s="2834" t="s">
        <v>2358</v>
      </c>
      <c r="J59" s="3165">
        <v>1</v>
      </c>
      <c r="K59" s="4313">
        <v>0.65</v>
      </c>
      <c r="L59" s="4337" t="s">
        <v>2359</v>
      </c>
      <c r="M59" s="4335" t="s">
        <v>2360</v>
      </c>
      <c r="N59" s="3810" t="s">
        <v>2361</v>
      </c>
      <c r="O59" s="3461">
        <f>SUM(T59:T75)/P59</f>
        <v>1</v>
      </c>
      <c r="P59" s="3413">
        <f>SUM(T59:T75)</f>
        <v>190000000</v>
      </c>
      <c r="Q59" s="4376" t="s">
        <v>2362</v>
      </c>
      <c r="R59" s="2807" t="s">
        <v>2363</v>
      </c>
      <c r="S59" s="1232" t="s">
        <v>2364</v>
      </c>
      <c r="T59" s="2300">
        <v>5280000</v>
      </c>
      <c r="U59" s="1319">
        <v>3990000</v>
      </c>
      <c r="V59" s="1319">
        <v>2700000</v>
      </c>
      <c r="W59" s="4312">
        <v>20</v>
      </c>
      <c r="X59" s="2807" t="s">
        <v>86</v>
      </c>
      <c r="Y59" s="4372">
        <v>1500</v>
      </c>
      <c r="Z59" s="4373">
        <v>160</v>
      </c>
      <c r="AA59" s="4372">
        <v>1500</v>
      </c>
      <c r="AB59" s="4373">
        <v>200</v>
      </c>
      <c r="AC59" s="4372">
        <v>480</v>
      </c>
      <c r="AD59" s="4373">
        <v>60</v>
      </c>
      <c r="AE59" s="4372">
        <v>480</v>
      </c>
      <c r="AF59" s="4373">
        <v>60</v>
      </c>
      <c r="AG59" s="4372">
        <v>1000</v>
      </c>
      <c r="AH59" s="4373">
        <v>400</v>
      </c>
      <c r="AI59" s="4372">
        <v>1000</v>
      </c>
      <c r="AJ59" s="4373">
        <v>100</v>
      </c>
      <c r="AK59" s="4372">
        <v>20</v>
      </c>
      <c r="AL59" s="4373">
        <v>0</v>
      </c>
      <c r="AM59" s="4372">
        <v>20</v>
      </c>
      <c r="AN59" s="4373">
        <v>0</v>
      </c>
      <c r="AO59" s="4372"/>
      <c r="AP59" s="4373"/>
      <c r="AQ59" s="4372"/>
      <c r="AR59" s="4373"/>
      <c r="AS59" s="4372"/>
      <c r="AT59" s="4373"/>
      <c r="AU59" s="4372"/>
      <c r="AV59" s="4373"/>
      <c r="AW59" s="4372"/>
      <c r="AX59" s="4373"/>
      <c r="AY59" s="3482"/>
      <c r="AZ59" s="3484"/>
      <c r="BA59" s="3482"/>
      <c r="BB59" s="3484"/>
      <c r="BC59" s="4368">
        <f>+Y59+AA59</f>
        <v>3000</v>
      </c>
      <c r="BD59" s="4369">
        <f>+Z59+AB59</f>
        <v>360</v>
      </c>
      <c r="BE59" s="3484">
        <v>4</v>
      </c>
      <c r="BF59" s="4306">
        <v>94893725</v>
      </c>
      <c r="BG59" s="4306">
        <v>37719000</v>
      </c>
      <c r="BH59" s="3127">
        <f>+BG59/BF59</f>
        <v>0.3974867674337792</v>
      </c>
      <c r="BI59" s="2977" t="s">
        <v>1462</v>
      </c>
      <c r="BJ59" s="2977" t="s">
        <v>2365</v>
      </c>
      <c r="BK59" s="4287">
        <v>43467</v>
      </c>
      <c r="BL59" s="4287">
        <v>43467</v>
      </c>
      <c r="BM59" s="4363">
        <v>43830</v>
      </c>
      <c r="BN59" s="4363">
        <v>43830</v>
      </c>
      <c r="BO59" s="3161" t="s">
        <v>2275</v>
      </c>
      <c r="BP59" s="657"/>
      <c r="BQ59" s="657"/>
      <c r="BR59" s="657"/>
      <c r="BS59" s="657"/>
      <c r="BT59" s="657"/>
    </row>
    <row r="60" spans="1:72" ht="28.5" x14ac:dyDescent="0.2">
      <c r="A60" s="2259"/>
      <c r="B60" s="2260"/>
      <c r="C60" s="1210"/>
      <c r="D60" s="1212"/>
      <c r="E60" s="1210"/>
      <c r="F60" s="1212"/>
      <c r="G60" s="2966"/>
      <c r="H60" s="2923"/>
      <c r="I60" s="2923"/>
      <c r="J60" s="3207"/>
      <c r="K60" s="4313"/>
      <c r="L60" s="4338"/>
      <c r="M60" s="4314"/>
      <c r="N60" s="3823"/>
      <c r="O60" s="3462"/>
      <c r="P60" s="3414"/>
      <c r="Q60" s="4377"/>
      <c r="R60" s="2807"/>
      <c r="S60" s="1232" t="s">
        <v>2366</v>
      </c>
      <c r="T60" s="2300">
        <f>13080000-13080000</f>
        <v>0</v>
      </c>
      <c r="U60" s="1319">
        <v>0</v>
      </c>
      <c r="V60" s="1319">
        <v>0</v>
      </c>
      <c r="W60" s="4302"/>
      <c r="X60" s="2807"/>
      <c r="Y60" s="4372"/>
      <c r="Z60" s="4374"/>
      <c r="AA60" s="4372"/>
      <c r="AB60" s="4374"/>
      <c r="AC60" s="4372"/>
      <c r="AD60" s="4374"/>
      <c r="AE60" s="4372"/>
      <c r="AF60" s="4374"/>
      <c r="AG60" s="4372"/>
      <c r="AH60" s="4374"/>
      <c r="AI60" s="4372"/>
      <c r="AJ60" s="4374"/>
      <c r="AK60" s="4372"/>
      <c r="AL60" s="4374"/>
      <c r="AM60" s="4372"/>
      <c r="AN60" s="4374"/>
      <c r="AO60" s="4372"/>
      <c r="AP60" s="4374"/>
      <c r="AQ60" s="4372"/>
      <c r="AR60" s="4374"/>
      <c r="AS60" s="4372"/>
      <c r="AT60" s="4374"/>
      <c r="AU60" s="4372"/>
      <c r="AV60" s="4374"/>
      <c r="AW60" s="4372"/>
      <c r="AX60" s="4374"/>
      <c r="AY60" s="3482"/>
      <c r="AZ60" s="3485"/>
      <c r="BA60" s="3482"/>
      <c r="BB60" s="3485"/>
      <c r="BC60" s="3482"/>
      <c r="BD60" s="4370"/>
      <c r="BE60" s="3485"/>
      <c r="BF60" s="4307"/>
      <c r="BG60" s="4307"/>
      <c r="BH60" s="4294"/>
      <c r="BI60" s="2966"/>
      <c r="BJ60" s="2966"/>
      <c r="BK60" s="4287"/>
      <c r="BL60" s="4287"/>
      <c r="BM60" s="4364"/>
      <c r="BN60" s="4364"/>
      <c r="BO60" s="3161"/>
      <c r="BP60" s="657"/>
      <c r="BQ60" s="657"/>
      <c r="BR60" s="657"/>
      <c r="BS60" s="657"/>
      <c r="BT60" s="657"/>
    </row>
    <row r="61" spans="1:72" ht="57" x14ac:dyDescent="0.2">
      <c r="A61" s="2259"/>
      <c r="B61" s="2260"/>
      <c r="C61" s="1210"/>
      <c r="D61" s="1212"/>
      <c r="E61" s="1210"/>
      <c r="F61" s="1212"/>
      <c r="G61" s="2966"/>
      <c r="H61" s="2923"/>
      <c r="I61" s="2923"/>
      <c r="J61" s="3207"/>
      <c r="K61" s="4313"/>
      <c r="L61" s="4338"/>
      <c r="M61" s="4314"/>
      <c r="N61" s="3823"/>
      <c r="O61" s="3462"/>
      <c r="P61" s="3414"/>
      <c r="Q61" s="4377"/>
      <c r="R61" s="2807"/>
      <c r="S61" s="1232" t="s">
        <v>2367</v>
      </c>
      <c r="T61" s="2300">
        <v>5000000</v>
      </c>
      <c r="U61" s="1319">
        <v>0</v>
      </c>
      <c r="V61" s="1319">
        <v>0</v>
      </c>
      <c r="W61" s="4302"/>
      <c r="X61" s="2807"/>
      <c r="Y61" s="4372"/>
      <c r="Z61" s="4374"/>
      <c r="AA61" s="4372"/>
      <c r="AB61" s="4374"/>
      <c r="AC61" s="4372"/>
      <c r="AD61" s="4374"/>
      <c r="AE61" s="4372"/>
      <c r="AF61" s="4374"/>
      <c r="AG61" s="4372"/>
      <c r="AH61" s="4374"/>
      <c r="AI61" s="4372"/>
      <c r="AJ61" s="4374"/>
      <c r="AK61" s="4372"/>
      <c r="AL61" s="4374"/>
      <c r="AM61" s="4372"/>
      <c r="AN61" s="4374"/>
      <c r="AO61" s="4372"/>
      <c r="AP61" s="4374"/>
      <c r="AQ61" s="4372"/>
      <c r="AR61" s="4374"/>
      <c r="AS61" s="4372"/>
      <c r="AT61" s="4374"/>
      <c r="AU61" s="4372"/>
      <c r="AV61" s="4374"/>
      <c r="AW61" s="4372"/>
      <c r="AX61" s="4374"/>
      <c r="AY61" s="3482"/>
      <c r="AZ61" s="3485"/>
      <c r="BA61" s="3482"/>
      <c r="BB61" s="3485"/>
      <c r="BC61" s="3482"/>
      <c r="BD61" s="4370"/>
      <c r="BE61" s="3485"/>
      <c r="BF61" s="4307"/>
      <c r="BG61" s="4307"/>
      <c r="BH61" s="4294"/>
      <c r="BI61" s="2966"/>
      <c r="BJ61" s="2966"/>
      <c r="BK61" s="4287"/>
      <c r="BL61" s="4287"/>
      <c r="BM61" s="4364"/>
      <c r="BN61" s="4364"/>
      <c r="BO61" s="3161"/>
      <c r="BP61" s="657"/>
      <c r="BQ61" s="657"/>
      <c r="BR61" s="657"/>
      <c r="BS61" s="657"/>
      <c r="BT61" s="657"/>
    </row>
    <row r="62" spans="1:72" ht="42.75" customHeight="1" x14ac:dyDescent="0.2">
      <c r="A62" s="2259"/>
      <c r="B62" s="2260"/>
      <c r="C62" s="1210"/>
      <c r="D62" s="1212"/>
      <c r="E62" s="1210"/>
      <c r="F62" s="1212"/>
      <c r="G62" s="2966"/>
      <c r="H62" s="2923"/>
      <c r="I62" s="2923"/>
      <c r="J62" s="3207"/>
      <c r="K62" s="4313"/>
      <c r="L62" s="4338"/>
      <c r="M62" s="4314"/>
      <c r="N62" s="3823"/>
      <c r="O62" s="3462"/>
      <c r="P62" s="3414"/>
      <c r="Q62" s="4377"/>
      <c r="R62" s="2807"/>
      <c r="S62" s="1232" t="s">
        <v>2368</v>
      </c>
      <c r="T62" s="2300">
        <v>4000000</v>
      </c>
      <c r="U62" s="1319">
        <v>2000000</v>
      </c>
      <c r="V62" s="1319">
        <v>1700000</v>
      </c>
      <c r="W62" s="4302"/>
      <c r="X62" s="2807"/>
      <c r="Y62" s="4372"/>
      <c r="Z62" s="4374"/>
      <c r="AA62" s="4372"/>
      <c r="AB62" s="4374"/>
      <c r="AC62" s="4372"/>
      <c r="AD62" s="4374"/>
      <c r="AE62" s="4372"/>
      <c r="AF62" s="4374"/>
      <c r="AG62" s="4372"/>
      <c r="AH62" s="4374"/>
      <c r="AI62" s="4372"/>
      <c r="AJ62" s="4374"/>
      <c r="AK62" s="4372"/>
      <c r="AL62" s="4374"/>
      <c r="AM62" s="4372"/>
      <c r="AN62" s="4374"/>
      <c r="AO62" s="4372"/>
      <c r="AP62" s="4374"/>
      <c r="AQ62" s="4372"/>
      <c r="AR62" s="4374"/>
      <c r="AS62" s="4372"/>
      <c r="AT62" s="4374"/>
      <c r="AU62" s="4372"/>
      <c r="AV62" s="4374"/>
      <c r="AW62" s="4372"/>
      <c r="AX62" s="4374"/>
      <c r="AY62" s="3482"/>
      <c r="AZ62" s="3485"/>
      <c r="BA62" s="3482"/>
      <c r="BB62" s="3485"/>
      <c r="BC62" s="3482"/>
      <c r="BD62" s="4370"/>
      <c r="BE62" s="3485"/>
      <c r="BF62" s="4307"/>
      <c r="BG62" s="4307"/>
      <c r="BH62" s="4294"/>
      <c r="BI62" s="2966"/>
      <c r="BJ62" s="2966"/>
      <c r="BK62" s="4287"/>
      <c r="BL62" s="4287"/>
      <c r="BM62" s="4364"/>
      <c r="BN62" s="4364"/>
      <c r="BO62" s="3161"/>
      <c r="BP62" s="657"/>
      <c r="BQ62" s="657"/>
      <c r="BR62" s="657"/>
      <c r="BS62" s="657"/>
      <c r="BT62" s="657"/>
    </row>
    <row r="63" spans="1:72" ht="110.25" customHeight="1" x14ac:dyDescent="0.2">
      <c r="A63" s="2259"/>
      <c r="B63" s="2260"/>
      <c r="C63" s="1210"/>
      <c r="D63" s="1212"/>
      <c r="E63" s="1210"/>
      <c r="F63" s="1212"/>
      <c r="G63" s="2966"/>
      <c r="H63" s="2923"/>
      <c r="I63" s="2923"/>
      <c r="J63" s="3207"/>
      <c r="K63" s="4313"/>
      <c r="L63" s="4338"/>
      <c r="M63" s="4314"/>
      <c r="N63" s="3823"/>
      <c r="O63" s="3462"/>
      <c r="P63" s="3414"/>
      <c r="Q63" s="4377"/>
      <c r="R63" s="2807" t="s">
        <v>2369</v>
      </c>
      <c r="S63" s="1232" t="s">
        <v>2370</v>
      </c>
      <c r="T63" s="2301">
        <f>22000000-2299000</f>
        <v>19701000</v>
      </c>
      <c r="U63" s="1319">
        <v>8955000</v>
      </c>
      <c r="V63" s="1319">
        <v>7164000</v>
      </c>
      <c r="W63" s="4302"/>
      <c r="X63" s="2807"/>
      <c r="Y63" s="4372"/>
      <c r="Z63" s="4374"/>
      <c r="AA63" s="4372"/>
      <c r="AB63" s="4374"/>
      <c r="AC63" s="4372"/>
      <c r="AD63" s="4374"/>
      <c r="AE63" s="4372"/>
      <c r="AF63" s="4374"/>
      <c r="AG63" s="4372"/>
      <c r="AH63" s="4374"/>
      <c r="AI63" s="4372"/>
      <c r="AJ63" s="4374"/>
      <c r="AK63" s="4372"/>
      <c r="AL63" s="4374"/>
      <c r="AM63" s="4372"/>
      <c r="AN63" s="4374"/>
      <c r="AO63" s="4372"/>
      <c r="AP63" s="4374"/>
      <c r="AQ63" s="4372"/>
      <c r="AR63" s="4374"/>
      <c r="AS63" s="4372"/>
      <c r="AT63" s="4374"/>
      <c r="AU63" s="4372"/>
      <c r="AV63" s="4374"/>
      <c r="AW63" s="4372"/>
      <c r="AX63" s="4374"/>
      <c r="AY63" s="3482"/>
      <c r="AZ63" s="3485"/>
      <c r="BA63" s="3482"/>
      <c r="BB63" s="3485"/>
      <c r="BC63" s="3482"/>
      <c r="BD63" s="4370"/>
      <c r="BE63" s="3485"/>
      <c r="BF63" s="4307"/>
      <c r="BG63" s="4307"/>
      <c r="BH63" s="4294"/>
      <c r="BI63" s="2966"/>
      <c r="BJ63" s="2966"/>
      <c r="BK63" s="4287"/>
      <c r="BL63" s="4287"/>
      <c r="BM63" s="4364"/>
      <c r="BN63" s="4364"/>
      <c r="BO63" s="3161"/>
      <c r="BP63" s="657"/>
      <c r="BQ63" s="657"/>
      <c r="BR63" s="657"/>
      <c r="BS63" s="657"/>
      <c r="BT63" s="657"/>
    </row>
    <row r="64" spans="1:72" ht="55.5" customHeight="1" x14ac:dyDescent="0.2">
      <c r="A64" s="2259"/>
      <c r="B64" s="2260"/>
      <c r="C64" s="1210"/>
      <c r="D64" s="1212"/>
      <c r="E64" s="1210"/>
      <c r="F64" s="1212"/>
      <c r="G64" s="2966"/>
      <c r="H64" s="2923"/>
      <c r="I64" s="2923"/>
      <c r="J64" s="3207"/>
      <c r="K64" s="4313"/>
      <c r="L64" s="4338"/>
      <c r="M64" s="4314"/>
      <c r="N64" s="3823"/>
      <c r="O64" s="3462"/>
      <c r="P64" s="3414"/>
      <c r="Q64" s="4377"/>
      <c r="R64" s="2807"/>
      <c r="S64" s="1232" t="s">
        <v>2371</v>
      </c>
      <c r="T64" s="2301">
        <f>13010000-5000000</f>
        <v>8010000</v>
      </c>
      <c r="U64" s="1319">
        <v>5000000</v>
      </c>
      <c r="V64" s="1319">
        <v>4500000</v>
      </c>
      <c r="W64" s="4302"/>
      <c r="X64" s="2807"/>
      <c r="Y64" s="4372"/>
      <c r="Z64" s="4374"/>
      <c r="AA64" s="4372"/>
      <c r="AB64" s="4374"/>
      <c r="AC64" s="4372"/>
      <c r="AD64" s="4374"/>
      <c r="AE64" s="4372"/>
      <c r="AF64" s="4374"/>
      <c r="AG64" s="4372"/>
      <c r="AH64" s="4374"/>
      <c r="AI64" s="4372"/>
      <c r="AJ64" s="4374"/>
      <c r="AK64" s="4372"/>
      <c r="AL64" s="4374"/>
      <c r="AM64" s="4372"/>
      <c r="AN64" s="4374"/>
      <c r="AO64" s="4372"/>
      <c r="AP64" s="4374"/>
      <c r="AQ64" s="4372"/>
      <c r="AR64" s="4374"/>
      <c r="AS64" s="4372"/>
      <c r="AT64" s="4374"/>
      <c r="AU64" s="4372"/>
      <c r="AV64" s="4374"/>
      <c r="AW64" s="4372"/>
      <c r="AX64" s="4374"/>
      <c r="AY64" s="3482"/>
      <c r="AZ64" s="3485"/>
      <c r="BA64" s="3482"/>
      <c r="BB64" s="3485"/>
      <c r="BC64" s="3482"/>
      <c r="BD64" s="4370"/>
      <c r="BE64" s="3485"/>
      <c r="BF64" s="4307"/>
      <c r="BG64" s="4307"/>
      <c r="BH64" s="4294"/>
      <c r="BI64" s="2966"/>
      <c r="BJ64" s="2966"/>
      <c r="BK64" s="4287"/>
      <c r="BL64" s="4287"/>
      <c r="BM64" s="4364"/>
      <c r="BN64" s="4364"/>
      <c r="BO64" s="3161"/>
      <c r="BP64" s="657"/>
      <c r="BQ64" s="657"/>
      <c r="BR64" s="657"/>
      <c r="BS64" s="657"/>
      <c r="BT64" s="657"/>
    </row>
    <row r="65" spans="1:283" ht="102.75" customHeight="1" x14ac:dyDescent="0.2">
      <c r="A65" s="2259"/>
      <c r="B65" s="2260"/>
      <c r="C65" s="1210"/>
      <c r="D65" s="1212"/>
      <c r="E65" s="1210"/>
      <c r="F65" s="1212"/>
      <c r="G65" s="2966"/>
      <c r="H65" s="2923"/>
      <c r="I65" s="2923"/>
      <c r="J65" s="3207"/>
      <c r="K65" s="4313"/>
      <c r="L65" s="4338"/>
      <c r="M65" s="4314"/>
      <c r="N65" s="3823"/>
      <c r="O65" s="3462"/>
      <c r="P65" s="3414"/>
      <c r="Q65" s="4377"/>
      <c r="R65" s="2807"/>
      <c r="S65" s="1232" t="s">
        <v>2372</v>
      </c>
      <c r="T65" s="2301">
        <v>6000000</v>
      </c>
      <c r="U65" s="1319">
        <v>5455000</v>
      </c>
      <c r="V65" s="1319">
        <f>1500000+2500000</f>
        <v>4000000</v>
      </c>
      <c r="W65" s="4302"/>
      <c r="X65" s="2807"/>
      <c r="Y65" s="4372"/>
      <c r="Z65" s="4374"/>
      <c r="AA65" s="4372"/>
      <c r="AB65" s="4374"/>
      <c r="AC65" s="4372"/>
      <c r="AD65" s="4374"/>
      <c r="AE65" s="4372"/>
      <c r="AF65" s="4374"/>
      <c r="AG65" s="4372"/>
      <c r="AH65" s="4374"/>
      <c r="AI65" s="4372"/>
      <c r="AJ65" s="4374"/>
      <c r="AK65" s="4372"/>
      <c r="AL65" s="4374"/>
      <c r="AM65" s="4372"/>
      <c r="AN65" s="4374"/>
      <c r="AO65" s="4372"/>
      <c r="AP65" s="4374"/>
      <c r="AQ65" s="4372"/>
      <c r="AR65" s="4374"/>
      <c r="AS65" s="4372"/>
      <c r="AT65" s="4374"/>
      <c r="AU65" s="4372"/>
      <c r="AV65" s="4374"/>
      <c r="AW65" s="4372"/>
      <c r="AX65" s="4374"/>
      <c r="AY65" s="3482"/>
      <c r="AZ65" s="3485"/>
      <c r="BA65" s="3482"/>
      <c r="BB65" s="3485"/>
      <c r="BC65" s="3482"/>
      <c r="BD65" s="4370"/>
      <c r="BE65" s="3485"/>
      <c r="BF65" s="4307"/>
      <c r="BG65" s="4307"/>
      <c r="BH65" s="4294"/>
      <c r="BI65" s="2966"/>
      <c r="BJ65" s="2966"/>
      <c r="BK65" s="4287"/>
      <c r="BL65" s="4287"/>
      <c r="BM65" s="4364"/>
      <c r="BN65" s="4364"/>
      <c r="BO65" s="3161"/>
      <c r="BP65" s="657"/>
      <c r="BQ65" s="657"/>
      <c r="BR65" s="657"/>
      <c r="BS65" s="657"/>
      <c r="BT65" s="657"/>
    </row>
    <row r="66" spans="1:283" ht="28.5" x14ac:dyDescent="0.2">
      <c r="A66" s="2259"/>
      <c r="B66" s="2260"/>
      <c r="C66" s="1210"/>
      <c r="D66" s="1212"/>
      <c r="E66" s="1210"/>
      <c r="F66" s="1212"/>
      <c r="G66" s="2966"/>
      <c r="H66" s="2923"/>
      <c r="I66" s="2923"/>
      <c r="J66" s="3207"/>
      <c r="K66" s="4313"/>
      <c r="L66" s="4338"/>
      <c r="M66" s="4314"/>
      <c r="N66" s="3823"/>
      <c r="O66" s="3462"/>
      <c r="P66" s="3414"/>
      <c r="Q66" s="4377"/>
      <c r="R66" s="2807"/>
      <c r="S66" s="1232" t="s">
        <v>2373</v>
      </c>
      <c r="T66" s="2301">
        <f>12580000-2580000</f>
        <v>10000000</v>
      </c>
      <c r="U66" s="1319">
        <v>0</v>
      </c>
      <c r="V66" s="1319">
        <v>0</v>
      </c>
      <c r="W66" s="4302"/>
      <c r="X66" s="2807"/>
      <c r="Y66" s="4372"/>
      <c r="Z66" s="4374"/>
      <c r="AA66" s="4372"/>
      <c r="AB66" s="4374"/>
      <c r="AC66" s="4372"/>
      <c r="AD66" s="4374"/>
      <c r="AE66" s="4372"/>
      <c r="AF66" s="4374"/>
      <c r="AG66" s="4372"/>
      <c r="AH66" s="4374"/>
      <c r="AI66" s="4372"/>
      <c r="AJ66" s="4374"/>
      <c r="AK66" s="4372"/>
      <c r="AL66" s="4374"/>
      <c r="AM66" s="4372"/>
      <c r="AN66" s="4374"/>
      <c r="AO66" s="4372"/>
      <c r="AP66" s="4374"/>
      <c r="AQ66" s="4372"/>
      <c r="AR66" s="4374"/>
      <c r="AS66" s="4372"/>
      <c r="AT66" s="4374"/>
      <c r="AU66" s="4372"/>
      <c r="AV66" s="4374"/>
      <c r="AW66" s="4372"/>
      <c r="AX66" s="4374"/>
      <c r="AY66" s="3482"/>
      <c r="AZ66" s="3485"/>
      <c r="BA66" s="3482"/>
      <c r="BB66" s="3485"/>
      <c r="BC66" s="3482"/>
      <c r="BD66" s="4370"/>
      <c r="BE66" s="3485"/>
      <c r="BF66" s="4307"/>
      <c r="BG66" s="4307"/>
      <c r="BH66" s="4294"/>
      <c r="BI66" s="2966"/>
      <c r="BJ66" s="2966"/>
      <c r="BK66" s="4287"/>
      <c r="BL66" s="4287"/>
      <c r="BM66" s="4364"/>
      <c r="BN66" s="4364"/>
      <c r="BO66" s="3161"/>
    </row>
    <row r="67" spans="1:283" ht="28.5" x14ac:dyDescent="0.2">
      <c r="A67" s="2259"/>
      <c r="B67" s="2260"/>
      <c r="C67" s="1210"/>
      <c r="D67" s="1212"/>
      <c r="E67" s="1210"/>
      <c r="F67" s="1212"/>
      <c r="G67" s="2966"/>
      <c r="H67" s="2923"/>
      <c r="I67" s="2923"/>
      <c r="J67" s="3207"/>
      <c r="K67" s="4313"/>
      <c r="L67" s="4338"/>
      <c r="M67" s="4314"/>
      <c r="N67" s="3823"/>
      <c r="O67" s="3462"/>
      <c r="P67" s="3414"/>
      <c r="Q67" s="4377"/>
      <c r="R67" s="2807"/>
      <c r="S67" s="1232" t="s">
        <v>2374</v>
      </c>
      <c r="T67" s="2301">
        <f>5000000+25959000</f>
        <v>30959000</v>
      </c>
      <c r="U67" s="1319">
        <v>25013725</v>
      </c>
      <c r="V67" s="1319">
        <v>2373000</v>
      </c>
      <c r="W67" s="4302"/>
      <c r="X67" s="2807"/>
      <c r="Y67" s="4372"/>
      <c r="Z67" s="4374"/>
      <c r="AA67" s="4372"/>
      <c r="AB67" s="4374"/>
      <c r="AC67" s="4372"/>
      <c r="AD67" s="4374"/>
      <c r="AE67" s="4372"/>
      <c r="AF67" s="4374"/>
      <c r="AG67" s="4372"/>
      <c r="AH67" s="4374"/>
      <c r="AI67" s="4372"/>
      <c r="AJ67" s="4374"/>
      <c r="AK67" s="4372"/>
      <c r="AL67" s="4374"/>
      <c r="AM67" s="4372"/>
      <c r="AN67" s="4374"/>
      <c r="AO67" s="4372"/>
      <c r="AP67" s="4374"/>
      <c r="AQ67" s="4372"/>
      <c r="AR67" s="4374"/>
      <c r="AS67" s="4372"/>
      <c r="AT67" s="4374"/>
      <c r="AU67" s="4372"/>
      <c r="AV67" s="4374"/>
      <c r="AW67" s="4372"/>
      <c r="AX67" s="4374"/>
      <c r="AY67" s="3482"/>
      <c r="AZ67" s="3485"/>
      <c r="BA67" s="3482"/>
      <c r="BB67" s="3485"/>
      <c r="BC67" s="3482"/>
      <c r="BD67" s="4370"/>
      <c r="BE67" s="3485"/>
      <c r="BF67" s="4307"/>
      <c r="BG67" s="4307"/>
      <c r="BH67" s="4294"/>
      <c r="BI67" s="2966"/>
      <c r="BJ67" s="2966"/>
      <c r="BK67" s="4287"/>
      <c r="BL67" s="4287"/>
      <c r="BM67" s="4364"/>
      <c r="BN67" s="4364"/>
      <c r="BO67" s="3161"/>
    </row>
    <row r="68" spans="1:283" ht="57" x14ac:dyDescent="0.2">
      <c r="A68" s="2259"/>
      <c r="B68" s="2260"/>
      <c r="C68" s="1210"/>
      <c r="D68" s="1212"/>
      <c r="E68" s="1210"/>
      <c r="F68" s="1212"/>
      <c r="G68" s="2966"/>
      <c r="H68" s="2923"/>
      <c r="I68" s="2923"/>
      <c r="J68" s="3207"/>
      <c r="K68" s="4313"/>
      <c r="L68" s="4338"/>
      <c r="M68" s="4314"/>
      <c r="N68" s="3823"/>
      <c r="O68" s="3462"/>
      <c r="P68" s="3414"/>
      <c r="Q68" s="4377"/>
      <c r="R68" s="2807"/>
      <c r="S68" s="1232" t="s">
        <v>2375</v>
      </c>
      <c r="T68" s="2301">
        <v>7920000</v>
      </c>
      <c r="U68" s="1319">
        <v>5000000</v>
      </c>
      <c r="V68" s="1319">
        <v>2847000</v>
      </c>
      <c r="W68" s="4302"/>
      <c r="X68" s="2807"/>
      <c r="Y68" s="4372"/>
      <c r="Z68" s="4374"/>
      <c r="AA68" s="4372"/>
      <c r="AB68" s="4374"/>
      <c r="AC68" s="4372"/>
      <c r="AD68" s="4374"/>
      <c r="AE68" s="4372"/>
      <c r="AF68" s="4374"/>
      <c r="AG68" s="4372"/>
      <c r="AH68" s="4374"/>
      <c r="AI68" s="4372"/>
      <c r="AJ68" s="4374"/>
      <c r="AK68" s="4372"/>
      <c r="AL68" s="4374"/>
      <c r="AM68" s="4372"/>
      <c r="AN68" s="4374"/>
      <c r="AO68" s="4372"/>
      <c r="AP68" s="4374"/>
      <c r="AQ68" s="4372"/>
      <c r="AR68" s="4374"/>
      <c r="AS68" s="4372"/>
      <c r="AT68" s="4374"/>
      <c r="AU68" s="4372"/>
      <c r="AV68" s="4374"/>
      <c r="AW68" s="4372"/>
      <c r="AX68" s="4374"/>
      <c r="AY68" s="3482"/>
      <c r="AZ68" s="3485"/>
      <c r="BA68" s="3482"/>
      <c r="BB68" s="3485"/>
      <c r="BC68" s="3482"/>
      <c r="BD68" s="4370"/>
      <c r="BE68" s="3485"/>
      <c r="BF68" s="4307"/>
      <c r="BG68" s="4307"/>
      <c r="BH68" s="4294"/>
      <c r="BI68" s="2966"/>
      <c r="BJ68" s="2966"/>
      <c r="BK68" s="4287"/>
      <c r="BL68" s="4287"/>
      <c r="BM68" s="4364"/>
      <c r="BN68" s="4364"/>
      <c r="BO68" s="3161"/>
    </row>
    <row r="69" spans="1:283" ht="42.75" x14ac:dyDescent="0.2">
      <c r="A69" s="2259"/>
      <c r="B69" s="2260"/>
      <c r="C69" s="1210"/>
      <c r="D69" s="1212"/>
      <c r="E69" s="1210"/>
      <c r="F69" s="1212"/>
      <c r="G69" s="2966"/>
      <c r="H69" s="2923"/>
      <c r="I69" s="2923"/>
      <c r="J69" s="3207"/>
      <c r="K69" s="4313"/>
      <c r="L69" s="4338"/>
      <c r="M69" s="4314"/>
      <c r="N69" s="3823"/>
      <c r="O69" s="3462"/>
      <c r="P69" s="3414"/>
      <c r="Q69" s="4377"/>
      <c r="R69" s="2807"/>
      <c r="S69" s="1232" t="s">
        <v>2376</v>
      </c>
      <c r="T69" s="2301">
        <v>8320000</v>
      </c>
      <c r="U69" s="1319">
        <v>7500000</v>
      </c>
      <c r="V69" s="1319">
        <f>1500000+2847000</f>
        <v>4347000</v>
      </c>
      <c r="W69" s="4302"/>
      <c r="X69" s="2807"/>
      <c r="Y69" s="4372"/>
      <c r="Z69" s="4374"/>
      <c r="AA69" s="4372"/>
      <c r="AB69" s="4374"/>
      <c r="AC69" s="4372"/>
      <c r="AD69" s="4374"/>
      <c r="AE69" s="4372"/>
      <c r="AF69" s="4374"/>
      <c r="AG69" s="4372"/>
      <c r="AH69" s="4374"/>
      <c r="AI69" s="4372"/>
      <c r="AJ69" s="4374"/>
      <c r="AK69" s="4372"/>
      <c r="AL69" s="4374"/>
      <c r="AM69" s="4372"/>
      <c r="AN69" s="4374"/>
      <c r="AO69" s="4372"/>
      <c r="AP69" s="4374"/>
      <c r="AQ69" s="4372"/>
      <c r="AR69" s="4374"/>
      <c r="AS69" s="4372"/>
      <c r="AT69" s="4374"/>
      <c r="AU69" s="4372"/>
      <c r="AV69" s="4374"/>
      <c r="AW69" s="4372"/>
      <c r="AX69" s="4374"/>
      <c r="AY69" s="3482"/>
      <c r="AZ69" s="3485"/>
      <c r="BA69" s="3482"/>
      <c r="BB69" s="3485"/>
      <c r="BC69" s="3482"/>
      <c r="BD69" s="4370"/>
      <c r="BE69" s="3485"/>
      <c r="BF69" s="4307"/>
      <c r="BG69" s="4307"/>
      <c r="BH69" s="4294"/>
      <c r="BI69" s="2966"/>
      <c r="BJ69" s="2966"/>
      <c r="BK69" s="4287"/>
      <c r="BL69" s="4287"/>
      <c r="BM69" s="4364"/>
      <c r="BN69" s="4364"/>
      <c r="BO69" s="3161"/>
    </row>
    <row r="70" spans="1:283" ht="42.75" x14ac:dyDescent="0.2">
      <c r="A70" s="2259"/>
      <c r="B70" s="2260"/>
      <c r="C70" s="1210"/>
      <c r="D70" s="1212"/>
      <c r="E70" s="1210"/>
      <c r="F70" s="1212"/>
      <c r="G70" s="2966"/>
      <c r="H70" s="2923"/>
      <c r="I70" s="2923"/>
      <c r="J70" s="3207"/>
      <c r="K70" s="4313"/>
      <c r="L70" s="4338"/>
      <c r="M70" s="4314"/>
      <c r="N70" s="3823"/>
      <c r="O70" s="3462"/>
      <c r="P70" s="3414"/>
      <c r="Q70" s="4377"/>
      <c r="R70" s="2807"/>
      <c r="S70" s="1232" t="s">
        <v>2377</v>
      </c>
      <c r="T70" s="2301">
        <v>10280000</v>
      </c>
      <c r="U70" s="1319">
        <v>3990000</v>
      </c>
      <c r="V70" s="1319">
        <v>2492000</v>
      </c>
      <c r="W70" s="4302"/>
      <c r="X70" s="2807"/>
      <c r="Y70" s="4372"/>
      <c r="Z70" s="4374"/>
      <c r="AA70" s="4372"/>
      <c r="AB70" s="4374"/>
      <c r="AC70" s="4372"/>
      <c r="AD70" s="4374"/>
      <c r="AE70" s="4372"/>
      <c r="AF70" s="4374"/>
      <c r="AG70" s="4372"/>
      <c r="AH70" s="4374"/>
      <c r="AI70" s="4372"/>
      <c r="AJ70" s="4374"/>
      <c r="AK70" s="4372"/>
      <c r="AL70" s="4374"/>
      <c r="AM70" s="4372"/>
      <c r="AN70" s="4374"/>
      <c r="AO70" s="4372"/>
      <c r="AP70" s="4374"/>
      <c r="AQ70" s="4372"/>
      <c r="AR70" s="4374"/>
      <c r="AS70" s="4372"/>
      <c r="AT70" s="4374"/>
      <c r="AU70" s="4372"/>
      <c r="AV70" s="4374"/>
      <c r="AW70" s="4372"/>
      <c r="AX70" s="4374"/>
      <c r="AY70" s="3482"/>
      <c r="AZ70" s="3485"/>
      <c r="BA70" s="3482"/>
      <c r="BB70" s="3485"/>
      <c r="BC70" s="3482"/>
      <c r="BD70" s="4370"/>
      <c r="BE70" s="3485"/>
      <c r="BF70" s="4307"/>
      <c r="BG70" s="4307"/>
      <c r="BH70" s="4294"/>
      <c r="BI70" s="2966"/>
      <c r="BJ70" s="2966"/>
      <c r="BK70" s="4287"/>
      <c r="BL70" s="4287"/>
      <c r="BM70" s="4364"/>
      <c r="BN70" s="4364"/>
      <c r="BO70" s="3161"/>
    </row>
    <row r="71" spans="1:283" ht="28.5" x14ac:dyDescent="0.2">
      <c r="A71" s="2259"/>
      <c r="B71" s="2260"/>
      <c r="C71" s="1210"/>
      <c r="D71" s="1212"/>
      <c r="E71" s="1210"/>
      <c r="F71" s="1212"/>
      <c r="G71" s="2966"/>
      <c r="H71" s="2923"/>
      <c r="I71" s="2923"/>
      <c r="J71" s="3207"/>
      <c r="K71" s="4313"/>
      <c r="L71" s="4338"/>
      <c r="M71" s="4314"/>
      <c r="N71" s="3823"/>
      <c r="O71" s="3462"/>
      <c r="P71" s="3414"/>
      <c r="Q71" s="4377"/>
      <c r="R71" s="2807"/>
      <c r="S71" s="1232" t="s">
        <v>2378</v>
      </c>
      <c r="T71" s="2301">
        <v>2450000</v>
      </c>
      <c r="U71" s="1319">
        <v>0</v>
      </c>
      <c r="V71" s="1319">
        <v>0</v>
      </c>
      <c r="W71" s="4302"/>
      <c r="X71" s="2807"/>
      <c r="Y71" s="4372"/>
      <c r="Z71" s="4374"/>
      <c r="AA71" s="4372"/>
      <c r="AB71" s="4374"/>
      <c r="AC71" s="4372"/>
      <c r="AD71" s="4374"/>
      <c r="AE71" s="4372"/>
      <c r="AF71" s="4374"/>
      <c r="AG71" s="4372"/>
      <c r="AH71" s="4374"/>
      <c r="AI71" s="4372"/>
      <c r="AJ71" s="4374"/>
      <c r="AK71" s="4372"/>
      <c r="AL71" s="4374"/>
      <c r="AM71" s="4372"/>
      <c r="AN71" s="4374"/>
      <c r="AO71" s="4372"/>
      <c r="AP71" s="4374"/>
      <c r="AQ71" s="4372"/>
      <c r="AR71" s="4374"/>
      <c r="AS71" s="4372"/>
      <c r="AT71" s="4374"/>
      <c r="AU71" s="4372"/>
      <c r="AV71" s="4374"/>
      <c r="AW71" s="4372"/>
      <c r="AX71" s="4374"/>
      <c r="AY71" s="3482"/>
      <c r="AZ71" s="3485"/>
      <c r="BA71" s="3482"/>
      <c r="BB71" s="3485"/>
      <c r="BC71" s="3482"/>
      <c r="BD71" s="4370"/>
      <c r="BE71" s="3485"/>
      <c r="BF71" s="4307"/>
      <c r="BG71" s="4307"/>
      <c r="BH71" s="4294"/>
      <c r="BI71" s="2966"/>
      <c r="BJ71" s="2966"/>
      <c r="BK71" s="4287"/>
      <c r="BL71" s="4287"/>
      <c r="BM71" s="4364"/>
      <c r="BN71" s="4364"/>
      <c r="BO71" s="3161"/>
    </row>
    <row r="72" spans="1:283" ht="42.75" customHeight="1" x14ac:dyDescent="0.2">
      <c r="A72" s="2259"/>
      <c r="B72" s="2260"/>
      <c r="C72" s="1210"/>
      <c r="D72" s="1212"/>
      <c r="E72" s="1210"/>
      <c r="F72" s="1212"/>
      <c r="G72" s="2966"/>
      <c r="H72" s="2923"/>
      <c r="I72" s="2923"/>
      <c r="J72" s="3207"/>
      <c r="K72" s="4313"/>
      <c r="L72" s="4338"/>
      <c r="M72" s="4314"/>
      <c r="N72" s="3823"/>
      <c r="O72" s="3462"/>
      <c r="P72" s="3414"/>
      <c r="Q72" s="4377"/>
      <c r="R72" s="2807"/>
      <c r="S72" s="1232" t="s">
        <v>2379</v>
      </c>
      <c r="T72" s="2301">
        <v>14800000</v>
      </c>
      <c r="U72" s="1319">
        <v>13990000</v>
      </c>
      <c r="V72" s="1319">
        <v>5596000</v>
      </c>
      <c r="W72" s="4302"/>
      <c r="X72" s="2807"/>
      <c r="Y72" s="4372"/>
      <c r="Z72" s="4374"/>
      <c r="AA72" s="4372"/>
      <c r="AB72" s="4374"/>
      <c r="AC72" s="4372"/>
      <c r="AD72" s="4374"/>
      <c r="AE72" s="4372"/>
      <c r="AF72" s="4374"/>
      <c r="AG72" s="4372"/>
      <c r="AH72" s="4374"/>
      <c r="AI72" s="4372"/>
      <c r="AJ72" s="4374"/>
      <c r="AK72" s="4372"/>
      <c r="AL72" s="4374"/>
      <c r="AM72" s="4372"/>
      <c r="AN72" s="4374"/>
      <c r="AO72" s="4372"/>
      <c r="AP72" s="4374"/>
      <c r="AQ72" s="4372"/>
      <c r="AR72" s="4374"/>
      <c r="AS72" s="4372"/>
      <c r="AT72" s="4374"/>
      <c r="AU72" s="4372"/>
      <c r="AV72" s="4374"/>
      <c r="AW72" s="4372"/>
      <c r="AX72" s="4374"/>
      <c r="AY72" s="3482"/>
      <c r="AZ72" s="3485"/>
      <c r="BA72" s="3482"/>
      <c r="BB72" s="3485"/>
      <c r="BC72" s="3482"/>
      <c r="BD72" s="4370"/>
      <c r="BE72" s="3485"/>
      <c r="BF72" s="4307"/>
      <c r="BG72" s="4307"/>
      <c r="BH72" s="4294"/>
      <c r="BI72" s="2966"/>
      <c r="BJ72" s="2966"/>
      <c r="BK72" s="4287"/>
      <c r="BL72" s="4287"/>
      <c r="BM72" s="4364"/>
      <c r="BN72" s="4364"/>
      <c r="BO72" s="3161"/>
    </row>
    <row r="73" spans="1:283" ht="28.5" x14ac:dyDescent="0.2">
      <c r="A73" s="2259"/>
      <c r="B73" s="2260"/>
      <c r="C73" s="1210"/>
      <c r="D73" s="1212"/>
      <c r="E73" s="1210"/>
      <c r="F73" s="1212"/>
      <c r="G73" s="2966"/>
      <c r="H73" s="2923"/>
      <c r="I73" s="2923"/>
      <c r="J73" s="3207"/>
      <c r="K73" s="4313"/>
      <c r="L73" s="4338"/>
      <c r="M73" s="4314"/>
      <c r="N73" s="3823"/>
      <c r="O73" s="3462"/>
      <c r="P73" s="3414"/>
      <c r="Q73" s="4377"/>
      <c r="R73" s="2807"/>
      <c r="S73" s="1232" t="s">
        <v>2380</v>
      </c>
      <c r="T73" s="2301">
        <v>5280000</v>
      </c>
      <c r="U73" s="1319">
        <v>0</v>
      </c>
      <c r="V73" s="1319">
        <v>0</v>
      </c>
      <c r="W73" s="4302"/>
      <c r="X73" s="2807"/>
      <c r="Y73" s="4372"/>
      <c r="Z73" s="4374"/>
      <c r="AA73" s="4372"/>
      <c r="AB73" s="4374"/>
      <c r="AC73" s="4372"/>
      <c r="AD73" s="4374"/>
      <c r="AE73" s="4372"/>
      <c r="AF73" s="4374"/>
      <c r="AG73" s="4372"/>
      <c r="AH73" s="4374"/>
      <c r="AI73" s="4372"/>
      <c r="AJ73" s="4374"/>
      <c r="AK73" s="4372"/>
      <c r="AL73" s="4374"/>
      <c r="AM73" s="4372"/>
      <c r="AN73" s="4374"/>
      <c r="AO73" s="4372"/>
      <c r="AP73" s="4374"/>
      <c r="AQ73" s="4372"/>
      <c r="AR73" s="4374"/>
      <c r="AS73" s="4372"/>
      <c r="AT73" s="4374"/>
      <c r="AU73" s="4372"/>
      <c r="AV73" s="4374"/>
      <c r="AW73" s="4372"/>
      <c r="AX73" s="4374"/>
      <c r="AY73" s="3482"/>
      <c r="AZ73" s="3485"/>
      <c r="BA73" s="3482"/>
      <c r="BB73" s="3485"/>
      <c r="BC73" s="3482"/>
      <c r="BD73" s="4370"/>
      <c r="BE73" s="3485"/>
      <c r="BF73" s="4307"/>
      <c r="BG73" s="4307"/>
      <c r="BH73" s="4294"/>
      <c r="BI73" s="2966"/>
      <c r="BJ73" s="2966"/>
      <c r="BK73" s="4287"/>
      <c r="BL73" s="4287"/>
      <c r="BM73" s="4364"/>
      <c r="BN73" s="4364"/>
      <c r="BO73" s="3161"/>
    </row>
    <row r="74" spans="1:283" ht="28.5" x14ac:dyDescent="0.2">
      <c r="A74" s="2259"/>
      <c r="B74" s="2260"/>
      <c r="C74" s="1210"/>
      <c r="D74" s="1212"/>
      <c r="E74" s="1210"/>
      <c r="F74" s="1212"/>
      <c r="G74" s="2966"/>
      <c r="H74" s="2923"/>
      <c r="I74" s="2923"/>
      <c r="J74" s="3207"/>
      <c r="K74" s="4313"/>
      <c r="L74" s="4338"/>
      <c r="M74" s="4314"/>
      <c r="N74" s="3823"/>
      <c r="O74" s="3462"/>
      <c r="P74" s="3414"/>
      <c r="Q74" s="4377"/>
      <c r="R74" s="2807"/>
      <c r="S74" s="1232" t="s">
        <v>2381</v>
      </c>
      <c r="T74" s="2300">
        <v>35000000</v>
      </c>
      <c r="U74" s="1319">
        <v>0</v>
      </c>
      <c r="V74" s="1319">
        <v>0</v>
      </c>
      <c r="W74" s="4302"/>
      <c r="X74" s="2807"/>
      <c r="Y74" s="4372"/>
      <c r="Z74" s="4374"/>
      <c r="AA74" s="4372"/>
      <c r="AB74" s="4374"/>
      <c r="AC74" s="4372"/>
      <c r="AD74" s="4374"/>
      <c r="AE74" s="4372"/>
      <c r="AF74" s="4374"/>
      <c r="AG74" s="4372"/>
      <c r="AH74" s="4374"/>
      <c r="AI74" s="4372"/>
      <c r="AJ74" s="4374"/>
      <c r="AK74" s="4372"/>
      <c r="AL74" s="4374"/>
      <c r="AM74" s="4372"/>
      <c r="AN74" s="4374"/>
      <c r="AO74" s="4372"/>
      <c r="AP74" s="4374"/>
      <c r="AQ74" s="4372"/>
      <c r="AR74" s="4374"/>
      <c r="AS74" s="4372"/>
      <c r="AT74" s="4374"/>
      <c r="AU74" s="4372"/>
      <c r="AV74" s="4374"/>
      <c r="AW74" s="4372"/>
      <c r="AX74" s="4374"/>
      <c r="AY74" s="3482"/>
      <c r="AZ74" s="3485"/>
      <c r="BA74" s="3482"/>
      <c r="BB74" s="3485"/>
      <c r="BC74" s="3482"/>
      <c r="BD74" s="4370"/>
      <c r="BE74" s="3485"/>
      <c r="BF74" s="4307"/>
      <c r="BG74" s="4307"/>
      <c r="BH74" s="4294"/>
      <c r="BI74" s="2966"/>
      <c r="BJ74" s="2966"/>
      <c r="BK74" s="4287"/>
      <c r="BL74" s="4287"/>
      <c r="BM74" s="4364"/>
      <c r="BN74" s="4364"/>
      <c r="BO74" s="3161"/>
    </row>
    <row r="75" spans="1:283" ht="28.5" x14ac:dyDescent="0.2">
      <c r="A75" s="2259"/>
      <c r="B75" s="2260"/>
      <c r="C75" s="1210"/>
      <c r="D75" s="1212"/>
      <c r="E75" s="1210"/>
      <c r="F75" s="1212"/>
      <c r="G75" s="2966"/>
      <c r="H75" s="2923"/>
      <c r="I75" s="2923"/>
      <c r="J75" s="3207"/>
      <c r="K75" s="4313"/>
      <c r="L75" s="4338"/>
      <c r="M75" s="4314"/>
      <c r="N75" s="3823"/>
      <c r="O75" s="3462"/>
      <c r="P75" s="3414"/>
      <c r="Q75" s="4377"/>
      <c r="R75" s="2834"/>
      <c r="S75" s="1232" t="s">
        <v>2382</v>
      </c>
      <c r="T75" s="2299">
        <f>20000000-3000000</f>
        <v>17000000</v>
      </c>
      <c r="U75" s="1319">
        <v>14000000</v>
      </c>
      <c r="V75" s="1319">
        <v>0</v>
      </c>
      <c r="W75" s="4302"/>
      <c r="X75" s="2834"/>
      <c r="Y75" s="4373"/>
      <c r="Z75" s="4375"/>
      <c r="AA75" s="4373"/>
      <c r="AB75" s="4375"/>
      <c r="AC75" s="4373"/>
      <c r="AD75" s="4375"/>
      <c r="AE75" s="4373"/>
      <c r="AF75" s="4375"/>
      <c r="AG75" s="4373"/>
      <c r="AH75" s="4375"/>
      <c r="AI75" s="4373"/>
      <c r="AJ75" s="4375"/>
      <c r="AK75" s="4373"/>
      <c r="AL75" s="4375"/>
      <c r="AM75" s="4373"/>
      <c r="AN75" s="4375"/>
      <c r="AO75" s="4373"/>
      <c r="AP75" s="4375"/>
      <c r="AQ75" s="4373"/>
      <c r="AR75" s="4375"/>
      <c r="AS75" s="4373"/>
      <c r="AT75" s="4375"/>
      <c r="AU75" s="4373"/>
      <c r="AV75" s="4375"/>
      <c r="AW75" s="4373"/>
      <c r="AX75" s="4375"/>
      <c r="AY75" s="3484"/>
      <c r="AZ75" s="3486"/>
      <c r="BA75" s="3484"/>
      <c r="BB75" s="3486"/>
      <c r="BC75" s="3484"/>
      <c r="BD75" s="4371"/>
      <c r="BE75" s="3486"/>
      <c r="BF75" s="4308"/>
      <c r="BG75" s="4308"/>
      <c r="BH75" s="4295"/>
      <c r="BI75" s="2967"/>
      <c r="BJ75" s="2967"/>
      <c r="BK75" s="3169"/>
      <c r="BL75" s="3169"/>
      <c r="BM75" s="4364"/>
      <c r="BN75" s="4364"/>
      <c r="BO75" s="2977"/>
    </row>
    <row r="76" spans="1:283" ht="15" x14ac:dyDescent="0.25">
      <c r="A76" s="2259"/>
      <c r="B76" s="2260"/>
      <c r="C76" s="2279">
        <v>18</v>
      </c>
      <c r="D76" s="2305" t="s">
        <v>2383</v>
      </c>
      <c r="E76" s="1873"/>
      <c r="F76" s="1873"/>
      <c r="G76" s="1873"/>
      <c r="H76" s="2133"/>
      <c r="I76" s="2133"/>
      <c r="J76" s="1873"/>
      <c r="K76" s="2282"/>
      <c r="L76" s="1873"/>
      <c r="M76" s="1873"/>
      <c r="N76" s="2227"/>
      <c r="O76" s="1873"/>
      <c r="P76" s="2306"/>
      <c r="Q76" s="2133"/>
      <c r="R76" s="2133"/>
      <c r="S76" s="2133"/>
      <c r="T76" s="2283"/>
      <c r="U76" s="2284"/>
      <c r="V76" s="2284"/>
      <c r="W76" s="2225"/>
      <c r="X76" s="2227"/>
      <c r="Y76" s="1873"/>
      <c r="Z76" s="1873"/>
      <c r="AA76" s="1873"/>
      <c r="AB76" s="1873"/>
      <c r="AC76" s="1873"/>
      <c r="AD76" s="1873"/>
      <c r="AE76" s="1873"/>
      <c r="AF76" s="1873"/>
      <c r="AG76" s="1873"/>
      <c r="AH76" s="1873"/>
      <c r="AI76" s="1873"/>
      <c r="AJ76" s="1873"/>
      <c r="AK76" s="1873"/>
      <c r="AL76" s="1873"/>
      <c r="AM76" s="1873"/>
      <c r="AN76" s="1873"/>
      <c r="AO76" s="1873"/>
      <c r="AP76" s="1873"/>
      <c r="AQ76" s="1873"/>
      <c r="AR76" s="1873"/>
      <c r="AS76" s="1873"/>
      <c r="AT76" s="1873"/>
      <c r="AU76" s="1873"/>
      <c r="AV76" s="1873"/>
      <c r="AW76" s="1873"/>
      <c r="AX76" s="1873"/>
      <c r="AY76" s="1873"/>
      <c r="AZ76" s="1873"/>
      <c r="BA76" s="1873"/>
      <c r="BB76" s="1873"/>
      <c r="BC76" s="1873"/>
      <c r="BD76" s="1873"/>
      <c r="BE76" s="1873"/>
      <c r="BF76" s="1873"/>
      <c r="BG76" s="1873"/>
      <c r="BH76" s="1873"/>
      <c r="BI76" s="1873"/>
      <c r="BJ76" s="1873"/>
      <c r="BK76" s="1873"/>
      <c r="BL76" s="1873"/>
      <c r="BM76" s="1873"/>
      <c r="BN76" s="1873"/>
      <c r="BO76" s="2307"/>
      <c r="BP76" s="2308"/>
      <c r="BQ76" s="2308"/>
      <c r="BR76" s="2308"/>
      <c r="BS76" s="2308"/>
      <c r="BT76" s="2308"/>
      <c r="BU76" s="1848"/>
      <c r="BV76" s="1848"/>
      <c r="BW76" s="1848"/>
      <c r="BX76" s="1848"/>
      <c r="BY76" s="1848"/>
      <c r="BZ76" s="1848"/>
      <c r="CA76" s="1848"/>
      <c r="CB76" s="1848"/>
      <c r="CC76" s="1848"/>
      <c r="CD76" s="1848"/>
      <c r="CE76" s="1848"/>
      <c r="CF76" s="1848"/>
      <c r="CG76" s="1848"/>
      <c r="CH76" s="1848"/>
      <c r="CI76" s="1848"/>
      <c r="CJ76" s="1848"/>
      <c r="CK76" s="1848"/>
      <c r="CL76" s="1848"/>
      <c r="CM76" s="1848"/>
      <c r="CN76" s="1848"/>
      <c r="CO76" s="1848"/>
      <c r="CP76" s="1848"/>
      <c r="CQ76" s="1848"/>
      <c r="CR76" s="1848"/>
      <c r="CS76" s="1848"/>
      <c r="CT76" s="1848"/>
      <c r="CU76" s="1848"/>
      <c r="CV76" s="1848"/>
      <c r="CW76" s="1848"/>
      <c r="CX76" s="1848"/>
      <c r="CY76" s="1848"/>
      <c r="CZ76" s="1848"/>
      <c r="DA76" s="1848"/>
      <c r="DB76" s="1848"/>
      <c r="DC76" s="1848"/>
      <c r="DD76" s="1848"/>
      <c r="DE76" s="1848"/>
      <c r="DF76" s="1848"/>
      <c r="DG76" s="1848"/>
      <c r="DH76" s="1848"/>
      <c r="DI76" s="1848"/>
      <c r="DJ76" s="1848"/>
      <c r="DK76" s="1848"/>
      <c r="DL76" s="1848"/>
      <c r="DM76" s="1848"/>
      <c r="DN76" s="1848"/>
      <c r="DO76" s="1848"/>
      <c r="DP76" s="1848"/>
      <c r="DQ76" s="1848"/>
      <c r="DR76" s="1848"/>
      <c r="DS76" s="1848"/>
      <c r="DT76" s="1848"/>
      <c r="DU76" s="1848"/>
      <c r="DV76" s="1848"/>
      <c r="DW76" s="1848"/>
      <c r="DX76" s="1848"/>
      <c r="DY76" s="1848"/>
      <c r="DZ76" s="1848"/>
      <c r="EA76" s="1848"/>
      <c r="EB76" s="1848"/>
      <c r="EC76" s="1848"/>
      <c r="ED76" s="1848"/>
      <c r="EE76" s="1848"/>
      <c r="EF76" s="1848"/>
      <c r="EG76" s="1848"/>
      <c r="EH76" s="1848"/>
      <c r="EI76" s="1848"/>
      <c r="EJ76" s="1848"/>
      <c r="EK76" s="1848"/>
      <c r="EL76" s="1848"/>
      <c r="EM76" s="1848"/>
      <c r="EN76" s="1848"/>
      <c r="EO76" s="1848"/>
      <c r="EP76" s="1848"/>
      <c r="EQ76" s="1848"/>
      <c r="ER76" s="1848"/>
      <c r="ES76" s="1848"/>
      <c r="ET76" s="1848"/>
      <c r="EU76" s="1848"/>
      <c r="EV76" s="1848"/>
      <c r="EW76" s="1848"/>
      <c r="EX76" s="1848"/>
      <c r="EY76" s="1848"/>
      <c r="EZ76" s="1848"/>
      <c r="FA76" s="1848"/>
      <c r="FB76" s="1848"/>
      <c r="FC76" s="1848"/>
      <c r="FD76" s="1848"/>
      <c r="FE76" s="1848"/>
      <c r="FF76" s="1848"/>
      <c r="FG76" s="1848"/>
      <c r="FH76" s="1848"/>
      <c r="FI76" s="1848"/>
      <c r="FJ76" s="1848"/>
      <c r="FK76" s="1848"/>
      <c r="FL76" s="1848"/>
      <c r="FM76" s="1848"/>
      <c r="FN76" s="1848"/>
      <c r="FO76" s="1848"/>
      <c r="FP76" s="1848"/>
      <c r="FQ76" s="1848"/>
      <c r="FR76" s="1848"/>
      <c r="FS76" s="1848"/>
      <c r="FT76" s="1848"/>
      <c r="FU76" s="1848"/>
      <c r="FV76" s="1848"/>
      <c r="FW76" s="1848"/>
      <c r="FX76" s="1848"/>
      <c r="FY76" s="1848"/>
      <c r="FZ76" s="1848"/>
      <c r="GA76" s="1848"/>
      <c r="GB76" s="1848"/>
      <c r="GC76" s="1848"/>
      <c r="GD76" s="1848"/>
      <c r="GE76" s="1848"/>
      <c r="GF76" s="1848"/>
      <c r="GG76" s="1848"/>
      <c r="GH76" s="1848"/>
      <c r="GI76" s="1848"/>
      <c r="GJ76" s="1848"/>
      <c r="GK76" s="1848"/>
      <c r="GL76" s="1848"/>
      <c r="GM76" s="1848"/>
      <c r="GN76" s="1848"/>
      <c r="GO76" s="1848"/>
      <c r="GP76" s="1848"/>
      <c r="GQ76" s="1848"/>
      <c r="GR76" s="1848"/>
      <c r="GS76" s="1848"/>
      <c r="GT76" s="1848"/>
      <c r="GU76" s="1848"/>
      <c r="GV76" s="1848"/>
      <c r="GW76" s="1848"/>
      <c r="GX76" s="1848"/>
      <c r="GY76" s="1848"/>
      <c r="GZ76" s="1848"/>
      <c r="HA76" s="1848"/>
      <c r="HB76" s="1848"/>
      <c r="HC76" s="1848"/>
      <c r="HD76" s="1848"/>
      <c r="HE76" s="1848"/>
      <c r="HF76" s="1848"/>
      <c r="HG76" s="1848"/>
      <c r="HH76" s="1848"/>
      <c r="HI76" s="1848"/>
      <c r="HJ76" s="1848"/>
      <c r="HK76" s="1848"/>
      <c r="HL76" s="1848"/>
      <c r="HM76" s="1848"/>
      <c r="HN76" s="1848"/>
      <c r="HO76" s="1848"/>
      <c r="HP76" s="1848"/>
      <c r="HQ76" s="1848"/>
      <c r="HR76" s="1848"/>
      <c r="HS76" s="1848"/>
      <c r="HT76" s="1848"/>
      <c r="HU76" s="1848"/>
      <c r="HV76" s="1848"/>
      <c r="HW76" s="1848"/>
      <c r="HX76" s="1848"/>
      <c r="HY76" s="1848"/>
      <c r="HZ76" s="1848"/>
      <c r="IA76" s="1848"/>
      <c r="IB76" s="1848"/>
      <c r="IC76" s="1848"/>
      <c r="ID76" s="1848"/>
      <c r="IE76" s="1848"/>
      <c r="IF76" s="1848"/>
      <c r="IG76" s="1848"/>
      <c r="IH76" s="1848"/>
      <c r="II76" s="1848"/>
      <c r="IJ76" s="1848"/>
      <c r="IK76" s="1848"/>
      <c r="IL76" s="1848"/>
      <c r="IM76" s="1848"/>
      <c r="IN76" s="1848"/>
      <c r="IO76" s="1848"/>
      <c r="IP76" s="1848"/>
      <c r="IQ76" s="1848"/>
      <c r="IR76" s="1848"/>
      <c r="IS76" s="1848"/>
      <c r="IT76" s="1848"/>
      <c r="IU76" s="1848"/>
      <c r="IV76" s="1848"/>
      <c r="IW76" s="1848"/>
      <c r="IX76" s="1848"/>
      <c r="IY76" s="1848"/>
      <c r="IZ76" s="1848"/>
      <c r="JA76" s="1848"/>
      <c r="JB76" s="1848"/>
      <c r="JC76" s="1848"/>
      <c r="JD76" s="1848"/>
      <c r="JE76" s="1848"/>
      <c r="JF76" s="1848"/>
      <c r="JG76" s="1848"/>
      <c r="JH76" s="1848"/>
      <c r="JI76" s="1848"/>
      <c r="JJ76" s="1848"/>
      <c r="JK76" s="1848"/>
      <c r="JL76" s="1848"/>
      <c r="JM76" s="1848"/>
      <c r="JN76" s="1848"/>
      <c r="JO76" s="1848"/>
      <c r="JP76" s="1848"/>
      <c r="JQ76" s="1848"/>
      <c r="JR76" s="1848"/>
      <c r="JS76" s="1848"/>
      <c r="JT76" s="1848"/>
      <c r="JU76" s="1848"/>
      <c r="JV76" s="1848"/>
      <c r="JW76" s="1848"/>
    </row>
    <row r="77" spans="1:283" ht="15" x14ac:dyDescent="0.2">
      <c r="A77" s="2259"/>
      <c r="B77" s="2260"/>
      <c r="C77" s="1210"/>
      <c r="D77" s="1212"/>
      <c r="E77" s="1385">
        <v>62</v>
      </c>
      <c r="F77" s="2286" t="s">
        <v>2384</v>
      </c>
      <c r="G77" s="2287"/>
      <c r="H77" s="2080"/>
      <c r="I77" s="2080"/>
      <c r="J77" s="2287"/>
      <c r="K77" s="2288"/>
      <c r="L77" s="2287"/>
      <c r="M77" s="2287"/>
      <c r="N77" s="1368"/>
      <c r="O77" s="2287"/>
      <c r="P77" s="2289"/>
      <c r="Q77" s="2080"/>
      <c r="R77" s="2080"/>
      <c r="S77" s="2080"/>
      <c r="T77" s="2289"/>
      <c r="U77" s="2290"/>
      <c r="V77" s="2290"/>
      <c r="W77" s="1893"/>
      <c r="X77" s="1889"/>
      <c r="Y77" s="2297"/>
      <c r="Z77" s="2297"/>
      <c r="AA77" s="2297"/>
      <c r="AB77" s="2297"/>
      <c r="AC77" s="2287"/>
      <c r="AD77" s="2287"/>
      <c r="AE77" s="2287"/>
      <c r="AF77" s="2287"/>
      <c r="AG77" s="2287"/>
      <c r="AH77" s="2287"/>
      <c r="AI77" s="2287"/>
      <c r="AJ77" s="2287"/>
      <c r="AK77" s="2287"/>
      <c r="AL77" s="2287"/>
      <c r="AM77" s="2287"/>
      <c r="AN77" s="2287"/>
      <c r="AO77" s="2287"/>
      <c r="AP77" s="2287"/>
      <c r="AQ77" s="2287"/>
      <c r="AR77" s="2287"/>
      <c r="AS77" s="2287"/>
      <c r="AT77" s="2287"/>
      <c r="AU77" s="2287"/>
      <c r="AV77" s="2287"/>
      <c r="AW77" s="2287"/>
      <c r="AX77" s="2287"/>
      <c r="AY77" s="2287"/>
      <c r="AZ77" s="2287"/>
      <c r="BA77" s="2287"/>
      <c r="BB77" s="2287"/>
      <c r="BC77" s="2287"/>
      <c r="BD77" s="2287"/>
      <c r="BE77" s="2287"/>
      <c r="BF77" s="2287"/>
      <c r="BG77" s="2287"/>
      <c r="BH77" s="2287"/>
      <c r="BI77" s="2287"/>
      <c r="BJ77" s="2287"/>
      <c r="BK77" s="2287"/>
      <c r="BL77" s="2287"/>
      <c r="BM77" s="2287"/>
      <c r="BN77" s="2287"/>
      <c r="BO77" s="2291"/>
    </row>
    <row r="78" spans="1:283" ht="53.25" customHeight="1" x14ac:dyDescent="0.2">
      <c r="A78" s="2259"/>
      <c r="B78" s="2260"/>
      <c r="C78" s="1210"/>
      <c r="D78" s="1212"/>
      <c r="E78" s="1193"/>
      <c r="F78" s="1195"/>
      <c r="G78" s="4352">
        <v>191</v>
      </c>
      <c r="H78" s="3836" t="s">
        <v>2385</v>
      </c>
      <c r="I78" s="3836" t="s">
        <v>2386</v>
      </c>
      <c r="J78" s="3828">
        <v>1</v>
      </c>
      <c r="K78" s="4365">
        <v>0.6</v>
      </c>
      <c r="L78" s="4337" t="s">
        <v>2387</v>
      </c>
      <c r="M78" s="4314" t="s">
        <v>2388</v>
      </c>
      <c r="N78" s="3811" t="s">
        <v>2389</v>
      </c>
      <c r="O78" s="3461">
        <v>1</v>
      </c>
      <c r="P78" s="3415">
        <f>SUM(T78:T94)</f>
        <v>1008600000</v>
      </c>
      <c r="Q78" s="3823" t="s">
        <v>2390</v>
      </c>
      <c r="R78" s="3810" t="s">
        <v>2391</v>
      </c>
      <c r="S78" s="2309" t="s">
        <v>2392</v>
      </c>
      <c r="T78" s="2310">
        <v>50000000</v>
      </c>
      <c r="U78" s="1505">
        <v>44255867</v>
      </c>
      <c r="V78" s="1505">
        <v>39616867</v>
      </c>
      <c r="W78" s="4362">
        <v>20</v>
      </c>
      <c r="X78" s="4322" t="s">
        <v>86</v>
      </c>
      <c r="Y78" s="3482">
        <v>1500</v>
      </c>
      <c r="Z78" s="3482">
        <v>418</v>
      </c>
      <c r="AA78" s="3482">
        <v>1000</v>
      </c>
      <c r="AB78" s="3482">
        <v>400</v>
      </c>
      <c r="AC78" s="4288">
        <v>500</v>
      </c>
      <c r="AD78" s="3484">
        <v>59</v>
      </c>
      <c r="AE78" s="3484">
        <v>700</v>
      </c>
      <c r="AF78" s="3484">
        <v>172</v>
      </c>
      <c r="AG78" s="3484">
        <v>1000</v>
      </c>
      <c r="AH78" s="3484">
        <v>424</v>
      </c>
      <c r="AI78" s="3484">
        <v>300</v>
      </c>
      <c r="AJ78" s="3484">
        <v>65</v>
      </c>
      <c r="AK78" s="3484"/>
      <c r="AL78" s="3484"/>
      <c r="AM78" s="3484"/>
      <c r="AN78" s="3482"/>
      <c r="AO78" s="3484"/>
      <c r="AP78" s="3484"/>
      <c r="AQ78" s="3484"/>
      <c r="AR78" s="3484"/>
      <c r="AS78" s="3484"/>
      <c r="AT78" s="3484"/>
      <c r="AU78" s="3484"/>
      <c r="AV78" s="3484"/>
      <c r="AW78" s="3484"/>
      <c r="AX78" s="3484"/>
      <c r="AY78" s="3484"/>
      <c r="AZ78" s="3484"/>
      <c r="BA78" s="3484"/>
      <c r="BB78" s="3484"/>
      <c r="BC78" s="3484">
        <f>+Y78+AA78</f>
        <v>2500</v>
      </c>
      <c r="BD78" s="3484">
        <f>+Z78+AB78</f>
        <v>818</v>
      </c>
      <c r="BE78" s="3484">
        <v>24</v>
      </c>
      <c r="BF78" s="4359">
        <v>540716911</v>
      </c>
      <c r="BG78" s="4359">
        <v>159120367</v>
      </c>
      <c r="BH78" s="3461">
        <f>+BG78/BF78</f>
        <v>0.29427666078673836</v>
      </c>
      <c r="BI78" s="3165" t="s">
        <v>1462</v>
      </c>
      <c r="BJ78" s="3165" t="s">
        <v>2393</v>
      </c>
      <c r="BK78" s="3170">
        <v>43467</v>
      </c>
      <c r="BL78" s="3170">
        <v>43467</v>
      </c>
      <c r="BM78" s="3170">
        <v>43830</v>
      </c>
      <c r="BN78" s="3170">
        <v>43830</v>
      </c>
      <c r="BO78" s="2967" t="s">
        <v>2394</v>
      </c>
    </row>
    <row r="79" spans="1:283" ht="60" customHeight="1" x14ac:dyDescent="0.2">
      <c r="A79" s="2259"/>
      <c r="B79" s="2260"/>
      <c r="C79" s="1210"/>
      <c r="D79" s="1212"/>
      <c r="E79" s="1210"/>
      <c r="F79" s="1212"/>
      <c r="G79" s="4352"/>
      <c r="H79" s="3836"/>
      <c r="I79" s="3836"/>
      <c r="J79" s="3828"/>
      <c r="K79" s="4366"/>
      <c r="L79" s="4338"/>
      <c r="M79" s="4314"/>
      <c r="N79" s="3811"/>
      <c r="O79" s="3462"/>
      <c r="P79" s="3415"/>
      <c r="Q79" s="3823"/>
      <c r="R79" s="3823"/>
      <c r="S79" s="2309" t="s">
        <v>2395</v>
      </c>
      <c r="T79" s="2310">
        <v>20000000</v>
      </c>
      <c r="U79" s="1505">
        <v>15884000</v>
      </c>
      <c r="V79" s="1505">
        <v>5186000</v>
      </c>
      <c r="W79" s="4362"/>
      <c r="X79" s="4317"/>
      <c r="Y79" s="3482"/>
      <c r="Z79" s="3482"/>
      <c r="AA79" s="3482"/>
      <c r="AB79" s="3482"/>
      <c r="AC79" s="4289"/>
      <c r="AD79" s="3485"/>
      <c r="AE79" s="3485"/>
      <c r="AF79" s="3485"/>
      <c r="AG79" s="3485"/>
      <c r="AH79" s="3485"/>
      <c r="AI79" s="3485"/>
      <c r="AJ79" s="3485"/>
      <c r="AK79" s="3485"/>
      <c r="AL79" s="3485"/>
      <c r="AM79" s="3485"/>
      <c r="AN79" s="3482"/>
      <c r="AO79" s="3485"/>
      <c r="AP79" s="3485"/>
      <c r="AQ79" s="3485"/>
      <c r="AR79" s="3485"/>
      <c r="AS79" s="3485"/>
      <c r="AT79" s="3485"/>
      <c r="AU79" s="3485"/>
      <c r="AV79" s="3485"/>
      <c r="AW79" s="3485"/>
      <c r="AX79" s="3485"/>
      <c r="AY79" s="3485"/>
      <c r="AZ79" s="3485"/>
      <c r="BA79" s="3485"/>
      <c r="BB79" s="3485"/>
      <c r="BC79" s="3485"/>
      <c r="BD79" s="3485"/>
      <c r="BE79" s="3485"/>
      <c r="BF79" s="4360"/>
      <c r="BG79" s="4360"/>
      <c r="BH79" s="3462"/>
      <c r="BI79" s="3207"/>
      <c r="BJ79" s="3207"/>
      <c r="BK79" s="3170"/>
      <c r="BL79" s="3170"/>
      <c r="BM79" s="3170"/>
      <c r="BN79" s="3170"/>
      <c r="BO79" s="2967"/>
    </row>
    <row r="80" spans="1:283" ht="56.25" customHeight="1" x14ac:dyDescent="0.2">
      <c r="A80" s="2259"/>
      <c r="B80" s="2260"/>
      <c r="C80" s="1210"/>
      <c r="D80" s="1212"/>
      <c r="E80" s="1210"/>
      <c r="F80" s="1212"/>
      <c r="G80" s="4352"/>
      <c r="H80" s="3836"/>
      <c r="I80" s="3836"/>
      <c r="J80" s="3828"/>
      <c r="K80" s="4366"/>
      <c r="L80" s="4338"/>
      <c r="M80" s="4314"/>
      <c r="N80" s="3811"/>
      <c r="O80" s="3462"/>
      <c r="P80" s="3415"/>
      <c r="Q80" s="3823"/>
      <c r="R80" s="3823"/>
      <c r="S80" s="2309" t="s">
        <v>2396</v>
      </c>
      <c r="T80" s="2310">
        <v>50000000</v>
      </c>
      <c r="U80" s="1505">
        <v>0</v>
      </c>
      <c r="V80" s="1505">
        <v>0</v>
      </c>
      <c r="W80" s="4362"/>
      <c r="X80" s="4317"/>
      <c r="Y80" s="3482"/>
      <c r="Z80" s="3482"/>
      <c r="AA80" s="3482"/>
      <c r="AB80" s="3482"/>
      <c r="AC80" s="4289"/>
      <c r="AD80" s="3485"/>
      <c r="AE80" s="3485"/>
      <c r="AF80" s="3485"/>
      <c r="AG80" s="3485"/>
      <c r="AH80" s="3485"/>
      <c r="AI80" s="3485"/>
      <c r="AJ80" s="3485"/>
      <c r="AK80" s="3485"/>
      <c r="AL80" s="3485"/>
      <c r="AM80" s="3485"/>
      <c r="AN80" s="3482"/>
      <c r="AO80" s="3485"/>
      <c r="AP80" s="3485"/>
      <c r="AQ80" s="3485"/>
      <c r="AR80" s="3485"/>
      <c r="AS80" s="3485"/>
      <c r="AT80" s="3485"/>
      <c r="AU80" s="3485"/>
      <c r="AV80" s="3485"/>
      <c r="AW80" s="3485"/>
      <c r="AX80" s="3485"/>
      <c r="AY80" s="3485"/>
      <c r="AZ80" s="3485"/>
      <c r="BA80" s="3485"/>
      <c r="BB80" s="3485"/>
      <c r="BC80" s="3485"/>
      <c r="BD80" s="3485"/>
      <c r="BE80" s="3485"/>
      <c r="BF80" s="4360"/>
      <c r="BG80" s="4360"/>
      <c r="BH80" s="3462"/>
      <c r="BI80" s="3207"/>
      <c r="BJ80" s="3207"/>
      <c r="BK80" s="3170"/>
      <c r="BL80" s="3170"/>
      <c r="BM80" s="3170"/>
      <c r="BN80" s="3170"/>
      <c r="BO80" s="2967"/>
    </row>
    <row r="81" spans="1:72" ht="59.25" customHeight="1" x14ac:dyDescent="0.2">
      <c r="A81" s="2259"/>
      <c r="B81" s="2260"/>
      <c r="C81" s="1210"/>
      <c r="D81" s="1212"/>
      <c r="E81" s="1210"/>
      <c r="F81" s="1212"/>
      <c r="G81" s="4352"/>
      <c r="H81" s="3836"/>
      <c r="I81" s="3836"/>
      <c r="J81" s="3828"/>
      <c r="K81" s="4366"/>
      <c r="L81" s="4338"/>
      <c r="M81" s="4314"/>
      <c r="N81" s="3811"/>
      <c r="O81" s="3462"/>
      <c r="P81" s="3415"/>
      <c r="Q81" s="3823"/>
      <c r="R81" s="3823"/>
      <c r="S81" s="2309" t="s">
        <v>2397</v>
      </c>
      <c r="T81" s="2310">
        <v>50000000</v>
      </c>
      <c r="U81" s="1505">
        <v>0</v>
      </c>
      <c r="V81" s="1505">
        <v>0</v>
      </c>
      <c r="W81" s="4362"/>
      <c r="X81" s="4317"/>
      <c r="Y81" s="3482"/>
      <c r="Z81" s="3482"/>
      <c r="AA81" s="3482"/>
      <c r="AB81" s="3482"/>
      <c r="AC81" s="4289"/>
      <c r="AD81" s="3485"/>
      <c r="AE81" s="3485"/>
      <c r="AF81" s="3485"/>
      <c r="AG81" s="3485"/>
      <c r="AH81" s="3485"/>
      <c r="AI81" s="3485"/>
      <c r="AJ81" s="3485"/>
      <c r="AK81" s="3485"/>
      <c r="AL81" s="3485"/>
      <c r="AM81" s="3485"/>
      <c r="AN81" s="3482"/>
      <c r="AO81" s="3485"/>
      <c r="AP81" s="3485"/>
      <c r="AQ81" s="3485"/>
      <c r="AR81" s="3485"/>
      <c r="AS81" s="3485"/>
      <c r="AT81" s="3485"/>
      <c r="AU81" s="3485"/>
      <c r="AV81" s="3485"/>
      <c r="AW81" s="3485"/>
      <c r="AX81" s="3485"/>
      <c r="AY81" s="3485"/>
      <c r="AZ81" s="3485"/>
      <c r="BA81" s="3485"/>
      <c r="BB81" s="3485"/>
      <c r="BC81" s="3485"/>
      <c r="BD81" s="3485"/>
      <c r="BE81" s="3485"/>
      <c r="BF81" s="4360"/>
      <c r="BG81" s="4360"/>
      <c r="BH81" s="3462"/>
      <c r="BI81" s="3207"/>
      <c r="BJ81" s="3207"/>
      <c r="BK81" s="3170"/>
      <c r="BL81" s="3170"/>
      <c r="BM81" s="3170"/>
      <c r="BN81" s="3170"/>
      <c r="BO81" s="2967"/>
    </row>
    <row r="82" spans="1:72" ht="71.25" x14ac:dyDescent="0.2">
      <c r="A82" s="2259"/>
      <c r="B82" s="2260"/>
      <c r="C82" s="1210"/>
      <c r="D82" s="1212"/>
      <c r="E82" s="1210"/>
      <c r="F82" s="1212"/>
      <c r="G82" s="4352"/>
      <c r="H82" s="3836"/>
      <c r="I82" s="3836"/>
      <c r="J82" s="3828"/>
      <c r="K82" s="4366"/>
      <c r="L82" s="4338"/>
      <c r="M82" s="4314"/>
      <c r="N82" s="3811"/>
      <c r="O82" s="3462"/>
      <c r="P82" s="3415"/>
      <c r="Q82" s="3823"/>
      <c r="R82" s="3823"/>
      <c r="S82" s="2309" t="s">
        <v>2398</v>
      </c>
      <c r="T82" s="2310">
        <v>270000000</v>
      </c>
      <c r="U82" s="1505">
        <v>156981000</v>
      </c>
      <c r="V82" s="1505">
        <v>0</v>
      </c>
      <c r="W82" s="4362"/>
      <c r="X82" s="4317"/>
      <c r="Y82" s="3482"/>
      <c r="Z82" s="3482"/>
      <c r="AA82" s="3482"/>
      <c r="AB82" s="3482"/>
      <c r="AC82" s="4289"/>
      <c r="AD82" s="3485"/>
      <c r="AE82" s="3485"/>
      <c r="AF82" s="3485"/>
      <c r="AG82" s="3485"/>
      <c r="AH82" s="3485"/>
      <c r="AI82" s="3485"/>
      <c r="AJ82" s="3485"/>
      <c r="AK82" s="3485"/>
      <c r="AL82" s="3485"/>
      <c r="AM82" s="3485"/>
      <c r="AN82" s="3482"/>
      <c r="AO82" s="3485"/>
      <c r="AP82" s="3485"/>
      <c r="AQ82" s="3485"/>
      <c r="AR82" s="3485"/>
      <c r="AS82" s="3485"/>
      <c r="AT82" s="3485"/>
      <c r="AU82" s="3485"/>
      <c r="AV82" s="3485"/>
      <c r="AW82" s="3485"/>
      <c r="AX82" s="3485"/>
      <c r="AY82" s="3485"/>
      <c r="AZ82" s="3485"/>
      <c r="BA82" s="3485"/>
      <c r="BB82" s="3485"/>
      <c r="BC82" s="3485"/>
      <c r="BD82" s="3485"/>
      <c r="BE82" s="3485"/>
      <c r="BF82" s="4360"/>
      <c r="BG82" s="4360"/>
      <c r="BH82" s="3462"/>
      <c r="BI82" s="3207"/>
      <c r="BJ82" s="3207"/>
      <c r="BK82" s="3170"/>
      <c r="BL82" s="3170"/>
      <c r="BM82" s="3170"/>
      <c r="BN82" s="3170"/>
      <c r="BO82" s="2967"/>
      <c r="BP82" s="657"/>
      <c r="BQ82" s="657"/>
      <c r="BR82" s="657"/>
      <c r="BS82" s="657"/>
      <c r="BT82" s="657"/>
    </row>
    <row r="83" spans="1:72" ht="100.5" customHeight="1" x14ac:dyDescent="0.2">
      <c r="A83" s="2259"/>
      <c r="B83" s="2260"/>
      <c r="C83" s="1210"/>
      <c r="D83" s="1212"/>
      <c r="E83" s="1210"/>
      <c r="F83" s="1212"/>
      <c r="G83" s="4352"/>
      <c r="H83" s="3836"/>
      <c r="I83" s="3836"/>
      <c r="J83" s="3828"/>
      <c r="K83" s="4366"/>
      <c r="L83" s="4338"/>
      <c r="M83" s="4314"/>
      <c r="N83" s="3811"/>
      <c r="O83" s="3462"/>
      <c r="P83" s="3415"/>
      <c r="Q83" s="3823"/>
      <c r="R83" s="3823"/>
      <c r="S83" s="2309" t="s">
        <v>2399</v>
      </c>
      <c r="T83" s="2310">
        <v>29040000</v>
      </c>
      <c r="U83" s="1505">
        <v>27453000</v>
      </c>
      <c r="V83" s="1505">
        <v>17752000</v>
      </c>
      <c r="W83" s="4362"/>
      <c r="X83" s="4317"/>
      <c r="Y83" s="3482"/>
      <c r="Z83" s="3482"/>
      <c r="AA83" s="3482"/>
      <c r="AB83" s="3482"/>
      <c r="AC83" s="4289"/>
      <c r="AD83" s="3485"/>
      <c r="AE83" s="3485"/>
      <c r="AF83" s="3485"/>
      <c r="AG83" s="3485"/>
      <c r="AH83" s="3485"/>
      <c r="AI83" s="3485"/>
      <c r="AJ83" s="3485"/>
      <c r="AK83" s="3485"/>
      <c r="AL83" s="3485"/>
      <c r="AM83" s="3485"/>
      <c r="AN83" s="3482"/>
      <c r="AO83" s="3485"/>
      <c r="AP83" s="3485"/>
      <c r="AQ83" s="3485"/>
      <c r="AR83" s="3485"/>
      <c r="AS83" s="3485"/>
      <c r="AT83" s="3485"/>
      <c r="AU83" s="3485"/>
      <c r="AV83" s="3485"/>
      <c r="AW83" s="3485"/>
      <c r="AX83" s="3485"/>
      <c r="AY83" s="3485"/>
      <c r="AZ83" s="3485"/>
      <c r="BA83" s="3485"/>
      <c r="BB83" s="3485"/>
      <c r="BC83" s="3485"/>
      <c r="BD83" s="3485"/>
      <c r="BE83" s="3485"/>
      <c r="BF83" s="4360"/>
      <c r="BG83" s="4360"/>
      <c r="BH83" s="3462"/>
      <c r="BI83" s="3207"/>
      <c r="BJ83" s="3207"/>
      <c r="BK83" s="3170"/>
      <c r="BL83" s="3170"/>
      <c r="BM83" s="3170"/>
      <c r="BN83" s="3170"/>
      <c r="BO83" s="2967"/>
      <c r="BP83" s="657"/>
      <c r="BQ83" s="657"/>
      <c r="BR83" s="657"/>
      <c r="BS83" s="657"/>
      <c r="BT83" s="657"/>
    </row>
    <row r="84" spans="1:72" ht="77.25" customHeight="1" x14ac:dyDescent="0.2">
      <c r="A84" s="2259"/>
      <c r="B84" s="2260"/>
      <c r="C84" s="1210"/>
      <c r="D84" s="1212"/>
      <c r="E84" s="1210"/>
      <c r="F84" s="1212"/>
      <c r="G84" s="4352"/>
      <c r="H84" s="3836"/>
      <c r="I84" s="3836"/>
      <c r="J84" s="3828"/>
      <c r="K84" s="4366"/>
      <c r="L84" s="4338"/>
      <c r="M84" s="4314"/>
      <c r="N84" s="3811"/>
      <c r="O84" s="3462"/>
      <c r="P84" s="3415"/>
      <c r="Q84" s="3823"/>
      <c r="R84" s="3823"/>
      <c r="S84" s="2309" t="s">
        <v>2400</v>
      </c>
      <c r="T84" s="2310">
        <v>24360000</v>
      </c>
      <c r="U84" s="1505">
        <v>18915000</v>
      </c>
      <c r="V84" s="1505">
        <v>7049000</v>
      </c>
      <c r="W84" s="4362"/>
      <c r="X84" s="4317"/>
      <c r="Y84" s="3482"/>
      <c r="Z84" s="3482"/>
      <c r="AA84" s="3482"/>
      <c r="AB84" s="3482"/>
      <c r="AC84" s="4289"/>
      <c r="AD84" s="3485"/>
      <c r="AE84" s="3485"/>
      <c r="AF84" s="3485"/>
      <c r="AG84" s="3485"/>
      <c r="AH84" s="3485"/>
      <c r="AI84" s="3485"/>
      <c r="AJ84" s="3485"/>
      <c r="AK84" s="3485"/>
      <c r="AL84" s="3485"/>
      <c r="AM84" s="3485"/>
      <c r="AN84" s="3482"/>
      <c r="AO84" s="3485"/>
      <c r="AP84" s="3485"/>
      <c r="AQ84" s="3485"/>
      <c r="AR84" s="3485"/>
      <c r="AS84" s="3485"/>
      <c r="AT84" s="3485"/>
      <c r="AU84" s="3485"/>
      <c r="AV84" s="3485"/>
      <c r="AW84" s="3485"/>
      <c r="AX84" s="3485"/>
      <c r="AY84" s="3485"/>
      <c r="AZ84" s="3485"/>
      <c r="BA84" s="3485"/>
      <c r="BB84" s="3485"/>
      <c r="BC84" s="3485"/>
      <c r="BD84" s="3485"/>
      <c r="BE84" s="3485"/>
      <c r="BF84" s="4360"/>
      <c r="BG84" s="4360"/>
      <c r="BH84" s="3462"/>
      <c r="BI84" s="3207"/>
      <c r="BJ84" s="3207"/>
      <c r="BK84" s="3170"/>
      <c r="BL84" s="3170"/>
      <c r="BM84" s="3170"/>
      <c r="BN84" s="3170"/>
      <c r="BO84" s="2967"/>
      <c r="BP84" s="657"/>
      <c r="BQ84" s="657"/>
      <c r="BR84" s="657"/>
      <c r="BS84" s="657"/>
      <c r="BT84" s="657"/>
    </row>
    <row r="85" spans="1:72" ht="60" customHeight="1" x14ac:dyDescent="0.2">
      <c r="A85" s="2259"/>
      <c r="B85" s="2260"/>
      <c r="C85" s="1210"/>
      <c r="D85" s="1212"/>
      <c r="E85" s="1210"/>
      <c r="F85" s="1212"/>
      <c r="G85" s="4352"/>
      <c r="H85" s="3836"/>
      <c r="I85" s="3836"/>
      <c r="J85" s="3828"/>
      <c r="K85" s="4366"/>
      <c r="L85" s="4338"/>
      <c r="M85" s="4314"/>
      <c r="N85" s="3811"/>
      <c r="O85" s="3462"/>
      <c r="P85" s="3415"/>
      <c r="Q85" s="3823"/>
      <c r="R85" s="3823"/>
      <c r="S85" s="2309" t="s">
        <v>2401</v>
      </c>
      <c r="T85" s="2310">
        <v>21610000</v>
      </c>
      <c r="U85" s="1505">
        <v>20311500</v>
      </c>
      <c r="V85" s="1505">
        <v>14718000</v>
      </c>
      <c r="W85" s="4362"/>
      <c r="X85" s="4317"/>
      <c r="Y85" s="3482"/>
      <c r="Z85" s="3482"/>
      <c r="AA85" s="3482"/>
      <c r="AB85" s="3482"/>
      <c r="AC85" s="4289"/>
      <c r="AD85" s="3485"/>
      <c r="AE85" s="3485"/>
      <c r="AF85" s="3485"/>
      <c r="AG85" s="3485"/>
      <c r="AH85" s="3485"/>
      <c r="AI85" s="3485"/>
      <c r="AJ85" s="3485"/>
      <c r="AK85" s="3485"/>
      <c r="AL85" s="3485"/>
      <c r="AM85" s="3485"/>
      <c r="AN85" s="3482"/>
      <c r="AO85" s="3485"/>
      <c r="AP85" s="3485"/>
      <c r="AQ85" s="3485"/>
      <c r="AR85" s="3485"/>
      <c r="AS85" s="3485"/>
      <c r="AT85" s="3485"/>
      <c r="AU85" s="3485"/>
      <c r="AV85" s="3485"/>
      <c r="AW85" s="3485"/>
      <c r="AX85" s="3485"/>
      <c r="AY85" s="3485"/>
      <c r="AZ85" s="3485"/>
      <c r="BA85" s="3485"/>
      <c r="BB85" s="3485"/>
      <c r="BC85" s="3485"/>
      <c r="BD85" s="3485"/>
      <c r="BE85" s="3485"/>
      <c r="BF85" s="4360"/>
      <c r="BG85" s="4360"/>
      <c r="BH85" s="3462"/>
      <c r="BI85" s="3207"/>
      <c r="BJ85" s="3207"/>
      <c r="BK85" s="3170"/>
      <c r="BL85" s="3170"/>
      <c r="BM85" s="3170"/>
      <c r="BN85" s="3170"/>
      <c r="BO85" s="2967"/>
      <c r="BP85" s="657"/>
      <c r="BQ85" s="657"/>
      <c r="BR85" s="657"/>
      <c r="BS85" s="657"/>
      <c r="BT85" s="657"/>
    </row>
    <row r="86" spans="1:72" ht="72" customHeight="1" x14ac:dyDescent="0.2">
      <c r="A86" s="2259"/>
      <c r="B86" s="2260"/>
      <c r="C86" s="1210"/>
      <c r="D86" s="1212"/>
      <c r="E86" s="1210"/>
      <c r="F86" s="1212"/>
      <c r="G86" s="4352"/>
      <c r="H86" s="3836"/>
      <c r="I86" s="3836"/>
      <c r="J86" s="3828"/>
      <c r="K86" s="4366"/>
      <c r="L86" s="4338"/>
      <c r="M86" s="4314"/>
      <c r="N86" s="3811"/>
      <c r="O86" s="3462"/>
      <c r="P86" s="3415"/>
      <c r="Q86" s="3823"/>
      <c r="R86" s="3823"/>
      <c r="S86" s="2309" t="s">
        <v>2402</v>
      </c>
      <c r="T86" s="2310">
        <v>18590000</v>
      </c>
      <c r="U86" s="1505">
        <v>17212000</v>
      </c>
      <c r="V86" s="1505">
        <v>10455000</v>
      </c>
      <c r="W86" s="4362"/>
      <c r="X86" s="4317"/>
      <c r="Y86" s="3482"/>
      <c r="Z86" s="3482"/>
      <c r="AA86" s="3482"/>
      <c r="AB86" s="3482"/>
      <c r="AC86" s="4289"/>
      <c r="AD86" s="3485"/>
      <c r="AE86" s="3485"/>
      <c r="AF86" s="3485"/>
      <c r="AG86" s="3485"/>
      <c r="AH86" s="3485"/>
      <c r="AI86" s="3485"/>
      <c r="AJ86" s="3485"/>
      <c r="AK86" s="3485"/>
      <c r="AL86" s="3485"/>
      <c r="AM86" s="3485"/>
      <c r="AN86" s="3482"/>
      <c r="AO86" s="3485"/>
      <c r="AP86" s="3485"/>
      <c r="AQ86" s="3485"/>
      <c r="AR86" s="3485"/>
      <c r="AS86" s="3485"/>
      <c r="AT86" s="3485"/>
      <c r="AU86" s="3485"/>
      <c r="AV86" s="3485"/>
      <c r="AW86" s="3485"/>
      <c r="AX86" s="3485"/>
      <c r="AY86" s="3485"/>
      <c r="AZ86" s="3485"/>
      <c r="BA86" s="3485"/>
      <c r="BB86" s="3485"/>
      <c r="BC86" s="3485"/>
      <c r="BD86" s="3485"/>
      <c r="BE86" s="3485"/>
      <c r="BF86" s="4360"/>
      <c r="BG86" s="4360"/>
      <c r="BH86" s="3462"/>
      <c r="BI86" s="3207"/>
      <c r="BJ86" s="3207"/>
      <c r="BK86" s="3170"/>
      <c r="BL86" s="3170"/>
      <c r="BM86" s="3170"/>
      <c r="BN86" s="3170"/>
      <c r="BO86" s="2967"/>
      <c r="BP86" s="657"/>
      <c r="BQ86" s="657"/>
      <c r="BR86" s="657"/>
      <c r="BS86" s="657"/>
      <c r="BT86" s="657"/>
    </row>
    <row r="87" spans="1:72" ht="99.75" x14ac:dyDescent="0.2">
      <c r="A87" s="2259"/>
      <c r="B87" s="2260"/>
      <c r="C87" s="1210"/>
      <c r="D87" s="1212"/>
      <c r="E87" s="1210"/>
      <c r="F87" s="1212"/>
      <c r="G87" s="4352"/>
      <c r="H87" s="3836"/>
      <c r="I87" s="3836"/>
      <c r="J87" s="3828"/>
      <c r="K87" s="4366"/>
      <c r="L87" s="4338"/>
      <c r="M87" s="4314"/>
      <c r="N87" s="3811"/>
      <c r="O87" s="3462"/>
      <c r="P87" s="3415"/>
      <c r="Q87" s="3823"/>
      <c r="R87" s="3823"/>
      <c r="S87" s="2309" t="s">
        <v>2403</v>
      </c>
      <c r="T87" s="2310">
        <v>30000000</v>
      </c>
      <c r="U87" s="1505">
        <v>27490000</v>
      </c>
      <c r="V87" s="1505">
        <v>11594000</v>
      </c>
      <c r="W87" s="4362"/>
      <c r="X87" s="4317"/>
      <c r="Y87" s="3482"/>
      <c r="Z87" s="3482"/>
      <c r="AA87" s="3482"/>
      <c r="AB87" s="3482"/>
      <c r="AC87" s="4289"/>
      <c r="AD87" s="3485"/>
      <c r="AE87" s="3485"/>
      <c r="AF87" s="3485"/>
      <c r="AG87" s="3485"/>
      <c r="AH87" s="3485"/>
      <c r="AI87" s="3485"/>
      <c r="AJ87" s="3485"/>
      <c r="AK87" s="3485"/>
      <c r="AL87" s="3485"/>
      <c r="AM87" s="3485"/>
      <c r="AN87" s="3482"/>
      <c r="AO87" s="3485"/>
      <c r="AP87" s="3485"/>
      <c r="AQ87" s="3485"/>
      <c r="AR87" s="3485"/>
      <c r="AS87" s="3485"/>
      <c r="AT87" s="3485"/>
      <c r="AU87" s="3485"/>
      <c r="AV87" s="3485"/>
      <c r="AW87" s="3485"/>
      <c r="AX87" s="3485"/>
      <c r="AY87" s="3485"/>
      <c r="AZ87" s="3485"/>
      <c r="BA87" s="3485"/>
      <c r="BB87" s="3485"/>
      <c r="BC87" s="3485"/>
      <c r="BD87" s="3485"/>
      <c r="BE87" s="3485"/>
      <c r="BF87" s="4360"/>
      <c r="BG87" s="4360"/>
      <c r="BH87" s="3462"/>
      <c r="BI87" s="3207"/>
      <c r="BJ87" s="3207"/>
      <c r="BK87" s="3170"/>
      <c r="BL87" s="3170"/>
      <c r="BM87" s="3170"/>
      <c r="BN87" s="3170"/>
      <c r="BO87" s="2967"/>
      <c r="BP87" s="657"/>
      <c r="BQ87" s="657"/>
      <c r="BR87" s="657"/>
      <c r="BS87" s="657"/>
      <c r="BT87" s="657"/>
    </row>
    <row r="88" spans="1:72" ht="67.5" customHeight="1" x14ac:dyDescent="0.2">
      <c r="A88" s="2259"/>
      <c r="B88" s="2260"/>
      <c r="C88" s="1210"/>
      <c r="D88" s="1212"/>
      <c r="E88" s="1210"/>
      <c r="F88" s="1212"/>
      <c r="G88" s="4352"/>
      <c r="H88" s="3836"/>
      <c r="I88" s="3836"/>
      <c r="J88" s="3828"/>
      <c r="K88" s="4366"/>
      <c r="L88" s="4338"/>
      <c r="M88" s="4314"/>
      <c r="N88" s="3811"/>
      <c r="O88" s="3462"/>
      <c r="P88" s="3415"/>
      <c r="Q88" s="3823"/>
      <c r="R88" s="3811"/>
      <c r="S88" s="2309" t="s">
        <v>2404</v>
      </c>
      <c r="T88" s="2310">
        <v>15000000</v>
      </c>
      <c r="U88" s="1505">
        <v>8482000</v>
      </c>
      <c r="V88" s="1505">
        <v>5682000</v>
      </c>
      <c r="W88" s="4362"/>
      <c r="X88" s="4317"/>
      <c r="Y88" s="3482"/>
      <c r="Z88" s="3482"/>
      <c r="AA88" s="3482"/>
      <c r="AB88" s="3482"/>
      <c r="AC88" s="4289"/>
      <c r="AD88" s="3485"/>
      <c r="AE88" s="3485"/>
      <c r="AF88" s="3485"/>
      <c r="AG88" s="3485"/>
      <c r="AH88" s="3485"/>
      <c r="AI88" s="3485"/>
      <c r="AJ88" s="3485"/>
      <c r="AK88" s="3485"/>
      <c r="AL88" s="3485"/>
      <c r="AM88" s="3485"/>
      <c r="AN88" s="3482"/>
      <c r="AO88" s="3485"/>
      <c r="AP88" s="3485"/>
      <c r="AQ88" s="3485"/>
      <c r="AR88" s="3485"/>
      <c r="AS88" s="3485"/>
      <c r="AT88" s="3485"/>
      <c r="AU88" s="3485"/>
      <c r="AV88" s="3485"/>
      <c r="AW88" s="3485"/>
      <c r="AX88" s="3485"/>
      <c r="AY88" s="3485"/>
      <c r="AZ88" s="3485"/>
      <c r="BA88" s="3485"/>
      <c r="BB88" s="3485"/>
      <c r="BC88" s="3485"/>
      <c r="BD88" s="3485"/>
      <c r="BE88" s="3485"/>
      <c r="BF88" s="4360"/>
      <c r="BG88" s="4360"/>
      <c r="BH88" s="3462"/>
      <c r="BI88" s="3207"/>
      <c r="BJ88" s="3207"/>
      <c r="BK88" s="3170"/>
      <c r="BL88" s="3170"/>
      <c r="BM88" s="3170"/>
      <c r="BN88" s="3170"/>
      <c r="BO88" s="2967"/>
      <c r="BP88" s="657"/>
      <c r="BQ88" s="657"/>
      <c r="BR88" s="657"/>
      <c r="BS88" s="657"/>
      <c r="BT88" s="657"/>
    </row>
    <row r="89" spans="1:72" ht="71.25" x14ac:dyDescent="0.2">
      <c r="A89" s="2259"/>
      <c r="B89" s="2260"/>
      <c r="C89" s="1210"/>
      <c r="D89" s="1212"/>
      <c r="E89" s="1210"/>
      <c r="F89" s="1212"/>
      <c r="G89" s="4352"/>
      <c r="H89" s="3836"/>
      <c r="I89" s="3836"/>
      <c r="J89" s="3828"/>
      <c r="K89" s="4366"/>
      <c r="L89" s="4338"/>
      <c r="M89" s="4314"/>
      <c r="N89" s="3811"/>
      <c r="O89" s="3462"/>
      <c r="P89" s="3415"/>
      <c r="Q89" s="3823"/>
      <c r="R89" s="3836" t="s">
        <v>2405</v>
      </c>
      <c r="S89" s="2311" t="s">
        <v>2406</v>
      </c>
      <c r="T89" s="2310">
        <v>125000000</v>
      </c>
      <c r="U89" s="1505">
        <v>83108560</v>
      </c>
      <c r="V89" s="1505">
        <v>0</v>
      </c>
      <c r="W89" s="4362"/>
      <c r="X89" s="4317"/>
      <c r="Y89" s="3482"/>
      <c r="Z89" s="3482"/>
      <c r="AA89" s="3482"/>
      <c r="AB89" s="3482"/>
      <c r="AC89" s="4289"/>
      <c r="AD89" s="3485"/>
      <c r="AE89" s="3485"/>
      <c r="AF89" s="3485"/>
      <c r="AG89" s="3485"/>
      <c r="AH89" s="3485"/>
      <c r="AI89" s="3485"/>
      <c r="AJ89" s="3485"/>
      <c r="AK89" s="3485"/>
      <c r="AL89" s="3485"/>
      <c r="AM89" s="3485"/>
      <c r="AN89" s="3482"/>
      <c r="AO89" s="3485"/>
      <c r="AP89" s="3485"/>
      <c r="AQ89" s="3485"/>
      <c r="AR89" s="3485"/>
      <c r="AS89" s="3485"/>
      <c r="AT89" s="3485"/>
      <c r="AU89" s="3485"/>
      <c r="AV89" s="3485"/>
      <c r="AW89" s="3485"/>
      <c r="AX89" s="3485"/>
      <c r="AY89" s="3485"/>
      <c r="AZ89" s="3485"/>
      <c r="BA89" s="3485"/>
      <c r="BB89" s="3485"/>
      <c r="BC89" s="3485"/>
      <c r="BD89" s="3485"/>
      <c r="BE89" s="3485"/>
      <c r="BF89" s="4360"/>
      <c r="BG89" s="4360"/>
      <c r="BH89" s="3462"/>
      <c r="BI89" s="3207"/>
      <c r="BJ89" s="3207"/>
      <c r="BK89" s="3170"/>
      <c r="BL89" s="3170"/>
      <c r="BM89" s="3170"/>
      <c r="BN89" s="3170"/>
      <c r="BO89" s="2967"/>
      <c r="BP89" s="657"/>
      <c r="BQ89" s="657"/>
      <c r="BR89" s="657"/>
      <c r="BS89" s="657"/>
      <c r="BT89" s="657"/>
    </row>
    <row r="90" spans="1:72" ht="71.25" x14ac:dyDescent="0.2">
      <c r="A90" s="2259"/>
      <c r="B90" s="2260"/>
      <c r="C90" s="1210"/>
      <c r="D90" s="1212"/>
      <c r="E90" s="1210"/>
      <c r="F90" s="1212"/>
      <c r="G90" s="4352"/>
      <c r="H90" s="3836"/>
      <c r="I90" s="3836"/>
      <c r="J90" s="3828"/>
      <c r="K90" s="4366"/>
      <c r="L90" s="4338"/>
      <c r="M90" s="4314"/>
      <c r="N90" s="3811"/>
      <c r="O90" s="3462"/>
      <c r="P90" s="3415"/>
      <c r="Q90" s="3823"/>
      <c r="R90" s="3836"/>
      <c r="S90" s="2309" t="s">
        <v>2407</v>
      </c>
      <c r="T90" s="2310">
        <v>50000000</v>
      </c>
      <c r="U90" s="1505">
        <v>36243000</v>
      </c>
      <c r="V90" s="1505">
        <v>23448000</v>
      </c>
      <c r="W90" s="4362"/>
      <c r="X90" s="4317"/>
      <c r="Y90" s="3482"/>
      <c r="Z90" s="3482"/>
      <c r="AA90" s="3482"/>
      <c r="AB90" s="3482"/>
      <c r="AC90" s="4289"/>
      <c r="AD90" s="3485"/>
      <c r="AE90" s="3485"/>
      <c r="AF90" s="3485"/>
      <c r="AG90" s="3485"/>
      <c r="AH90" s="3485"/>
      <c r="AI90" s="3485"/>
      <c r="AJ90" s="3485"/>
      <c r="AK90" s="3485"/>
      <c r="AL90" s="3485"/>
      <c r="AM90" s="3485"/>
      <c r="AN90" s="3482"/>
      <c r="AO90" s="3485"/>
      <c r="AP90" s="3485"/>
      <c r="AQ90" s="3485"/>
      <c r="AR90" s="3485"/>
      <c r="AS90" s="3485"/>
      <c r="AT90" s="3485"/>
      <c r="AU90" s="3485"/>
      <c r="AV90" s="3485"/>
      <c r="AW90" s="3485"/>
      <c r="AX90" s="3485"/>
      <c r="AY90" s="3485"/>
      <c r="AZ90" s="3485"/>
      <c r="BA90" s="3485"/>
      <c r="BB90" s="3485"/>
      <c r="BC90" s="3485"/>
      <c r="BD90" s="3485"/>
      <c r="BE90" s="3485"/>
      <c r="BF90" s="4360"/>
      <c r="BG90" s="4360"/>
      <c r="BH90" s="3462"/>
      <c r="BI90" s="3207"/>
      <c r="BJ90" s="3207"/>
      <c r="BK90" s="3170"/>
      <c r="BL90" s="3170"/>
      <c r="BM90" s="3170"/>
      <c r="BN90" s="3170"/>
      <c r="BO90" s="2967"/>
      <c r="BP90" s="657"/>
      <c r="BQ90" s="657"/>
      <c r="BR90" s="657"/>
      <c r="BS90" s="657"/>
      <c r="BT90" s="657"/>
    </row>
    <row r="91" spans="1:72" ht="90" customHeight="1" x14ac:dyDescent="0.2">
      <c r="A91" s="2259"/>
      <c r="B91" s="2260"/>
      <c r="C91" s="1210"/>
      <c r="D91" s="1212"/>
      <c r="E91" s="1210"/>
      <c r="F91" s="1212"/>
      <c r="G91" s="4352"/>
      <c r="H91" s="3836"/>
      <c r="I91" s="3836"/>
      <c r="J91" s="3828"/>
      <c r="K91" s="4366"/>
      <c r="L91" s="4338"/>
      <c r="M91" s="4314"/>
      <c r="N91" s="3836"/>
      <c r="O91" s="3462"/>
      <c r="P91" s="3476"/>
      <c r="Q91" s="3823"/>
      <c r="R91" s="3836"/>
      <c r="S91" s="2309" t="s">
        <v>2408</v>
      </c>
      <c r="T91" s="2310">
        <v>125000000</v>
      </c>
      <c r="U91" s="1505">
        <v>30797734</v>
      </c>
      <c r="V91" s="1505">
        <v>16036250</v>
      </c>
      <c r="W91" s="4362"/>
      <c r="X91" s="4317"/>
      <c r="Y91" s="3482"/>
      <c r="Z91" s="3482"/>
      <c r="AA91" s="3482"/>
      <c r="AB91" s="3482"/>
      <c r="AC91" s="4289"/>
      <c r="AD91" s="3485"/>
      <c r="AE91" s="3485"/>
      <c r="AF91" s="3485"/>
      <c r="AG91" s="3485"/>
      <c r="AH91" s="3485"/>
      <c r="AI91" s="3485"/>
      <c r="AJ91" s="3485"/>
      <c r="AK91" s="3485"/>
      <c r="AL91" s="3485"/>
      <c r="AM91" s="3485"/>
      <c r="AN91" s="3482"/>
      <c r="AO91" s="3485"/>
      <c r="AP91" s="3485"/>
      <c r="AQ91" s="3485"/>
      <c r="AR91" s="3485"/>
      <c r="AS91" s="3485"/>
      <c r="AT91" s="3485"/>
      <c r="AU91" s="3485"/>
      <c r="AV91" s="3485"/>
      <c r="AW91" s="3485"/>
      <c r="AX91" s="3485"/>
      <c r="AY91" s="3485"/>
      <c r="AZ91" s="3485"/>
      <c r="BA91" s="3485"/>
      <c r="BB91" s="3485"/>
      <c r="BC91" s="3485"/>
      <c r="BD91" s="3485"/>
      <c r="BE91" s="3485"/>
      <c r="BF91" s="4360"/>
      <c r="BG91" s="4360"/>
      <c r="BH91" s="3462"/>
      <c r="BI91" s="3207"/>
      <c r="BJ91" s="3207"/>
      <c r="BK91" s="3115"/>
      <c r="BL91" s="3115"/>
      <c r="BM91" s="3115"/>
      <c r="BN91" s="3115"/>
      <c r="BO91" s="3161"/>
      <c r="BP91" s="657"/>
      <c r="BQ91" s="657"/>
      <c r="BR91" s="657"/>
      <c r="BS91" s="657"/>
      <c r="BT91" s="657"/>
    </row>
    <row r="92" spans="1:72" ht="69" customHeight="1" x14ac:dyDescent="0.2">
      <c r="A92" s="2259"/>
      <c r="B92" s="2260"/>
      <c r="C92" s="1210"/>
      <c r="D92" s="1212"/>
      <c r="E92" s="1210"/>
      <c r="F92" s="1212"/>
      <c r="G92" s="4352"/>
      <c r="H92" s="3836"/>
      <c r="I92" s="3836"/>
      <c r="J92" s="3828"/>
      <c r="K92" s="4366"/>
      <c r="L92" s="4338"/>
      <c r="M92" s="4314"/>
      <c r="N92" s="3836"/>
      <c r="O92" s="3462"/>
      <c r="P92" s="3476"/>
      <c r="Q92" s="3823"/>
      <c r="R92" s="3836"/>
      <c r="S92" s="2309" t="s">
        <v>2409</v>
      </c>
      <c r="T92" s="2310">
        <v>50000000</v>
      </c>
      <c r="U92" s="1505">
        <v>4583250</v>
      </c>
      <c r="V92" s="1505">
        <v>4583250</v>
      </c>
      <c r="W92" s="4362"/>
      <c r="X92" s="4317"/>
      <c r="Y92" s="3482"/>
      <c r="Z92" s="3482"/>
      <c r="AA92" s="3482"/>
      <c r="AB92" s="3482"/>
      <c r="AC92" s="4289"/>
      <c r="AD92" s="3485"/>
      <c r="AE92" s="3485"/>
      <c r="AF92" s="3485"/>
      <c r="AG92" s="3485"/>
      <c r="AH92" s="3485"/>
      <c r="AI92" s="3485"/>
      <c r="AJ92" s="3485"/>
      <c r="AK92" s="3485"/>
      <c r="AL92" s="3485"/>
      <c r="AM92" s="3485"/>
      <c r="AN92" s="3482"/>
      <c r="AO92" s="3485"/>
      <c r="AP92" s="3485"/>
      <c r="AQ92" s="3485"/>
      <c r="AR92" s="3485"/>
      <c r="AS92" s="3485"/>
      <c r="AT92" s="3485"/>
      <c r="AU92" s="3485"/>
      <c r="AV92" s="3485"/>
      <c r="AW92" s="3485"/>
      <c r="AX92" s="3485"/>
      <c r="AY92" s="3485"/>
      <c r="AZ92" s="3485"/>
      <c r="BA92" s="3485"/>
      <c r="BB92" s="3485"/>
      <c r="BC92" s="3485"/>
      <c r="BD92" s="3485"/>
      <c r="BE92" s="3485"/>
      <c r="BF92" s="4360"/>
      <c r="BG92" s="4360"/>
      <c r="BH92" s="3462"/>
      <c r="BI92" s="3207"/>
      <c r="BJ92" s="3207"/>
      <c r="BK92" s="3115"/>
      <c r="BL92" s="3115"/>
      <c r="BM92" s="3115"/>
      <c r="BN92" s="3115"/>
      <c r="BO92" s="3161"/>
      <c r="BP92" s="657"/>
      <c r="BQ92" s="657"/>
      <c r="BR92" s="657"/>
      <c r="BS92" s="657"/>
      <c r="BT92" s="657"/>
    </row>
    <row r="93" spans="1:72" ht="28.5" customHeight="1" x14ac:dyDescent="0.2">
      <c r="A93" s="2259"/>
      <c r="B93" s="2260"/>
      <c r="C93" s="1210"/>
      <c r="D93" s="1212"/>
      <c r="E93" s="1210"/>
      <c r="F93" s="1212"/>
      <c r="G93" s="4352"/>
      <c r="H93" s="3836"/>
      <c r="I93" s="3836"/>
      <c r="J93" s="3828"/>
      <c r="K93" s="4366"/>
      <c r="L93" s="4338"/>
      <c r="M93" s="4314"/>
      <c r="N93" s="3836"/>
      <c r="O93" s="3462"/>
      <c r="P93" s="3476"/>
      <c r="Q93" s="3823"/>
      <c r="R93" s="3836"/>
      <c r="S93" s="2309" t="s">
        <v>2410</v>
      </c>
      <c r="T93" s="2310">
        <v>60000000</v>
      </c>
      <c r="U93" s="1505">
        <v>30000000</v>
      </c>
      <c r="V93" s="1505">
        <v>0</v>
      </c>
      <c r="W93" s="4362"/>
      <c r="X93" s="4317"/>
      <c r="Y93" s="3482"/>
      <c r="Z93" s="3482"/>
      <c r="AA93" s="3482"/>
      <c r="AB93" s="3482"/>
      <c r="AC93" s="4289"/>
      <c r="AD93" s="3485"/>
      <c r="AE93" s="3485"/>
      <c r="AF93" s="3485"/>
      <c r="AG93" s="3485"/>
      <c r="AH93" s="3485"/>
      <c r="AI93" s="3485"/>
      <c r="AJ93" s="3485"/>
      <c r="AK93" s="3485"/>
      <c r="AL93" s="3485"/>
      <c r="AM93" s="3485"/>
      <c r="AN93" s="3482"/>
      <c r="AO93" s="3485"/>
      <c r="AP93" s="3485"/>
      <c r="AQ93" s="3485"/>
      <c r="AR93" s="3485"/>
      <c r="AS93" s="3485"/>
      <c r="AT93" s="3485"/>
      <c r="AU93" s="3485"/>
      <c r="AV93" s="3485"/>
      <c r="AW93" s="3485"/>
      <c r="AX93" s="3485"/>
      <c r="AY93" s="3485"/>
      <c r="AZ93" s="3485"/>
      <c r="BA93" s="3485"/>
      <c r="BB93" s="3485"/>
      <c r="BC93" s="3485"/>
      <c r="BD93" s="3485"/>
      <c r="BE93" s="3485"/>
      <c r="BF93" s="4360"/>
      <c r="BG93" s="4360"/>
      <c r="BH93" s="3462"/>
      <c r="BI93" s="3207"/>
      <c r="BJ93" s="3207"/>
      <c r="BK93" s="3115"/>
      <c r="BL93" s="3115"/>
      <c r="BM93" s="3115"/>
      <c r="BN93" s="3115"/>
      <c r="BO93" s="3161"/>
      <c r="BP93" s="657"/>
      <c r="BQ93" s="657"/>
      <c r="BR93" s="657"/>
      <c r="BS93" s="657"/>
      <c r="BT93" s="657"/>
    </row>
    <row r="94" spans="1:72" ht="51" customHeight="1" x14ac:dyDescent="0.2">
      <c r="A94" s="2259"/>
      <c r="B94" s="2260"/>
      <c r="C94" s="1210"/>
      <c r="D94" s="1212"/>
      <c r="E94" s="1210"/>
      <c r="F94" s="1212"/>
      <c r="G94" s="4352"/>
      <c r="H94" s="3836"/>
      <c r="I94" s="3836"/>
      <c r="J94" s="3828"/>
      <c r="K94" s="4367"/>
      <c r="L94" s="4338"/>
      <c r="M94" s="4314"/>
      <c r="N94" s="3836"/>
      <c r="O94" s="3462"/>
      <c r="P94" s="3476"/>
      <c r="Q94" s="3823"/>
      <c r="R94" s="3836"/>
      <c r="S94" s="2309" t="s">
        <v>2411</v>
      </c>
      <c r="T94" s="2310">
        <v>20000000</v>
      </c>
      <c r="U94" s="1505">
        <v>19000000</v>
      </c>
      <c r="V94" s="1505">
        <v>3000000</v>
      </c>
      <c r="W94" s="4362"/>
      <c r="X94" s="4349"/>
      <c r="Y94" s="3482"/>
      <c r="Z94" s="3482"/>
      <c r="AA94" s="3482"/>
      <c r="AB94" s="3482"/>
      <c r="AC94" s="4289"/>
      <c r="AD94" s="3486"/>
      <c r="AE94" s="3485"/>
      <c r="AF94" s="3486"/>
      <c r="AG94" s="3485"/>
      <c r="AH94" s="3486"/>
      <c r="AI94" s="3485"/>
      <c r="AJ94" s="3486"/>
      <c r="AK94" s="3485"/>
      <c r="AL94" s="3486"/>
      <c r="AM94" s="3485"/>
      <c r="AN94" s="3482"/>
      <c r="AO94" s="3485"/>
      <c r="AP94" s="3486"/>
      <c r="AQ94" s="3485"/>
      <c r="AR94" s="3486"/>
      <c r="AS94" s="3485"/>
      <c r="AT94" s="3486"/>
      <c r="AU94" s="3485"/>
      <c r="AV94" s="3486"/>
      <c r="AW94" s="3485"/>
      <c r="AX94" s="3486"/>
      <c r="AY94" s="3485"/>
      <c r="AZ94" s="3486"/>
      <c r="BA94" s="3485"/>
      <c r="BB94" s="3486"/>
      <c r="BC94" s="3485"/>
      <c r="BD94" s="3486"/>
      <c r="BE94" s="3486"/>
      <c r="BF94" s="4361"/>
      <c r="BG94" s="4361"/>
      <c r="BH94" s="3466"/>
      <c r="BI94" s="3179"/>
      <c r="BJ94" s="3179"/>
      <c r="BK94" s="3115"/>
      <c r="BL94" s="3115"/>
      <c r="BM94" s="3115"/>
      <c r="BN94" s="3115"/>
      <c r="BO94" s="3161"/>
      <c r="BP94" s="657"/>
      <c r="BQ94" s="657"/>
      <c r="BR94" s="657"/>
      <c r="BS94" s="657"/>
      <c r="BT94" s="657"/>
    </row>
    <row r="95" spans="1:72" ht="66" customHeight="1" x14ac:dyDescent="0.2">
      <c r="A95" s="2259"/>
      <c r="B95" s="2260"/>
      <c r="C95" s="1210"/>
      <c r="D95" s="1212"/>
      <c r="E95" s="1210"/>
      <c r="F95" s="1212"/>
      <c r="G95" s="4352">
        <v>192</v>
      </c>
      <c r="H95" s="3810" t="s">
        <v>2412</v>
      </c>
      <c r="I95" s="2834" t="s">
        <v>2413</v>
      </c>
      <c r="J95" s="4358">
        <v>1</v>
      </c>
      <c r="K95" s="4313">
        <v>0.7</v>
      </c>
      <c r="L95" s="4337" t="s">
        <v>2414</v>
      </c>
      <c r="M95" s="4335" t="s">
        <v>2415</v>
      </c>
      <c r="N95" s="3810" t="s">
        <v>2416</v>
      </c>
      <c r="O95" s="3427">
        <f>SUM(T95:T98)/P95</f>
        <v>1</v>
      </c>
      <c r="P95" s="3476">
        <f>SUM(T95:T98)</f>
        <v>79500000</v>
      </c>
      <c r="Q95" s="3836" t="s">
        <v>2417</v>
      </c>
      <c r="R95" s="2834" t="s">
        <v>2418</v>
      </c>
      <c r="S95" s="2309" t="s">
        <v>2419</v>
      </c>
      <c r="T95" s="2300">
        <v>44500000</v>
      </c>
      <c r="U95" s="1319">
        <v>15990000</v>
      </c>
      <c r="V95" s="1319">
        <v>13990000</v>
      </c>
      <c r="W95" s="4312">
        <v>20</v>
      </c>
      <c r="X95" s="2923" t="s">
        <v>697</v>
      </c>
      <c r="Y95" s="4356">
        <v>701</v>
      </c>
      <c r="Z95" s="4356">
        <v>547</v>
      </c>
      <c r="AA95" s="4356">
        <v>877</v>
      </c>
      <c r="AB95" s="4356">
        <v>704</v>
      </c>
      <c r="AC95" s="4356">
        <v>56</v>
      </c>
      <c r="AD95" s="4356">
        <v>0</v>
      </c>
      <c r="AE95" s="4356">
        <v>150</v>
      </c>
      <c r="AF95" s="4356">
        <v>0</v>
      </c>
      <c r="AG95" s="4356">
        <v>1250</v>
      </c>
      <c r="AH95" s="4356">
        <v>1251</v>
      </c>
      <c r="AI95" s="4356">
        <v>122</v>
      </c>
      <c r="AJ95" s="4356">
        <v>0</v>
      </c>
      <c r="AK95" s="4356">
        <v>0</v>
      </c>
      <c r="AL95" s="4356">
        <v>0</v>
      </c>
      <c r="AM95" s="4356">
        <v>0</v>
      </c>
      <c r="AN95" s="4356">
        <v>0</v>
      </c>
      <c r="AO95" s="4356">
        <v>0</v>
      </c>
      <c r="AP95" s="4356">
        <v>0</v>
      </c>
      <c r="AQ95" s="4356">
        <v>0</v>
      </c>
      <c r="AR95" s="4356">
        <v>0</v>
      </c>
      <c r="AS95" s="4356">
        <v>0</v>
      </c>
      <c r="AT95" s="4356">
        <v>0</v>
      </c>
      <c r="AU95" s="4356">
        <v>0</v>
      </c>
      <c r="AV95" s="4356">
        <v>0</v>
      </c>
      <c r="AW95" s="4356">
        <v>0</v>
      </c>
      <c r="AX95" s="4356">
        <v>0</v>
      </c>
      <c r="AY95" s="4356">
        <v>0</v>
      </c>
      <c r="AZ95" s="4356">
        <v>0</v>
      </c>
      <c r="BA95" s="4356">
        <v>0</v>
      </c>
      <c r="BB95" s="4356">
        <v>0</v>
      </c>
      <c r="BC95" s="4356">
        <f>+Y95+AA95</f>
        <v>1578</v>
      </c>
      <c r="BD95" s="4356">
        <f>+Z95+AB95</f>
        <v>1251</v>
      </c>
      <c r="BE95" s="4322">
        <v>3</v>
      </c>
      <c r="BF95" s="4316">
        <v>15990000</v>
      </c>
      <c r="BG95" s="4316">
        <v>13990000</v>
      </c>
      <c r="BH95" s="4344">
        <f>+BG95/BF95</f>
        <v>0.87492182614133829</v>
      </c>
      <c r="BI95" s="4322" t="s">
        <v>1462</v>
      </c>
      <c r="BJ95" s="4322" t="s">
        <v>2420</v>
      </c>
      <c r="BK95" s="4287">
        <v>43467</v>
      </c>
      <c r="BL95" s="4287">
        <v>43467</v>
      </c>
      <c r="BM95" s="4287">
        <v>43830</v>
      </c>
      <c r="BN95" s="4287">
        <v>43830</v>
      </c>
      <c r="BO95" s="2966" t="s">
        <v>2275</v>
      </c>
      <c r="BP95" s="657"/>
      <c r="BQ95" s="657"/>
      <c r="BR95" s="657"/>
      <c r="BS95" s="657"/>
      <c r="BT95" s="657"/>
    </row>
    <row r="96" spans="1:72" ht="52.5" customHeight="1" x14ac:dyDescent="0.2">
      <c r="A96" s="2259"/>
      <c r="B96" s="2260"/>
      <c r="C96" s="1210"/>
      <c r="D96" s="1212"/>
      <c r="E96" s="1210"/>
      <c r="F96" s="1212"/>
      <c r="G96" s="4352"/>
      <c r="H96" s="3823"/>
      <c r="I96" s="2923"/>
      <c r="J96" s="4358"/>
      <c r="K96" s="4313"/>
      <c r="L96" s="4338"/>
      <c r="M96" s="4314"/>
      <c r="N96" s="3823"/>
      <c r="O96" s="3427"/>
      <c r="P96" s="3476"/>
      <c r="Q96" s="3836"/>
      <c r="R96" s="2923"/>
      <c r="S96" s="2309" t="s">
        <v>2421</v>
      </c>
      <c r="T96" s="2300">
        <v>0</v>
      </c>
      <c r="U96" s="1319">
        <v>0</v>
      </c>
      <c r="V96" s="1319">
        <v>0</v>
      </c>
      <c r="W96" s="4302"/>
      <c r="X96" s="2923"/>
      <c r="Y96" s="4357"/>
      <c r="Z96" s="4357"/>
      <c r="AA96" s="4357"/>
      <c r="AB96" s="4357"/>
      <c r="AC96" s="4357"/>
      <c r="AD96" s="4357"/>
      <c r="AE96" s="4357"/>
      <c r="AF96" s="4357"/>
      <c r="AG96" s="4357"/>
      <c r="AH96" s="4357"/>
      <c r="AI96" s="4357"/>
      <c r="AJ96" s="4357"/>
      <c r="AK96" s="4357"/>
      <c r="AL96" s="4357"/>
      <c r="AM96" s="4357"/>
      <c r="AN96" s="4357"/>
      <c r="AO96" s="4357"/>
      <c r="AP96" s="4357"/>
      <c r="AQ96" s="4357"/>
      <c r="AR96" s="4357"/>
      <c r="AS96" s="4357"/>
      <c r="AT96" s="4357"/>
      <c r="AU96" s="4357"/>
      <c r="AV96" s="4357"/>
      <c r="AW96" s="4357"/>
      <c r="AX96" s="4357"/>
      <c r="AY96" s="4357"/>
      <c r="AZ96" s="4357"/>
      <c r="BA96" s="4357"/>
      <c r="BB96" s="4357"/>
      <c r="BC96" s="4357"/>
      <c r="BD96" s="4357"/>
      <c r="BE96" s="4349"/>
      <c r="BF96" s="4350"/>
      <c r="BG96" s="4350"/>
      <c r="BH96" s="4351"/>
      <c r="BI96" s="4349"/>
      <c r="BJ96" s="4349"/>
      <c r="BK96" s="4287"/>
      <c r="BL96" s="4287"/>
      <c r="BM96" s="4287"/>
      <c r="BN96" s="4287"/>
      <c r="BO96" s="2966"/>
      <c r="BP96" s="657"/>
      <c r="BQ96" s="657"/>
      <c r="BR96" s="657"/>
      <c r="BS96" s="657"/>
      <c r="BT96" s="657"/>
    </row>
    <row r="97" spans="1:72" ht="43.5" customHeight="1" x14ac:dyDescent="0.2">
      <c r="A97" s="2259"/>
      <c r="B97" s="2260"/>
      <c r="C97" s="1210"/>
      <c r="D97" s="1212"/>
      <c r="E97" s="1210"/>
      <c r="F97" s="1212"/>
      <c r="G97" s="4352"/>
      <c r="H97" s="3823"/>
      <c r="I97" s="2923"/>
      <c r="J97" s="4358"/>
      <c r="K97" s="4313"/>
      <c r="L97" s="4338"/>
      <c r="M97" s="4314"/>
      <c r="N97" s="3823"/>
      <c r="O97" s="3427"/>
      <c r="P97" s="3476"/>
      <c r="Q97" s="3836"/>
      <c r="R97" s="2923"/>
      <c r="S97" s="1232" t="s">
        <v>2422</v>
      </c>
      <c r="T97" s="2300">
        <v>0</v>
      </c>
      <c r="U97" s="1319">
        <v>0</v>
      </c>
      <c r="V97" s="1319">
        <v>0</v>
      </c>
      <c r="W97" s="4302"/>
      <c r="X97" s="2923"/>
      <c r="Y97" s="4356">
        <v>701</v>
      </c>
      <c r="Z97" s="4356">
        <v>547</v>
      </c>
      <c r="AA97" s="4356">
        <v>877</v>
      </c>
      <c r="AB97" s="4356">
        <v>704</v>
      </c>
      <c r="AC97" s="4356">
        <v>56</v>
      </c>
      <c r="AD97" s="4356">
        <v>0</v>
      </c>
      <c r="AE97" s="4356">
        <v>150</v>
      </c>
      <c r="AF97" s="4356">
        <v>0</v>
      </c>
      <c r="AG97" s="4356">
        <v>1250</v>
      </c>
      <c r="AH97" s="4356">
        <v>1251</v>
      </c>
      <c r="AI97" s="4356">
        <v>122</v>
      </c>
      <c r="AJ97" s="4356">
        <v>0</v>
      </c>
      <c r="AK97" s="4356">
        <v>0</v>
      </c>
      <c r="AL97" s="4356">
        <v>0</v>
      </c>
      <c r="AM97" s="4356">
        <v>0</v>
      </c>
      <c r="AN97" s="4356">
        <v>0</v>
      </c>
      <c r="AO97" s="4356">
        <v>0</v>
      </c>
      <c r="AP97" s="4356">
        <v>0</v>
      </c>
      <c r="AQ97" s="4356">
        <v>0</v>
      </c>
      <c r="AR97" s="4356">
        <v>0</v>
      </c>
      <c r="AS97" s="4356">
        <v>0</v>
      </c>
      <c r="AT97" s="4356">
        <v>0</v>
      </c>
      <c r="AU97" s="4356">
        <v>0</v>
      </c>
      <c r="AV97" s="4356">
        <v>0</v>
      </c>
      <c r="AW97" s="4356">
        <v>0</v>
      </c>
      <c r="AX97" s="4356">
        <v>0</v>
      </c>
      <c r="AY97" s="4356">
        <v>0</v>
      </c>
      <c r="AZ97" s="4356">
        <v>0</v>
      </c>
      <c r="BA97" s="4356">
        <v>0</v>
      </c>
      <c r="BB97" s="4356">
        <v>0</v>
      </c>
      <c r="BC97" s="4356">
        <f>+Y97+AA97</f>
        <v>1578</v>
      </c>
      <c r="BD97" s="4356">
        <f>+Z97+AB97</f>
        <v>1251</v>
      </c>
      <c r="BE97" s="4322">
        <v>3</v>
      </c>
      <c r="BF97" s="4316">
        <v>35000000</v>
      </c>
      <c r="BG97" s="4316"/>
      <c r="BH97" s="4344">
        <f>+BG97/BF97</f>
        <v>0</v>
      </c>
      <c r="BI97" s="4322" t="s">
        <v>1462</v>
      </c>
      <c r="BJ97" s="4322" t="s">
        <v>2420</v>
      </c>
      <c r="BK97" s="4287"/>
      <c r="BL97" s="4287"/>
      <c r="BM97" s="4287"/>
      <c r="BN97" s="4287"/>
      <c r="BO97" s="2966"/>
      <c r="BP97" s="657"/>
      <c r="BQ97" s="657"/>
      <c r="BR97" s="657"/>
      <c r="BS97" s="657"/>
      <c r="BT97" s="657"/>
    </row>
    <row r="98" spans="1:72" ht="49.5" customHeight="1" x14ac:dyDescent="0.2">
      <c r="A98" s="2259"/>
      <c r="B98" s="2260"/>
      <c r="C98" s="1210"/>
      <c r="D98" s="1212"/>
      <c r="E98" s="1276"/>
      <c r="F98" s="1212"/>
      <c r="G98" s="4352"/>
      <c r="H98" s="3811"/>
      <c r="I98" s="2835"/>
      <c r="J98" s="4358"/>
      <c r="K98" s="4313"/>
      <c r="L98" s="4339"/>
      <c r="M98" s="4315"/>
      <c r="N98" s="3811"/>
      <c r="O98" s="3427"/>
      <c r="P98" s="3476"/>
      <c r="Q98" s="3836"/>
      <c r="R98" s="2835"/>
      <c r="S98" s="1232" t="s">
        <v>2423</v>
      </c>
      <c r="T98" s="2300">
        <v>35000000</v>
      </c>
      <c r="U98" s="1319">
        <v>35000000</v>
      </c>
      <c r="V98" s="1319">
        <v>0</v>
      </c>
      <c r="W98" s="4303"/>
      <c r="X98" s="2835"/>
      <c r="Y98" s="4357"/>
      <c r="Z98" s="4357"/>
      <c r="AA98" s="4357"/>
      <c r="AB98" s="4357"/>
      <c r="AC98" s="4357"/>
      <c r="AD98" s="4357"/>
      <c r="AE98" s="4357"/>
      <c r="AF98" s="4357"/>
      <c r="AG98" s="4357"/>
      <c r="AH98" s="4357"/>
      <c r="AI98" s="4357"/>
      <c r="AJ98" s="4357"/>
      <c r="AK98" s="4357"/>
      <c r="AL98" s="4357"/>
      <c r="AM98" s="4357"/>
      <c r="AN98" s="4357"/>
      <c r="AO98" s="4357"/>
      <c r="AP98" s="4357"/>
      <c r="AQ98" s="4357"/>
      <c r="AR98" s="4357"/>
      <c r="AS98" s="4357"/>
      <c r="AT98" s="4357"/>
      <c r="AU98" s="4357"/>
      <c r="AV98" s="4357"/>
      <c r="AW98" s="4357"/>
      <c r="AX98" s="4357"/>
      <c r="AY98" s="4357"/>
      <c r="AZ98" s="4357"/>
      <c r="BA98" s="4357"/>
      <c r="BB98" s="4357"/>
      <c r="BC98" s="4357"/>
      <c r="BD98" s="4357"/>
      <c r="BE98" s="4349"/>
      <c r="BF98" s="4350"/>
      <c r="BG98" s="4350"/>
      <c r="BH98" s="4351"/>
      <c r="BI98" s="4349"/>
      <c r="BJ98" s="4349"/>
      <c r="BK98" s="3115"/>
      <c r="BL98" s="3115"/>
      <c r="BM98" s="3115"/>
      <c r="BN98" s="3115"/>
      <c r="BO98" s="2966"/>
      <c r="BP98" s="657"/>
      <c r="BQ98" s="657"/>
      <c r="BR98" s="657"/>
      <c r="BS98" s="657"/>
      <c r="BT98" s="657"/>
    </row>
    <row r="99" spans="1:72" ht="15" x14ac:dyDescent="0.2">
      <c r="A99" s="2259"/>
      <c r="B99" s="2260"/>
      <c r="C99" s="1210"/>
      <c r="D99" s="1212"/>
      <c r="E99" s="1817">
        <v>63</v>
      </c>
      <c r="F99" s="2286" t="s">
        <v>2424</v>
      </c>
      <c r="G99" s="2287"/>
      <c r="H99" s="2080"/>
      <c r="I99" s="2080"/>
      <c r="J99" s="2287"/>
      <c r="K99" s="2288"/>
      <c r="L99" s="2287"/>
      <c r="M99" s="2287"/>
      <c r="N99" s="1368"/>
      <c r="O99" s="2287"/>
      <c r="P99" s="2289"/>
      <c r="Q99" s="2080"/>
      <c r="R99" s="2080"/>
      <c r="S99" s="2080"/>
      <c r="T99" s="2289"/>
      <c r="U99" s="2290"/>
      <c r="V99" s="2290"/>
      <c r="W99" s="1367"/>
      <c r="X99" s="1368"/>
      <c r="Y99" s="2287"/>
      <c r="Z99" s="2287"/>
      <c r="AA99" s="2287"/>
      <c r="AB99" s="2287"/>
      <c r="AC99" s="2287"/>
      <c r="AD99" s="2287"/>
      <c r="AE99" s="2287"/>
      <c r="AF99" s="2287"/>
      <c r="AG99" s="2287"/>
      <c r="AH99" s="2287"/>
      <c r="AI99" s="2287"/>
      <c r="AJ99" s="2287"/>
      <c r="AK99" s="2287"/>
      <c r="AL99" s="2287"/>
      <c r="AM99" s="2287"/>
      <c r="AN99" s="2287"/>
      <c r="AO99" s="2287"/>
      <c r="AP99" s="2287"/>
      <c r="AQ99" s="2287"/>
      <c r="AR99" s="2287"/>
      <c r="AS99" s="2287"/>
      <c r="AT99" s="2287"/>
      <c r="AU99" s="2287"/>
      <c r="AV99" s="2287"/>
      <c r="AW99" s="2287"/>
      <c r="AX99" s="2287"/>
      <c r="AY99" s="2287"/>
      <c r="AZ99" s="2287"/>
      <c r="BA99" s="2287"/>
      <c r="BB99" s="2287"/>
      <c r="BC99" s="2287"/>
      <c r="BD99" s="2287"/>
      <c r="BE99" s="2287"/>
      <c r="BF99" s="2287"/>
      <c r="BG99" s="2287"/>
      <c r="BH99" s="2287"/>
      <c r="BI99" s="2287"/>
      <c r="BJ99" s="2287"/>
      <c r="BK99" s="2287"/>
      <c r="BL99" s="2287"/>
      <c r="BM99" s="2287"/>
      <c r="BN99" s="2287"/>
      <c r="BO99" s="2291"/>
      <c r="BP99" s="657"/>
      <c r="BQ99" s="657"/>
      <c r="BR99" s="657"/>
      <c r="BS99" s="657"/>
      <c r="BT99" s="657"/>
    </row>
    <row r="100" spans="1:72" ht="72" customHeight="1" x14ac:dyDescent="0.2">
      <c r="A100" s="2259"/>
      <c r="B100" s="2260"/>
      <c r="C100" s="1210"/>
      <c r="D100" s="1212"/>
      <c r="E100" s="1193"/>
      <c r="F100" s="1212"/>
      <c r="G100" s="4302">
        <v>193</v>
      </c>
      <c r="H100" s="2923" t="s">
        <v>2425</v>
      </c>
      <c r="I100" s="2923" t="s">
        <v>2426</v>
      </c>
      <c r="J100" s="3843">
        <v>1</v>
      </c>
      <c r="K100" s="4313">
        <v>1</v>
      </c>
      <c r="L100" s="4337" t="s">
        <v>2427</v>
      </c>
      <c r="M100" s="4314" t="s">
        <v>2428</v>
      </c>
      <c r="N100" s="3823" t="s">
        <v>2429</v>
      </c>
      <c r="O100" s="3427">
        <f>SUM(T100:T102)/P100</f>
        <v>1</v>
      </c>
      <c r="P100" s="3415">
        <f>SUM(T100:T102)</f>
        <v>29800000</v>
      </c>
      <c r="Q100" s="3836" t="s">
        <v>2430</v>
      </c>
      <c r="R100" s="2834" t="s">
        <v>2431</v>
      </c>
      <c r="S100" s="1232" t="s">
        <v>2432</v>
      </c>
      <c r="T100" s="2301">
        <v>7450000</v>
      </c>
      <c r="U100" s="1319">
        <v>7450000</v>
      </c>
      <c r="V100" s="1319">
        <v>0</v>
      </c>
      <c r="W100" s="4352">
        <v>20</v>
      </c>
      <c r="X100" s="2807" t="s">
        <v>86</v>
      </c>
      <c r="Y100" s="4322">
        <v>13</v>
      </c>
      <c r="Z100" s="4322">
        <v>13</v>
      </c>
      <c r="AA100" s="4322">
        <v>21</v>
      </c>
      <c r="AB100" s="4322">
        <v>21</v>
      </c>
      <c r="AC100" s="4322">
        <v>0</v>
      </c>
      <c r="AD100" s="4322">
        <v>0</v>
      </c>
      <c r="AE100" s="4322">
        <v>0</v>
      </c>
      <c r="AF100" s="4322">
        <v>0</v>
      </c>
      <c r="AG100" s="4322">
        <v>0</v>
      </c>
      <c r="AH100" s="4322">
        <v>0</v>
      </c>
      <c r="AI100" s="4322">
        <v>0</v>
      </c>
      <c r="AJ100" s="4322">
        <v>0</v>
      </c>
      <c r="AK100" s="4322">
        <f>+Y100+AA100</f>
        <v>34</v>
      </c>
      <c r="AL100" s="4322">
        <f>+Z100+AB100</f>
        <v>34</v>
      </c>
      <c r="AM100" s="4322">
        <v>0</v>
      </c>
      <c r="AN100" s="4322">
        <v>0</v>
      </c>
      <c r="AO100" s="4322">
        <v>0</v>
      </c>
      <c r="AP100" s="4322">
        <v>0</v>
      </c>
      <c r="AQ100" s="4322">
        <v>0</v>
      </c>
      <c r="AR100" s="4322">
        <v>0</v>
      </c>
      <c r="AS100" s="4322">
        <v>0</v>
      </c>
      <c r="AT100" s="4322">
        <v>0</v>
      </c>
      <c r="AU100" s="4322">
        <v>0</v>
      </c>
      <c r="AV100" s="4322">
        <v>0</v>
      </c>
      <c r="AW100" s="4322">
        <v>0</v>
      </c>
      <c r="AX100" s="4322">
        <v>0</v>
      </c>
      <c r="AY100" s="4322">
        <v>0</v>
      </c>
      <c r="AZ100" s="4322">
        <v>0</v>
      </c>
      <c r="BA100" s="4322">
        <v>0</v>
      </c>
      <c r="BB100" s="4322">
        <v>0</v>
      </c>
      <c r="BC100" s="4322">
        <f>+Y100+AA100</f>
        <v>34</v>
      </c>
      <c r="BD100" s="4322">
        <f>+BC100</f>
        <v>34</v>
      </c>
      <c r="BE100" s="4322">
        <v>1</v>
      </c>
      <c r="BF100" s="4316">
        <v>29800000</v>
      </c>
      <c r="BG100" s="4316">
        <v>0</v>
      </c>
      <c r="BH100" s="4319">
        <f>+BG100/BF100</f>
        <v>0</v>
      </c>
      <c r="BI100" s="4323" t="s">
        <v>1462</v>
      </c>
      <c r="BJ100" s="4323" t="s">
        <v>2420</v>
      </c>
      <c r="BK100" s="3169">
        <v>43467</v>
      </c>
      <c r="BL100" s="3169">
        <v>43467</v>
      </c>
      <c r="BM100" s="3169" t="s">
        <v>2433</v>
      </c>
      <c r="BN100" s="3169" t="s">
        <v>2433</v>
      </c>
      <c r="BO100" s="2966" t="s">
        <v>2275</v>
      </c>
      <c r="BP100" s="657"/>
      <c r="BQ100" s="657"/>
      <c r="BR100" s="657"/>
      <c r="BS100" s="657"/>
      <c r="BT100" s="657"/>
    </row>
    <row r="101" spans="1:72" ht="72" customHeight="1" x14ac:dyDescent="0.2">
      <c r="A101" s="2259"/>
      <c r="B101" s="2260"/>
      <c r="C101" s="1210"/>
      <c r="D101" s="1212"/>
      <c r="E101" s="1210"/>
      <c r="F101" s="1212"/>
      <c r="G101" s="4302"/>
      <c r="H101" s="2923"/>
      <c r="I101" s="2923"/>
      <c r="J101" s="3843"/>
      <c r="K101" s="4313"/>
      <c r="L101" s="4338"/>
      <c r="M101" s="4314"/>
      <c r="N101" s="3823"/>
      <c r="O101" s="3427"/>
      <c r="P101" s="3415"/>
      <c r="Q101" s="3836"/>
      <c r="R101" s="2835"/>
      <c r="S101" s="1232" t="s">
        <v>2434</v>
      </c>
      <c r="T101" s="2301">
        <v>7450000</v>
      </c>
      <c r="U101" s="1319">
        <v>7450000</v>
      </c>
      <c r="V101" s="1319">
        <v>0</v>
      </c>
      <c r="W101" s="4352"/>
      <c r="X101" s="2807"/>
      <c r="Y101" s="4317"/>
      <c r="Z101" s="4317"/>
      <c r="AA101" s="4317"/>
      <c r="AB101" s="4317"/>
      <c r="AC101" s="4317"/>
      <c r="AD101" s="4317"/>
      <c r="AE101" s="4317"/>
      <c r="AF101" s="4317"/>
      <c r="AG101" s="4317"/>
      <c r="AH101" s="4317"/>
      <c r="AI101" s="4317"/>
      <c r="AJ101" s="4317"/>
      <c r="AK101" s="4317"/>
      <c r="AL101" s="4317"/>
      <c r="AM101" s="4317"/>
      <c r="AN101" s="4317"/>
      <c r="AO101" s="4317"/>
      <c r="AP101" s="4317"/>
      <c r="AQ101" s="4317"/>
      <c r="AR101" s="4317"/>
      <c r="AS101" s="4317"/>
      <c r="AT101" s="4317"/>
      <c r="AU101" s="4317"/>
      <c r="AV101" s="4317"/>
      <c r="AW101" s="4317"/>
      <c r="AX101" s="4317"/>
      <c r="AY101" s="4317"/>
      <c r="AZ101" s="4317"/>
      <c r="BA101" s="4317"/>
      <c r="BB101" s="4317"/>
      <c r="BC101" s="4317"/>
      <c r="BD101" s="4317"/>
      <c r="BE101" s="4317"/>
      <c r="BF101" s="4354"/>
      <c r="BG101" s="4354"/>
      <c r="BH101" s="4320"/>
      <c r="BI101" s="4324"/>
      <c r="BJ101" s="4324"/>
      <c r="BK101" s="3355"/>
      <c r="BL101" s="3355"/>
      <c r="BM101" s="3355"/>
      <c r="BN101" s="3355"/>
      <c r="BO101" s="2966"/>
      <c r="BP101" s="657"/>
      <c r="BQ101" s="657"/>
      <c r="BR101" s="657"/>
      <c r="BS101" s="657"/>
      <c r="BT101" s="657"/>
    </row>
    <row r="102" spans="1:72" ht="63.75" customHeight="1" x14ac:dyDescent="0.2">
      <c r="A102" s="2259"/>
      <c r="B102" s="2260"/>
      <c r="C102" s="1210"/>
      <c r="D102" s="1212"/>
      <c r="E102" s="1210"/>
      <c r="F102" s="1212"/>
      <c r="G102" s="4303"/>
      <c r="H102" s="2835"/>
      <c r="I102" s="2835"/>
      <c r="J102" s="3828"/>
      <c r="K102" s="4313"/>
      <c r="L102" s="4339"/>
      <c r="M102" s="4315"/>
      <c r="N102" s="3811"/>
      <c r="O102" s="3427"/>
      <c r="P102" s="3476"/>
      <c r="Q102" s="3836"/>
      <c r="R102" s="711" t="s">
        <v>2435</v>
      </c>
      <c r="S102" s="1232" t="s">
        <v>2436</v>
      </c>
      <c r="T102" s="2300">
        <v>14900000</v>
      </c>
      <c r="U102" s="1319">
        <v>14900000</v>
      </c>
      <c r="V102" s="1319">
        <v>0</v>
      </c>
      <c r="W102" s="4352"/>
      <c r="X102" s="2807"/>
      <c r="Y102" s="4349"/>
      <c r="Z102" s="4349"/>
      <c r="AA102" s="4349"/>
      <c r="AB102" s="4349"/>
      <c r="AC102" s="4349"/>
      <c r="AD102" s="4349"/>
      <c r="AE102" s="4349"/>
      <c r="AF102" s="4349"/>
      <c r="AG102" s="4349"/>
      <c r="AH102" s="4349"/>
      <c r="AI102" s="4349"/>
      <c r="AJ102" s="4349"/>
      <c r="AK102" s="4349"/>
      <c r="AL102" s="4349"/>
      <c r="AM102" s="4349"/>
      <c r="AN102" s="4349"/>
      <c r="AO102" s="4349"/>
      <c r="AP102" s="4349"/>
      <c r="AQ102" s="4349"/>
      <c r="AR102" s="4349"/>
      <c r="AS102" s="4349"/>
      <c r="AT102" s="4349"/>
      <c r="AU102" s="4349"/>
      <c r="AV102" s="4349"/>
      <c r="AW102" s="4349"/>
      <c r="AX102" s="4349"/>
      <c r="AY102" s="4349"/>
      <c r="AZ102" s="4349"/>
      <c r="BA102" s="4349"/>
      <c r="BB102" s="4349"/>
      <c r="BC102" s="4349"/>
      <c r="BD102" s="4349"/>
      <c r="BE102" s="4349"/>
      <c r="BF102" s="4350"/>
      <c r="BG102" s="4350"/>
      <c r="BH102" s="4355"/>
      <c r="BI102" s="4325"/>
      <c r="BJ102" s="4325"/>
      <c r="BK102" s="3170"/>
      <c r="BL102" s="3170"/>
      <c r="BM102" s="3170"/>
      <c r="BN102" s="3170"/>
      <c r="BO102" s="2966"/>
      <c r="BP102" s="657"/>
      <c r="BQ102" s="657"/>
      <c r="BR102" s="657"/>
      <c r="BS102" s="657"/>
      <c r="BT102" s="657"/>
    </row>
    <row r="103" spans="1:72" ht="60" customHeight="1" x14ac:dyDescent="0.2">
      <c r="A103" s="2259"/>
      <c r="B103" s="2260"/>
      <c r="C103" s="1210"/>
      <c r="D103" s="1212"/>
      <c r="E103" s="1210"/>
      <c r="F103" s="1212"/>
      <c r="G103" s="4312">
        <v>194</v>
      </c>
      <c r="H103" s="2834" t="s">
        <v>2437</v>
      </c>
      <c r="I103" s="4353" t="s">
        <v>2438</v>
      </c>
      <c r="J103" s="3828">
        <v>1</v>
      </c>
      <c r="K103" s="4313">
        <v>0.8</v>
      </c>
      <c r="L103" s="4337" t="s">
        <v>2439</v>
      </c>
      <c r="M103" s="4335" t="s">
        <v>2440</v>
      </c>
      <c r="N103" s="3810" t="s">
        <v>2441</v>
      </c>
      <c r="O103" s="3427">
        <f>SUM(T103:T104)/P103</f>
        <v>1</v>
      </c>
      <c r="P103" s="3476">
        <f>SUM(T103:T104)</f>
        <v>69560000</v>
      </c>
      <c r="Q103" s="3810" t="s">
        <v>2442</v>
      </c>
      <c r="R103" s="711" t="s">
        <v>2443</v>
      </c>
      <c r="S103" s="1232" t="s">
        <v>2444</v>
      </c>
      <c r="T103" s="2300">
        <v>64560000</v>
      </c>
      <c r="U103" s="1319">
        <v>47670500</v>
      </c>
      <c r="V103" s="1319">
        <v>19514500</v>
      </c>
      <c r="W103" s="4352" t="s">
        <v>682</v>
      </c>
      <c r="X103" s="2834" t="s">
        <v>697</v>
      </c>
      <c r="Y103" s="4322">
        <v>454</v>
      </c>
      <c r="Z103" s="4322">
        <f>98+276+42</f>
        <v>416</v>
      </c>
      <c r="AA103" s="4322">
        <v>455</v>
      </c>
      <c r="AB103" s="4322">
        <v>385</v>
      </c>
      <c r="AC103" s="4322">
        <v>105</v>
      </c>
      <c r="AD103" s="4322">
        <v>83</v>
      </c>
      <c r="AE103" s="4322">
        <v>67</v>
      </c>
      <c r="AF103" s="4322">
        <v>33</v>
      </c>
      <c r="AG103" s="4322">
        <v>630</v>
      </c>
      <c r="AH103" s="4322">
        <f>432+98</f>
        <v>530</v>
      </c>
      <c r="AI103" s="4322">
        <v>107</v>
      </c>
      <c r="AJ103" s="4322">
        <f>113+42</f>
        <v>155</v>
      </c>
      <c r="AK103" s="4322">
        <f>+Y103+AA103</f>
        <v>909</v>
      </c>
      <c r="AL103" s="4322">
        <f>+AD103+AF103+AH103+AJ103</f>
        <v>801</v>
      </c>
      <c r="AM103" s="4322">
        <v>0</v>
      </c>
      <c r="AN103" s="4322">
        <v>0</v>
      </c>
      <c r="AO103" s="4322">
        <v>0</v>
      </c>
      <c r="AP103" s="4322">
        <v>0</v>
      </c>
      <c r="AQ103" s="4322">
        <v>0</v>
      </c>
      <c r="AR103" s="4322">
        <v>0</v>
      </c>
      <c r="AS103" s="4322">
        <v>0</v>
      </c>
      <c r="AT103" s="4322">
        <v>0</v>
      </c>
      <c r="AU103" s="4322">
        <v>0</v>
      </c>
      <c r="AV103" s="4322">
        <v>0</v>
      </c>
      <c r="AW103" s="4322">
        <v>0</v>
      </c>
      <c r="AX103" s="4322">
        <v>0</v>
      </c>
      <c r="AY103" s="4322">
        <v>0</v>
      </c>
      <c r="AZ103" s="4322">
        <v>0</v>
      </c>
      <c r="BA103" s="4322">
        <v>0</v>
      </c>
      <c r="BB103" s="4322">
        <v>0</v>
      </c>
      <c r="BC103" s="4322">
        <f>+Y103+AA103</f>
        <v>909</v>
      </c>
      <c r="BD103" s="4322">
        <f>+Z103+AB103</f>
        <v>801</v>
      </c>
      <c r="BE103" s="4322">
        <v>6</v>
      </c>
      <c r="BF103" s="4316">
        <v>52670500</v>
      </c>
      <c r="BG103" s="4316">
        <v>19514500</v>
      </c>
      <c r="BH103" s="4344">
        <f>+BG103/BF103</f>
        <v>0.37050151413030064</v>
      </c>
      <c r="BI103" s="4322" t="s">
        <v>1462</v>
      </c>
      <c r="BJ103" s="4322" t="s">
        <v>2445</v>
      </c>
      <c r="BK103" s="3169">
        <v>43467</v>
      </c>
      <c r="BL103" s="3169">
        <v>43467</v>
      </c>
      <c r="BM103" s="3169">
        <v>43830</v>
      </c>
      <c r="BN103" s="3169">
        <v>43830</v>
      </c>
      <c r="BO103" s="3161" t="s">
        <v>2275</v>
      </c>
      <c r="BP103" s="657"/>
      <c r="BQ103" s="657"/>
      <c r="BR103" s="657"/>
      <c r="BS103" s="657"/>
      <c r="BT103" s="657"/>
    </row>
    <row r="104" spans="1:72" ht="60.75" customHeight="1" x14ac:dyDescent="0.2">
      <c r="A104" s="2259"/>
      <c r="B104" s="2260"/>
      <c r="C104" s="1210"/>
      <c r="D104" s="1212"/>
      <c r="E104" s="1210"/>
      <c r="F104" s="1212"/>
      <c r="G104" s="4302"/>
      <c r="H104" s="2923"/>
      <c r="I104" s="4353"/>
      <c r="J104" s="3828"/>
      <c r="K104" s="4313"/>
      <c r="L104" s="4339"/>
      <c r="M104" s="4314"/>
      <c r="N104" s="3823"/>
      <c r="O104" s="3427"/>
      <c r="P104" s="3476"/>
      <c r="Q104" s="3811"/>
      <c r="R104" s="824" t="s">
        <v>2446</v>
      </c>
      <c r="S104" s="1232" t="s">
        <v>2447</v>
      </c>
      <c r="T104" s="2300">
        <v>5000000</v>
      </c>
      <c r="U104" s="1319">
        <v>5000000</v>
      </c>
      <c r="V104" s="1319">
        <v>0</v>
      </c>
      <c r="W104" s="4352"/>
      <c r="X104" s="2835"/>
      <c r="Y104" s="4349"/>
      <c r="Z104" s="4349">
        <v>276</v>
      </c>
      <c r="AA104" s="4349"/>
      <c r="AB104" s="4349">
        <v>385</v>
      </c>
      <c r="AC104" s="4349"/>
      <c r="AD104" s="4349">
        <v>83</v>
      </c>
      <c r="AE104" s="4349"/>
      <c r="AF104" s="4349">
        <v>33</v>
      </c>
      <c r="AG104" s="4349"/>
      <c r="AH104" s="4349">
        <v>250</v>
      </c>
      <c r="AI104" s="4349"/>
      <c r="AJ104" s="4349">
        <v>113</v>
      </c>
      <c r="AK104" s="4349"/>
      <c r="AL104" s="4349">
        <v>661</v>
      </c>
      <c r="AM104" s="4349"/>
      <c r="AN104" s="4349"/>
      <c r="AO104" s="4349"/>
      <c r="AP104" s="4349"/>
      <c r="AQ104" s="4349"/>
      <c r="AR104" s="4349"/>
      <c r="AS104" s="4349"/>
      <c r="AT104" s="4349"/>
      <c r="AU104" s="4349"/>
      <c r="AV104" s="4349"/>
      <c r="AW104" s="4349"/>
      <c r="AX104" s="4349"/>
      <c r="AY104" s="4349"/>
      <c r="AZ104" s="4349"/>
      <c r="BA104" s="4349"/>
      <c r="BB104" s="4349"/>
      <c r="BC104" s="4349"/>
      <c r="BD104" s="4349">
        <v>661</v>
      </c>
      <c r="BE104" s="4349"/>
      <c r="BF104" s="4350"/>
      <c r="BG104" s="4350"/>
      <c r="BH104" s="4351"/>
      <c r="BI104" s="4349"/>
      <c r="BJ104" s="4349"/>
      <c r="BK104" s="3355"/>
      <c r="BL104" s="3355"/>
      <c r="BM104" s="3355"/>
      <c r="BN104" s="3355"/>
      <c r="BO104" s="3161"/>
      <c r="BP104" s="657"/>
      <c r="BQ104" s="657"/>
      <c r="BR104" s="657"/>
      <c r="BS104" s="657"/>
      <c r="BT104" s="657"/>
    </row>
    <row r="105" spans="1:72" ht="15" x14ac:dyDescent="0.2">
      <c r="A105" s="2259"/>
      <c r="B105" s="2260"/>
      <c r="C105" s="1210"/>
      <c r="D105" s="1212"/>
      <c r="E105" s="1385">
        <v>64</v>
      </c>
      <c r="F105" s="1442" t="s">
        <v>2448</v>
      </c>
      <c r="G105" s="1366"/>
      <c r="H105" s="2080"/>
      <c r="I105" s="2080"/>
      <c r="J105" s="1366"/>
      <c r="K105" s="2288"/>
      <c r="L105" s="1366"/>
      <c r="M105" s="1366"/>
      <c r="N105" s="1368"/>
      <c r="O105" s="1366"/>
      <c r="P105" s="1495"/>
      <c r="Q105" s="2080"/>
      <c r="R105" s="2080"/>
      <c r="S105" s="2080"/>
      <c r="T105" s="1495"/>
      <c r="U105" s="1520"/>
      <c r="V105" s="1520"/>
      <c r="W105" s="1367"/>
      <c r="X105" s="1368"/>
      <c r="Y105" s="1366"/>
      <c r="Z105" s="1366"/>
      <c r="AA105" s="1366"/>
      <c r="AB105" s="1366"/>
      <c r="AC105" s="1366"/>
      <c r="AD105" s="1366"/>
      <c r="AE105" s="1366"/>
      <c r="AF105" s="1366"/>
      <c r="AG105" s="1366"/>
      <c r="AH105" s="1366"/>
      <c r="AI105" s="1366"/>
      <c r="AJ105" s="1366"/>
      <c r="AK105" s="1366"/>
      <c r="AL105" s="1366"/>
      <c r="AM105" s="1366"/>
      <c r="AN105" s="1366"/>
      <c r="AO105" s="1366"/>
      <c r="AP105" s="1366"/>
      <c r="AQ105" s="1366"/>
      <c r="AR105" s="1366"/>
      <c r="AS105" s="1366"/>
      <c r="AT105" s="1366"/>
      <c r="AU105" s="1366"/>
      <c r="AV105" s="1366"/>
      <c r="AW105" s="1366"/>
      <c r="AX105" s="1366"/>
      <c r="AY105" s="1366"/>
      <c r="AZ105" s="1366"/>
      <c r="BA105" s="1366"/>
      <c r="BB105" s="1366"/>
      <c r="BC105" s="1366"/>
      <c r="BD105" s="1366"/>
      <c r="BE105" s="1366"/>
      <c r="BF105" s="1366"/>
      <c r="BG105" s="1366"/>
      <c r="BH105" s="1366"/>
      <c r="BI105" s="1366"/>
      <c r="BJ105" s="1366"/>
      <c r="BK105" s="1366"/>
      <c r="BL105" s="1366"/>
      <c r="BM105" s="1366"/>
      <c r="BN105" s="1366"/>
      <c r="BO105" s="2291"/>
      <c r="BP105" s="657"/>
      <c r="BQ105" s="657"/>
      <c r="BR105" s="657"/>
      <c r="BS105" s="657"/>
      <c r="BT105" s="657"/>
    </row>
    <row r="106" spans="1:72" ht="39" customHeight="1" x14ac:dyDescent="0.2">
      <c r="A106" s="2259"/>
      <c r="B106" s="2260"/>
      <c r="C106" s="1210"/>
      <c r="D106" s="1212"/>
      <c r="E106" s="2268"/>
      <c r="F106" s="2260"/>
      <c r="G106" s="4312">
        <v>195</v>
      </c>
      <c r="H106" s="2834" t="s">
        <v>2449</v>
      </c>
      <c r="I106" s="4346" t="s">
        <v>2450</v>
      </c>
      <c r="J106" s="3828">
        <v>1</v>
      </c>
      <c r="K106" s="4313">
        <v>0.5</v>
      </c>
      <c r="L106" s="4337" t="s">
        <v>2451</v>
      </c>
      <c r="M106" s="4335" t="s">
        <v>2452</v>
      </c>
      <c r="N106" s="3810" t="s">
        <v>2453</v>
      </c>
      <c r="O106" s="3427">
        <f>SUM(T106:T108)/P106</f>
        <v>1</v>
      </c>
      <c r="P106" s="3476">
        <f>SUM(T106:T108)</f>
        <v>100000000</v>
      </c>
      <c r="Q106" s="3810" t="s">
        <v>2454</v>
      </c>
      <c r="R106" s="2807" t="s">
        <v>2455</v>
      </c>
      <c r="S106" s="1232" t="s">
        <v>2456</v>
      </c>
      <c r="T106" s="2300">
        <v>40000000</v>
      </c>
      <c r="U106" s="2300">
        <v>0</v>
      </c>
      <c r="V106" s="1319">
        <v>0</v>
      </c>
      <c r="W106" s="3806" t="s">
        <v>682</v>
      </c>
      <c r="X106" s="2834" t="s">
        <v>697</v>
      </c>
      <c r="Y106" s="4322">
        <v>3698</v>
      </c>
      <c r="Z106" s="4322">
        <v>1485</v>
      </c>
      <c r="AA106" s="4322">
        <v>3552</v>
      </c>
      <c r="AB106" s="4322">
        <v>1213</v>
      </c>
      <c r="AC106" s="4322">
        <v>0</v>
      </c>
      <c r="AD106" s="4322">
        <v>0</v>
      </c>
      <c r="AE106" s="4322">
        <v>0</v>
      </c>
      <c r="AF106" s="4322">
        <v>0</v>
      </c>
      <c r="AG106" s="4322">
        <v>0</v>
      </c>
      <c r="AH106" s="4322">
        <v>0</v>
      </c>
      <c r="AI106" s="4322">
        <v>0</v>
      </c>
      <c r="AJ106" s="4322">
        <v>0</v>
      </c>
      <c r="AK106" s="4322">
        <v>0</v>
      </c>
      <c r="AL106" s="4322">
        <v>0</v>
      </c>
      <c r="AM106" s="4322">
        <f>+Y106+AA106</f>
        <v>7250</v>
      </c>
      <c r="AN106" s="4322">
        <f>+Z106+AB106</f>
        <v>2698</v>
      </c>
      <c r="AO106" s="4322">
        <v>0</v>
      </c>
      <c r="AP106" s="4322">
        <v>0</v>
      </c>
      <c r="AQ106" s="4322">
        <v>0</v>
      </c>
      <c r="AR106" s="4322">
        <v>0</v>
      </c>
      <c r="AS106" s="4322">
        <v>0</v>
      </c>
      <c r="AT106" s="4322">
        <v>0</v>
      </c>
      <c r="AU106" s="4322">
        <v>0</v>
      </c>
      <c r="AV106" s="4322">
        <v>0</v>
      </c>
      <c r="AW106" s="4322">
        <v>0</v>
      </c>
      <c r="AX106" s="4322">
        <v>0</v>
      </c>
      <c r="AY106" s="4322">
        <v>0</v>
      </c>
      <c r="AZ106" s="4322">
        <v>0</v>
      </c>
      <c r="BA106" s="4322">
        <v>0</v>
      </c>
      <c r="BB106" s="4322">
        <v>0</v>
      </c>
      <c r="BC106" s="4322">
        <f>+Y106+AA106</f>
        <v>7250</v>
      </c>
      <c r="BD106" s="4322">
        <f>+Z106+AB106</f>
        <v>2698</v>
      </c>
      <c r="BE106" s="4322">
        <v>4</v>
      </c>
      <c r="BF106" s="4343">
        <f>+U107+U108</f>
        <v>34261500</v>
      </c>
      <c r="BG106" s="4343">
        <v>10271500</v>
      </c>
      <c r="BH106" s="4344">
        <f>+BG106/BF106</f>
        <v>0.29979714840272609</v>
      </c>
      <c r="BI106" s="4323" t="s">
        <v>1462</v>
      </c>
      <c r="BJ106" s="2977" t="s">
        <v>2445</v>
      </c>
      <c r="BK106" s="4340">
        <v>43467</v>
      </c>
      <c r="BL106" s="4340">
        <v>43467</v>
      </c>
      <c r="BM106" s="3169">
        <v>43830</v>
      </c>
      <c r="BN106" s="3169">
        <v>43830</v>
      </c>
      <c r="BO106" s="3161" t="s">
        <v>2275</v>
      </c>
      <c r="BP106" s="657"/>
      <c r="BQ106" s="657"/>
      <c r="BR106" s="657"/>
      <c r="BS106" s="657"/>
      <c r="BT106" s="657"/>
    </row>
    <row r="107" spans="1:72" ht="63.75" customHeight="1" x14ac:dyDescent="0.2">
      <c r="A107" s="2259"/>
      <c r="B107" s="2260"/>
      <c r="C107" s="1210"/>
      <c r="D107" s="1212"/>
      <c r="E107" s="2268"/>
      <c r="F107" s="2260"/>
      <c r="G107" s="4302"/>
      <c r="H107" s="2923"/>
      <c r="I107" s="4347"/>
      <c r="J107" s="3828"/>
      <c r="K107" s="4313"/>
      <c r="L107" s="4338"/>
      <c r="M107" s="4314"/>
      <c r="N107" s="3823"/>
      <c r="O107" s="3427"/>
      <c r="P107" s="3476"/>
      <c r="Q107" s="3823"/>
      <c r="R107" s="2807"/>
      <c r="S107" s="793" t="s">
        <v>2457</v>
      </c>
      <c r="T107" s="2300">
        <v>55000000</v>
      </c>
      <c r="U107" s="2300">
        <v>29261500</v>
      </c>
      <c r="V107" s="1319">
        <v>10271500</v>
      </c>
      <c r="W107" s="3807"/>
      <c r="X107" s="2923"/>
      <c r="Y107" s="4317"/>
      <c r="Z107" s="4317"/>
      <c r="AA107" s="4317"/>
      <c r="AB107" s="4317"/>
      <c r="AC107" s="4317"/>
      <c r="AD107" s="4317"/>
      <c r="AE107" s="4317"/>
      <c r="AF107" s="4317"/>
      <c r="AG107" s="4317"/>
      <c r="AH107" s="4317"/>
      <c r="AI107" s="4317"/>
      <c r="AJ107" s="4317"/>
      <c r="AK107" s="4317"/>
      <c r="AL107" s="4317"/>
      <c r="AM107" s="4317"/>
      <c r="AN107" s="4317"/>
      <c r="AO107" s="4317"/>
      <c r="AP107" s="4317"/>
      <c r="AQ107" s="4317"/>
      <c r="AR107" s="4317"/>
      <c r="AS107" s="4317"/>
      <c r="AT107" s="4317"/>
      <c r="AU107" s="4317"/>
      <c r="AV107" s="4317"/>
      <c r="AW107" s="4317"/>
      <c r="AX107" s="4317"/>
      <c r="AY107" s="4317"/>
      <c r="AZ107" s="4317"/>
      <c r="BA107" s="4317"/>
      <c r="BB107" s="4317"/>
      <c r="BC107" s="4317"/>
      <c r="BD107" s="4317"/>
      <c r="BE107" s="4317"/>
      <c r="BF107" s="4343"/>
      <c r="BG107" s="4343"/>
      <c r="BH107" s="4345"/>
      <c r="BI107" s="4324"/>
      <c r="BJ107" s="2966"/>
      <c r="BK107" s="4341"/>
      <c r="BL107" s="4341"/>
      <c r="BM107" s="3355"/>
      <c r="BN107" s="3355"/>
      <c r="BO107" s="3161"/>
      <c r="BP107" s="657"/>
      <c r="BQ107" s="657"/>
      <c r="BR107" s="657"/>
      <c r="BS107" s="657"/>
      <c r="BT107" s="657"/>
    </row>
    <row r="108" spans="1:72" ht="74.25" customHeight="1" x14ac:dyDescent="0.2">
      <c r="A108" s="2259"/>
      <c r="B108" s="2260"/>
      <c r="C108" s="1210"/>
      <c r="D108" s="1212"/>
      <c r="E108" s="2277"/>
      <c r="F108" s="2278"/>
      <c r="G108" s="4303"/>
      <c r="H108" s="2835"/>
      <c r="I108" s="4348"/>
      <c r="J108" s="3828"/>
      <c r="K108" s="4313"/>
      <c r="L108" s="4339"/>
      <c r="M108" s="4315"/>
      <c r="N108" s="3811"/>
      <c r="O108" s="3427"/>
      <c r="P108" s="3476"/>
      <c r="Q108" s="3811"/>
      <c r="R108" s="824" t="s">
        <v>2458</v>
      </c>
      <c r="S108" s="793" t="s">
        <v>2447</v>
      </c>
      <c r="T108" s="2300">
        <v>5000000</v>
      </c>
      <c r="U108" s="2300">
        <v>5000000</v>
      </c>
      <c r="V108" s="1319">
        <v>0</v>
      </c>
      <c r="W108" s="3809"/>
      <c r="X108" s="2835"/>
      <c r="Y108" s="4317"/>
      <c r="Z108" s="4317"/>
      <c r="AA108" s="4317"/>
      <c r="AB108" s="4317"/>
      <c r="AC108" s="4317"/>
      <c r="AD108" s="4317"/>
      <c r="AE108" s="4317"/>
      <c r="AF108" s="4317"/>
      <c r="AG108" s="4317"/>
      <c r="AH108" s="4317"/>
      <c r="AI108" s="4317"/>
      <c r="AJ108" s="4317"/>
      <c r="AK108" s="4317"/>
      <c r="AL108" s="4317"/>
      <c r="AM108" s="4317"/>
      <c r="AN108" s="4317"/>
      <c r="AO108" s="4317"/>
      <c r="AP108" s="4317"/>
      <c r="AQ108" s="4317"/>
      <c r="AR108" s="4317"/>
      <c r="AS108" s="4317"/>
      <c r="AT108" s="4317"/>
      <c r="AU108" s="4317"/>
      <c r="AV108" s="4317"/>
      <c r="AW108" s="4317"/>
      <c r="AX108" s="4317"/>
      <c r="AY108" s="4317"/>
      <c r="AZ108" s="4317"/>
      <c r="BA108" s="4317"/>
      <c r="BB108" s="4317"/>
      <c r="BC108" s="4317"/>
      <c r="BD108" s="4317"/>
      <c r="BE108" s="4317"/>
      <c r="BF108" s="4316"/>
      <c r="BG108" s="4316"/>
      <c r="BH108" s="4345"/>
      <c r="BI108" s="4325"/>
      <c r="BJ108" s="2967"/>
      <c r="BK108" s="4342"/>
      <c r="BL108" s="4342"/>
      <c r="BM108" s="3170"/>
      <c r="BN108" s="3170"/>
      <c r="BO108" s="3161"/>
      <c r="BP108" s="657"/>
      <c r="BQ108" s="657"/>
      <c r="BR108" s="657"/>
      <c r="BS108" s="657"/>
      <c r="BT108" s="657"/>
    </row>
    <row r="109" spans="1:72" ht="15" x14ac:dyDescent="0.2">
      <c r="A109" s="2259"/>
      <c r="B109" s="2260"/>
      <c r="C109" s="1210"/>
      <c r="D109" s="1212"/>
      <c r="E109" s="2302">
        <v>65</v>
      </c>
      <c r="F109" s="2286" t="s">
        <v>2459</v>
      </c>
      <c r="G109" s="2287"/>
      <c r="H109" s="2080"/>
      <c r="I109" s="2080"/>
      <c r="J109" s="2287"/>
      <c r="K109" s="2288"/>
      <c r="L109" s="2287"/>
      <c r="M109" s="2287"/>
      <c r="N109" s="1368"/>
      <c r="O109" s="2287"/>
      <c r="P109" s="2289"/>
      <c r="Q109" s="2080"/>
      <c r="R109" s="2080"/>
      <c r="S109" s="2080"/>
      <c r="T109" s="2289"/>
      <c r="U109" s="2290"/>
      <c r="V109" s="2290"/>
      <c r="W109" s="1367"/>
      <c r="X109" s="1368"/>
      <c r="Y109" s="2287"/>
      <c r="Z109" s="2287"/>
      <c r="AA109" s="2287"/>
      <c r="AB109" s="2287"/>
      <c r="AC109" s="2287"/>
      <c r="AD109" s="2287"/>
      <c r="AE109" s="2287"/>
      <c r="AF109" s="2287"/>
      <c r="AG109" s="2287"/>
      <c r="AH109" s="2287"/>
      <c r="AI109" s="2287"/>
      <c r="AJ109" s="2287"/>
      <c r="AK109" s="2287"/>
      <c r="AL109" s="2287"/>
      <c r="AM109" s="2287"/>
      <c r="AN109" s="2287"/>
      <c r="AO109" s="2287"/>
      <c r="AP109" s="2287"/>
      <c r="AQ109" s="2287"/>
      <c r="AR109" s="2287"/>
      <c r="AS109" s="2287"/>
      <c r="AT109" s="2287"/>
      <c r="AU109" s="2287"/>
      <c r="AV109" s="2287"/>
      <c r="AW109" s="2287"/>
      <c r="AX109" s="2287"/>
      <c r="AY109" s="2287"/>
      <c r="AZ109" s="2287"/>
      <c r="BA109" s="2287"/>
      <c r="BB109" s="2287"/>
      <c r="BC109" s="2287"/>
      <c r="BD109" s="2287"/>
      <c r="BE109" s="2287"/>
      <c r="BF109" s="2287"/>
      <c r="BG109" s="2287"/>
      <c r="BH109" s="2287"/>
      <c r="BI109" s="2287"/>
      <c r="BJ109" s="2287"/>
      <c r="BK109" s="2287"/>
      <c r="BL109" s="2287"/>
      <c r="BM109" s="2287"/>
      <c r="BN109" s="2287"/>
      <c r="BO109" s="2291"/>
      <c r="BP109" s="657"/>
      <c r="BQ109" s="657"/>
      <c r="BR109" s="657"/>
      <c r="BS109" s="657"/>
      <c r="BT109" s="657"/>
    </row>
    <row r="110" spans="1:72" ht="43.5" customHeight="1" x14ac:dyDescent="0.2">
      <c r="A110" s="2259"/>
      <c r="B110" s="2260"/>
      <c r="C110" s="1210"/>
      <c r="D110" s="1212"/>
      <c r="E110" s="1193"/>
      <c r="F110" s="1195"/>
      <c r="G110" s="4312">
        <v>196</v>
      </c>
      <c r="H110" s="2834" t="s">
        <v>2460</v>
      </c>
      <c r="I110" s="2834" t="s">
        <v>2461</v>
      </c>
      <c r="J110" s="4336">
        <v>1</v>
      </c>
      <c r="K110" s="4313">
        <v>0.5</v>
      </c>
      <c r="L110" s="4337" t="s">
        <v>2462</v>
      </c>
      <c r="M110" s="4335" t="s">
        <v>2463</v>
      </c>
      <c r="N110" s="3810" t="s">
        <v>2464</v>
      </c>
      <c r="O110" s="3427">
        <f>SUM(T110:T113)/P110</f>
        <v>1</v>
      </c>
      <c r="P110" s="3476">
        <f>SUM(T110:T113)</f>
        <v>30000000</v>
      </c>
      <c r="Q110" s="3810" t="s">
        <v>2465</v>
      </c>
      <c r="R110" s="2807" t="s">
        <v>2466</v>
      </c>
      <c r="S110" s="1232" t="s">
        <v>2467</v>
      </c>
      <c r="T110" s="2312">
        <v>12000000</v>
      </c>
      <c r="U110" s="2313">
        <v>12000000</v>
      </c>
      <c r="V110" s="2313">
        <v>9800000</v>
      </c>
      <c r="W110" s="4312" t="s">
        <v>356</v>
      </c>
      <c r="X110" s="2834" t="s">
        <v>2468</v>
      </c>
      <c r="Y110" s="4329">
        <v>503</v>
      </c>
      <c r="Z110" s="4329">
        <v>503</v>
      </c>
      <c r="AA110" s="4329">
        <v>503</v>
      </c>
      <c r="AB110" s="4329">
        <v>503</v>
      </c>
      <c r="AC110" s="4329">
        <v>0</v>
      </c>
      <c r="AD110" s="4329">
        <v>1</v>
      </c>
      <c r="AE110" s="4332">
        <v>100</v>
      </c>
      <c r="AF110" s="4332">
        <v>100</v>
      </c>
      <c r="AG110" s="4326">
        <v>800</v>
      </c>
      <c r="AH110" s="4326">
        <v>800</v>
      </c>
      <c r="AI110" s="4326">
        <v>60</v>
      </c>
      <c r="AJ110" s="4326">
        <v>55</v>
      </c>
      <c r="AK110" s="4326">
        <v>0</v>
      </c>
      <c r="AL110" s="4326">
        <v>2</v>
      </c>
      <c r="AM110" s="4329">
        <v>0</v>
      </c>
      <c r="AN110" s="4329">
        <v>3</v>
      </c>
      <c r="AO110" s="4329"/>
      <c r="AP110" s="4329"/>
      <c r="AQ110" s="4329"/>
      <c r="AR110" s="4329"/>
      <c r="AS110" s="4329"/>
      <c r="AT110" s="4329"/>
      <c r="AU110" s="4332"/>
      <c r="AV110" s="4332"/>
      <c r="AW110" s="4326">
        <v>10</v>
      </c>
      <c r="AX110" s="4326">
        <v>10</v>
      </c>
      <c r="AY110" s="4326">
        <v>10</v>
      </c>
      <c r="AZ110" s="4326">
        <v>5</v>
      </c>
      <c r="BA110" s="4326">
        <v>30</v>
      </c>
      <c r="BB110" s="4326">
        <v>30</v>
      </c>
      <c r="BC110" s="4329">
        <f>+Y110+AA110</f>
        <v>1006</v>
      </c>
      <c r="BD110" s="4329">
        <v>1006</v>
      </c>
      <c r="BE110" s="4322">
        <v>1</v>
      </c>
      <c r="BF110" s="4316">
        <v>18990000</v>
      </c>
      <c r="BG110" s="4316">
        <v>11192000</v>
      </c>
      <c r="BH110" s="4319">
        <f>+BG110/BF110</f>
        <v>0.58936282253817796</v>
      </c>
      <c r="BI110" s="4322" t="s">
        <v>1462</v>
      </c>
      <c r="BJ110" s="4323" t="s">
        <v>2469</v>
      </c>
      <c r="BK110" s="3169">
        <v>43467</v>
      </c>
      <c r="BL110" s="3169">
        <v>43467</v>
      </c>
      <c r="BM110" s="3169">
        <v>43830</v>
      </c>
      <c r="BN110" s="3169">
        <v>43830</v>
      </c>
      <c r="BO110" s="2966" t="s">
        <v>2275</v>
      </c>
      <c r="BP110" s="657"/>
      <c r="BQ110" s="657"/>
      <c r="BR110" s="657"/>
      <c r="BS110" s="657"/>
      <c r="BT110" s="657"/>
    </row>
    <row r="111" spans="1:72" ht="43.5" customHeight="1" x14ac:dyDescent="0.2">
      <c r="A111" s="2259"/>
      <c r="B111" s="2260"/>
      <c r="C111" s="1210"/>
      <c r="D111" s="1212"/>
      <c r="E111" s="1210"/>
      <c r="F111" s="1212"/>
      <c r="G111" s="4302"/>
      <c r="H111" s="2923"/>
      <c r="I111" s="2923"/>
      <c r="J111" s="4336"/>
      <c r="K111" s="4313"/>
      <c r="L111" s="4338"/>
      <c r="M111" s="4314"/>
      <c r="N111" s="3823"/>
      <c r="O111" s="3427"/>
      <c r="P111" s="3476"/>
      <c r="Q111" s="3823"/>
      <c r="R111" s="2807"/>
      <c r="S111" s="1232" t="s">
        <v>2470</v>
      </c>
      <c r="T111" s="2312">
        <v>10000000</v>
      </c>
      <c r="U111" s="2313">
        <v>1990000</v>
      </c>
      <c r="V111" s="2313">
        <v>1392000</v>
      </c>
      <c r="W111" s="4302"/>
      <c r="X111" s="2923"/>
      <c r="Y111" s="4330"/>
      <c r="Z111" s="4330"/>
      <c r="AA111" s="4330"/>
      <c r="AB111" s="4330"/>
      <c r="AC111" s="4330"/>
      <c r="AD111" s="4330"/>
      <c r="AE111" s="4333"/>
      <c r="AF111" s="4333"/>
      <c r="AG111" s="4327"/>
      <c r="AH111" s="4327"/>
      <c r="AI111" s="4327"/>
      <c r="AJ111" s="4327"/>
      <c r="AK111" s="4327"/>
      <c r="AL111" s="4327"/>
      <c r="AM111" s="4330"/>
      <c r="AN111" s="4330"/>
      <c r="AO111" s="4330"/>
      <c r="AP111" s="4330"/>
      <c r="AQ111" s="4330"/>
      <c r="AR111" s="4330"/>
      <c r="AS111" s="4330"/>
      <c r="AT111" s="4330"/>
      <c r="AU111" s="4333"/>
      <c r="AV111" s="4333"/>
      <c r="AW111" s="4327"/>
      <c r="AX111" s="4327"/>
      <c r="AY111" s="4327"/>
      <c r="AZ111" s="4327"/>
      <c r="BA111" s="4327"/>
      <c r="BB111" s="4327"/>
      <c r="BC111" s="4330"/>
      <c r="BD111" s="4330"/>
      <c r="BE111" s="4317"/>
      <c r="BF111" s="4317"/>
      <c r="BG111" s="4317"/>
      <c r="BH111" s="4320"/>
      <c r="BI111" s="4317"/>
      <c r="BJ111" s="4324"/>
      <c r="BK111" s="3355"/>
      <c r="BL111" s="3355"/>
      <c r="BM111" s="3355"/>
      <c r="BN111" s="3355"/>
      <c r="BO111" s="2966"/>
      <c r="BP111" s="657"/>
      <c r="BQ111" s="657"/>
      <c r="BR111" s="657"/>
      <c r="BS111" s="657"/>
      <c r="BT111" s="657"/>
    </row>
    <row r="112" spans="1:72" ht="36.75" customHeight="1" x14ac:dyDescent="0.2">
      <c r="A112" s="2259"/>
      <c r="B112" s="2260"/>
      <c r="C112" s="1210"/>
      <c r="D112" s="1212"/>
      <c r="E112" s="1210"/>
      <c r="F112" s="1212"/>
      <c r="G112" s="4302"/>
      <c r="H112" s="2923"/>
      <c r="I112" s="2923"/>
      <c r="J112" s="4336"/>
      <c r="K112" s="4313"/>
      <c r="L112" s="4338"/>
      <c r="M112" s="4314"/>
      <c r="N112" s="3823"/>
      <c r="O112" s="3427"/>
      <c r="P112" s="3476"/>
      <c r="Q112" s="3823"/>
      <c r="R112" s="2923" t="s">
        <v>2471</v>
      </c>
      <c r="S112" s="1232" t="s">
        <v>2472</v>
      </c>
      <c r="T112" s="2312">
        <v>3000000</v>
      </c>
      <c r="U112" s="2313">
        <v>2000000</v>
      </c>
      <c r="V112" s="2313">
        <v>0</v>
      </c>
      <c r="W112" s="4302"/>
      <c r="X112" s="2923"/>
      <c r="Y112" s="4330"/>
      <c r="Z112" s="4330"/>
      <c r="AA112" s="4330"/>
      <c r="AB112" s="4330"/>
      <c r="AC112" s="4330"/>
      <c r="AD112" s="4330"/>
      <c r="AE112" s="4333"/>
      <c r="AF112" s="4333"/>
      <c r="AG112" s="4327"/>
      <c r="AH112" s="4327"/>
      <c r="AI112" s="4327"/>
      <c r="AJ112" s="4327"/>
      <c r="AK112" s="4327"/>
      <c r="AL112" s="4327"/>
      <c r="AM112" s="4330"/>
      <c r="AN112" s="4330"/>
      <c r="AO112" s="4330"/>
      <c r="AP112" s="4330"/>
      <c r="AQ112" s="4330"/>
      <c r="AR112" s="4330"/>
      <c r="AS112" s="4330"/>
      <c r="AT112" s="4330"/>
      <c r="AU112" s="4333"/>
      <c r="AV112" s="4333"/>
      <c r="AW112" s="4327"/>
      <c r="AX112" s="4327"/>
      <c r="AY112" s="4327"/>
      <c r="AZ112" s="4327"/>
      <c r="BA112" s="4327"/>
      <c r="BB112" s="4327"/>
      <c r="BC112" s="4330"/>
      <c r="BD112" s="4330"/>
      <c r="BE112" s="4317"/>
      <c r="BF112" s="4317"/>
      <c r="BG112" s="4317"/>
      <c r="BH112" s="4320"/>
      <c r="BI112" s="4317"/>
      <c r="BJ112" s="4324"/>
      <c r="BK112" s="3355"/>
      <c r="BL112" s="3355"/>
      <c r="BM112" s="3355"/>
      <c r="BN112" s="3355"/>
      <c r="BO112" s="2966"/>
      <c r="BP112" s="657"/>
      <c r="BQ112" s="657"/>
      <c r="BR112" s="657"/>
      <c r="BS112" s="657"/>
      <c r="BT112" s="657"/>
    </row>
    <row r="113" spans="1:72" ht="50.25" customHeight="1" thickBot="1" x14ac:dyDescent="0.25">
      <c r="A113" s="2259"/>
      <c r="B113" s="2260"/>
      <c r="C113" s="1210"/>
      <c r="D113" s="1212"/>
      <c r="E113" s="1210"/>
      <c r="F113" s="1212"/>
      <c r="G113" s="4302"/>
      <c r="H113" s="2923"/>
      <c r="I113" s="2923"/>
      <c r="J113" s="4336"/>
      <c r="K113" s="4313"/>
      <c r="L113" s="4339"/>
      <c r="M113" s="4314"/>
      <c r="N113" s="3823"/>
      <c r="O113" s="3427"/>
      <c r="P113" s="3476"/>
      <c r="Q113" s="3823"/>
      <c r="R113" s="2835"/>
      <c r="S113" s="1232" t="s">
        <v>2473</v>
      </c>
      <c r="T113" s="2312">
        <v>5000000</v>
      </c>
      <c r="U113" s="2313">
        <v>3000000</v>
      </c>
      <c r="V113" s="2313">
        <v>0</v>
      </c>
      <c r="W113" s="4302"/>
      <c r="X113" s="2835"/>
      <c r="Y113" s="4331"/>
      <c r="Z113" s="4331"/>
      <c r="AA113" s="4331"/>
      <c r="AB113" s="4331"/>
      <c r="AC113" s="4331"/>
      <c r="AD113" s="4331"/>
      <c r="AE113" s="4334"/>
      <c r="AF113" s="4334"/>
      <c r="AG113" s="4328"/>
      <c r="AH113" s="4328"/>
      <c r="AI113" s="4328"/>
      <c r="AJ113" s="4328"/>
      <c r="AK113" s="4328"/>
      <c r="AL113" s="4328"/>
      <c r="AM113" s="4331"/>
      <c r="AN113" s="3485"/>
      <c r="AO113" s="4331"/>
      <c r="AP113" s="4331"/>
      <c r="AQ113" s="4331"/>
      <c r="AR113" s="4331"/>
      <c r="AS113" s="4331"/>
      <c r="AT113" s="4331"/>
      <c r="AU113" s="4334"/>
      <c r="AV113" s="4334"/>
      <c r="AW113" s="4328"/>
      <c r="AX113" s="4328"/>
      <c r="AY113" s="4328"/>
      <c r="AZ113" s="4328"/>
      <c r="BA113" s="4328"/>
      <c r="BB113" s="4328"/>
      <c r="BC113" s="4331"/>
      <c r="BD113" s="3485"/>
      <c r="BE113" s="4318"/>
      <c r="BF113" s="4318"/>
      <c r="BG113" s="4318"/>
      <c r="BH113" s="4321"/>
      <c r="BI113" s="4318"/>
      <c r="BJ113" s="4325"/>
      <c r="BK113" s="3170"/>
      <c r="BL113" s="3170"/>
      <c r="BM113" s="3170"/>
      <c r="BN113" s="3170"/>
      <c r="BO113" s="2966"/>
      <c r="BP113" s="657"/>
      <c r="BQ113" s="657"/>
      <c r="BR113" s="657"/>
      <c r="BS113" s="657"/>
      <c r="BT113" s="657"/>
    </row>
    <row r="114" spans="1:72" ht="15" x14ac:dyDescent="0.2">
      <c r="A114" s="2259"/>
      <c r="B114" s="2260"/>
      <c r="C114" s="1210"/>
      <c r="D114" s="1212"/>
      <c r="E114" s="1401">
        <v>66</v>
      </c>
      <c r="F114" s="2286" t="s">
        <v>2474</v>
      </c>
      <c r="G114" s="2287"/>
      <c r="H114" s="2080"/>
      <c r="I114" s="2080"/>
      <c r="J114" s="2287"/>
      <c r="K114" s="2288"/>
      <c r="L114" s="2287"/>
      <c r="M114" s="2287"/>
      <c r="N114" s="1368"/>
      <c r="O114" s="2287"/>
      <c r="P114" s="2289"/>
      <c r="Q114" s="2080"/>
      <c r="R114" s="2080"/>
      <c r="S114" s="2080"/>
      <c r="T114" s="2289"/>
      <c r="U114" s="2290"/>
      <c r="V114" s="2290"/>
      <c r="W114" s="1367"/>
      <c r="X114" s="1368"/>
      <c r="Y114" s="2287"/>
      <c r="Z114" s="2287"/>
      <c r="AA114" s="2287"/>
      <c r="AB114" s="2287"/>
      <c r="AC114" s="2287"/>
      <c r="AD114" s="2287"/>
      <c r="AE114" s="2287"/>
      <c r="AF114" s="2287"/>
      <c r="AG114" s="2287"/>
      <c r="AH114" s="2287"/>
      <c r="AI114" s="2287"/>
      <c r="AJ114" s="2287"/>
      <c r="AK114" s="2287"/>
      <c r="AL114" s="2287"/>
      <c r="AM114" s="2287"/>
      <c r="AN114" s="2287"/>
      <c r="AO114" s="2287"/>
      <c r="AP114" s="2287"/>
      <c r="AQ114" s="2287"/>
      <c r="AR114" s="2287"/>
      <c r="AS114" s="2287"/>
      <c r="AT114" s="2287"/>
      <c r="AU114" s="2287"/>
      <c r="AV114" s="2287"/>
      <c r="AW114" s="2287"/>
      <c r="AX114" s="2287"/>
      <c r="AY114" s="2287"/>
      <c r="AZ114" s="2287"/>
      <c r="BA114" s="2287"/>
      <c r="BB114" s="2287"/>
      <c r="BC114" s="2287"/>
      <c r="BD114" s="2287"/>
      <c r="BE114" s="2287"/>
      <c r="BF114" s="2287"/>
      <c r="BG114" s="2287"/>
      <c r="BH114" s="2287"/>
      <c r="BI114" s="2287"/>
      <c r="BJ114" s="2287"/>
      <c r="BK114" s="2287"/>
      <c r="BL114" s="2287"/>
      <c r="BM114" s="2287"/>
      <c r="BN114" s="2287"/>
      <c r="BO114" s="2291"/>
      <c r="BP114" s="657"/>
      <c r="BQ114" s="657"/>
      <c r="BR114" s="657"/>
      <c r="BS114" s="657"/>
      <c r="BT114" s="657"/>
    </row>
    <row r="115" spans="1:72" ht="55.5" customHeight="1" x14ac:dyDescent="0.2">
      <c r="A115" s="2259"/>
      <c r="B115" s="2260"/>
      <c r="C115" s="1210"/>
      <c r="D115" s="1212"/>
      <c r="E115" s="1210"/>
      <c r="F115" s="1212"/>
      <c r="G115" s="4312">
        <v>197</v>
      </c>
      <c r="H115" s="2834" t="s">
        <v>2475</v>
      </c>
      <c r="I115" s="2834" t="s">
        <v>2476</v>
      </c>
      <c r="J115" s="3828">
        <v>1</v>
      </c>
      <c r="K115" s="4313">
        <v>1</v>
      </c>
      <c r="L115" s="2314"/>
      <c r="M115" s="4314" t="s">
        <v>2477</v>
      </c>
      <c r="N115" s="3810" t="s">
        <v>2478</v>
      </c>
      <c r="O115" s="3461">
        <f>SUM(T115:T121)/P115</f>
        <v>1</v>
      </c>
      <c r="P115" s="3476">
        <f>SUM(T115:T121)</f>
        <v>50000000</v>
      </c>
      <c r="Q115" s="3810" t="s">
        <v>2479</v>
      </c>
      <c r="R115" s="2807" t="s">
        <v>2480</v>
      </c>
      <c r="S115" s="1232" t="s">
        <v>2481</v>
      </c>
      <c r="T115" s="2300">
        <f>5000000-5000000</f>
        <v>0</v>
      </c>
      <c r="U115" s="1319">
        <v>0</v>
      </c>
      <c r="V115" s="1319">
        <v>0</v>
      </c>
      <c r="W115" s="3806" t="s">
        <v>356</v>
      </c>
      <c r="X115" s="2834" t="s">
        <v>2468</v>
      </c>
      <c r="Y115" s="4309">
        <v>1026</v>
      </c>
      <c r="Z115" s="4309">
        <v>1026</v>
      </c>
      <c r="AA115" s="3336"/>
      <c r="AB115" s="3336"/>
      <c r="AC115" s="3336">
        <v>60</v>
      </c>
      <c r="AD115" s="3336">
        <v>60</v>
      </c>
      <c r="AE115" s="3336">
        <v>350</v>
      </c>
      <c r="AF115" s="3336">
        <v>350</v>
      </c>
      <c r="AG115" s="3336">
        <v>410</v>
      </c>
      <c r="AH115" s="3336">
        <v>410</v>
      </c>
      <c r="AI115" s="3336">
        <v>50</v>
      </c>
      <c r="AJ115" s="3336">
        <v>50</v>
      </c>
      <c r="AK115" s="3487">
        <v>45</v>
      </c>
      <c r="AL115" s="3487">
        <v>45</v>
      </c>
      <c r="AM115" s="3336">
        <v>60</v>
      </c>
      <c r="AN115" s="3336">
        <v>60</v>
      </c>
      <c r="AO115" s="3336"/>
      <c r="AP115" s="3336"/>
      <c r="AQ115" s="3878"/>
      <c r="AR115" s="3878"/>
      <c r="AS115" s="3336"/>
      <c r="AT115" s="3336"/>
      <c r="AU115" s="3336"/>
      <c r="AV115" s="3336"/>
      <c r="AW115" s="3336">
        <v>9</v>
      </c>
      <c r="AX115" s="3336">
        <v>9</v>
      </c>
      <c r="AY115" s="3336">
        <v>10</v>
      </c>
      <c r="AZ115" s="3336">
        <v>10</v>
      </c>
      <c r="BA115" s="3336">
        <v>32</v>
      </c>
      <c r="BB115" s="3336">
        <v>32</v>
      </c>
      <c r="BC115" s="3336">
        <f>+Y115</f>
        <v>1026</v>
      </c>
      <c r="BD115" s="3336">
        <v>1026</v>
      </c>
      <c r="BE115" s="3336">
        <v>3</v>
      </c>
      <c r="BF115" s="4306">
        <v>45299000</v>
      </c>
      <c r="BG115" s="4306">
        <v>37501000</v>
      </c>
      <c r="BH115" s="3127">
        <f>+BG115/BF115</f>
        <v>0.82785491953464752</v>
      </c>
      <c r="BI115" s="3154" t="s">
        <v>1462</v>
      </c>
      <c r="BJ115" s="3154" t="s">
        <v>2469</v>
      </c>
      <c r="BK115" s="4287">
        <v>43467</v>
      </c>
      <c r="BL115" s="4287">
        <v>43467</v>
      </c>
      <c r="BM115" s="4287">
        <v>43830</v>
      </c>
      <c r="BN115" s="4287">
        <v>43830</v>
      </c>
      <c r="BO115" s="3161" t="s">
        <v>2275</v>
      </c>
      <c r="BP115" s="657"/>
      <c r="BQ115" s="657"/>
      <c r="BR115" s="657"/>
      <c r="BS115" s="657"/>
      <c r="BT115" s="657"/>
    </row>
    <row r="116" spans="1:72" ht="54" customHeight="1" x14ac:dyDescent="0.2">
      <c r="A116" s="2259"/>
      <c r="B116" s="2260"/>
      <c r="C116" s="1210"/>
      <c r="D116" s="1212"/>
      <c r="E116" s="1210"/>
      <c r="F116" s="1212"/>
      <c r="G116" s="4302"/>
      <c r="H116" s="2923"/>
      <c r="I116" s="2923"/>
      <c r="J116" s="3828"/>
      <c r="K116" s="4313"/>
      <c r="L116" s="2315"/>
      <c r="M116" s="4314"/>
      <c r="N116" s="3823"/>
      <c r="O116" s="3462"/>
      <c r="P116" s="3476"/>
      <c r="Q116" s="3823"/>
      <c r="R116" s="2807"/>
      <c r="S116" s="1232" t="s">
        <v>2482</v>
      </c>
      <c r="T116" s="2300">
        <f>5000000-5000000</f>
        <v>0</v>
      </c>
      <c r="U116" s="1319">
        <v>0</v>
      </c>
      <c r="V116" s="1319">
        <v>0</v>
      </c>
      <c r="W116" s="3807"/>
      <c r="X116" s="2923"/>
      <c r="Y116" s="4310"/>
      <c r="Z116" s="4310"/>
      <c r="AA116" s="3337"/>
      <c r="AB116" s="3337"/>
      <c r="AC116" s="3337"/>
      <c r="AD116" s="3337"/>
      <c r="AE116" s="3337"/>
      <c r="AF116" s="3337"/>
      <c r="AG116" s="3337"/>
      <c r="AH116" s="3337"/>
      <c r="AI116" s="3337"/>
      <c r="AJ116" s="3337"/>
      <c r="AK116" s="3488"/>
      <c r="AL116" s="3488"/>
      <c r="AM116" s="3337"/>
      <c r="AN116" s="3337"/>
      <c r="AO116" s="3337"/>
      <c r="AP116" s="3337"/>
      <c r="AQ116" s="3840"/>
      <c r="AR116" s="3840"/>
      <c r="AS116" s="3337"/>
      <c r="AT116" s="3337"/>
      <c r="AU116" s="3337"/>
      <c r="AV116" s="3337"/>
      <c r="AW116" s="3337"/>
      <c r="AX116" s="3337"/>
      <c r="AY116" s="3337"/>
      <c r="AZ116" s="3337"/>
      <c r="BA116" s="3337"/>
      <c r="BB116" s="3337"/>
      <c r="BC116" s="3337"/>
      <c r="BD116" s="3337"/>
      <c r="BE116" s="3337"/>
      <c r="BF116" s="4307"/>
      <c r="BG116" s="4307"/>
      <c r="BH116" s="4294"/>
      <c r="BI116" s="3182"/>
      <c r="BJ116" s="3182"/>
      <c r="BK116" s="4287"/>
      <c r="BL116" s="4287"/>
      <c r="BM116" s="4287"/>
      <c r="BN116" s="4287"/>
      <c r="BO116" s="3161"/>
      <c r="BP116" s="657"/>
      <c r="BQ116" s="657"/>
      <c r="BR116" s="657"/>
      <c r="BS116" s="657"/>
      <c r="BT116" s="657"/>
    </row>
    <row r="117" spans="1:72" ht="52.5" customHeight="1" x14ac:dyDescent="0.2">
      <c r="A117" s="2259"/>
      <c r="B117" s="2260"/>
      <c r="C117" s="1210"/>
      <c r="D117" s="1212"/>
      <c r="E117" s="1210"/>
      <c r="F117" s="1212"/>
      <c r="G117" s="4302"/>
      <c r="H117" s="2923"/>
      <c r="I117" s="2923"/>
      <c r="J117" s="3828"/>
      <c r="K117" s="4313"/>
      <c r="L117" s="2315"/>
      <c r="M117" s="4314"/>
      <c r="N117" s="3823"/>
      <c r="O117" s="3462"/>
      <c r="P117" s="3476"/>
      <c r="Q117" s="3823"/>
      <c r="R117" s="2807"/>
      <c r="S117" s="1232" t="s">
        <v>2483</v>
      </c>
      <c r="T117" s="2300">
        <v>0</v>
      </c>
      <c r="U117" s="1319">
        <v>0</v>
      </c>
      <c r="V117" s="1319">
        <v>0</v>
      </c>
      <c r="W117" s="3807"/>
      <c r="X117" s="2923"/>
      <c r="Y117" s="4310"/>
      <c r="Z117" s="4310"/>
      <c r="AA117" s="3337"/>
      <c r="AB117" s="3337"/>
      <c r="AC117" s="3337"/>
      <c r="AD117" s="3337"/>
      <c r="AE117" s="3337"/>
      <c r="AF117" s="3337"/>
      <c r="AG117" s="3337"/>
      <c r="AH117" s="3337"/>
      <c r="AI117" s="3337"/>
      <c r="AJ117" s="3337"/>
      <c r="AK117" s="3488"/>
      <c r="AL117" s="3488"/>
      <c r="AM117" s="3337"/>
      <c r="AN117" s="3337"/>
      <c r="AO117" s="3337"/>
      <c r="AP117" s="3337"/>
      <c r="AQ117" s="3840"/>
      <c r="AR117" s="3840"/>
      <c r="AS117" s="3337"/>
      <c r="AT117" s="3337"/>
      <c r="AU117" s="3337"/>
      <c r="AV117" s="3337"/>
      <c r="AW117" s="3337"/>
      <c r="AX117" s="3337"/>
      <c r="AY117" s="3337"/>
      <c r="AZ117" s="3337"/>
      <c r="BA117" s="3337"/>
      <c r="BB117" s="3337"/>
      <c r="BC117" s="3337"/>
      <c r="BD117" s="3337"/>
      <c r="BE117" s="3337"/>
      <c r="BF117" s="4307"/>
      <c r="BG117" s="4307"/>
      <c r="BH117" s="4294"/>
      <c r="BI117" s="3182"/>
      <c r="BJ117" s="3182"/>
      <c r="BK117" s="3115"/>
      <c r="BL117" s="3115"/>
      <c r="BM117" s="3115"/>
      <c r="BN117" s="3115"/>
      <c r="BO117" s="3161"/>
      <c r="BP117" s="657"/>
      <c r="BQ117" s="657"/>
      <c r="BR117" s="657"/>
      <c r="BS117" s="657"/>
      <c r="BT117" s="657"/>
    </row>
    <row r="118" spans="1:72" ht="60" customHeight="1" x14ac:dyDescent="0.2">
      <c r="A118" s="2259"/>
      <c r="B118" s="2260"/>
      <c r="C118" s="1210"/>
      <c r="D118" s="1212"/>
      <c r="E118" s="1210"/>
      <c r="F118" s="1212"/>
      <c r="G118" s="4302"/>
      <c r="H118" s="2923"/>
      <c r="I118" s="2923"/>
      <c r="J118" s="3828"/>
      <c r="K118" s="4313"/>
      <c r="L118" s="2315" t="s">
        <v>2484</v>
      </c>
      <c r="M118" s="4314"/>
      <c r="N118" s="3823"/>
      <c r="O118" s="3462"/>
      <c r="P118" s="3476"/>
      <c r="Q118" s="3823"/>
      <c r="R118" s="2807" t="s">
        <v>2485</v>
      </c>
      <c r="S118" s="1232" t="s">
        <v>2486</v>
      </c>
      <c r="T118" s="2300">
        <f>30000000+10000000</f>
        <v>40000000</v>
      </c>
      <c r="U118" s="1319">
        <v>35299000</v>
      </c>
      <c r="V118" s="1319">
        <f>13990000+12915000+5596000</f>
        <v>32501000</v>
      </c>
      <c r="W118" s="3807"/>
      <c r="X118" s="2923"/>
      <c r="Y118" s="4310"/>
      <c r="Z118" s="4310"/>
      <c r="AA118" s="3337"/>
      <c r="AB118" s="3337"/>
      <c r="AC118" s="3337"/>
      <c r="AD118" s="3337"/>
      <c r="AE118" s="3337"/>
      <c r="AF118" s="3337"/>
      <c r="AG118" s="3337"/>
      <c r="AH118" s="3337"/>
      <c r="AI118" s="3337"/>
      <c r="AJ118" s="3337"/>
      <c r="AK118" s="3488"/>
      <c r="AL118" s="3488"/>
      <c r="AM118" s="3337"/>
      <c r="AN118" s="3337"/>
      <c r="AO118" s="3337"/>
      <c r="AP118" s="3337"/>
      <c r="AQ118" s="3840"/>
      <c r="AR118" s="3840"/>
      <c r="AS118" s="3337"/>
      <c r="AT118" s="3337"/>
      <c r="AU118" s="3337"/>
      <c r="AV118" s="3337"/>
      <c r="AW118" s="3337"/>
      <c r="AX118" s="3337"/>
      <c r="AY118" s="3337"/>
      <c r="AZ118" s="3337"/>
      <c r="BA118" s="3337"/>
      <c r="BB118" s="3337"/>
      <c r="BC118" s="3337"/>
      <c r="BD118" s="3337"/>
      <c r="BE118" s="3337"/>
      <c r="BF118" s="4307"/>
      <c r="BG118" s="4307"/>
      <c r="BH118" s="4294"/>
      <c r="BI118" s="3182"/>
      <c r="BJ118" s="3182"/>
      <c r="BK118" s="3115"/>
      <c r="BL118" s="3115"/>
      <c r="BM118" s="3115"/>
      <c r="BN118" s="3115"/>
      <c r="BO118" s="3161"/>
      <c r="BP118" s="657"/>
      <c r="BQ118" s="657"/>
      <c r="BR118" s="657"/>
      <c r="BS118" s="657"/>
      <c r="BT118" s="657"/>
    </row>
    <row r="119" spans="1:72" ht="42.75" x14ac:dyDescent="0.2">
      <c r="A119" s="2259"/>
      <c r="B119" s="2260"/>
      <c r="C119" s="1210"/>
      <c r="D119" s="1212"/>
      <c r="E119" s="1210"/>
      <c r="F119" s="1212"/>
      <c r="G119" s="4302"/>
      <c r="H119" s="2923"/>
      <c r="I119" s="2923"/>
      <c r="J119" s="3828"/>
      <c r="K119" s="4313"/>
      <c r="L119" s="2315"/>
      <c r="M119" s="4314"/>
      <c r="N119" s="3823"/>
      <c r="O119" s="3462"/>
      <c r="P119" s="3476"/>
      <c r="Q119" s="3823"/>
      <c r="R119" s="2807"/>
      <c r="S119" s="1232" t="s">
        <v>2487</v>
      </c>
      <c r="T119" s="2300">
        <v>5000000</v>
      </c>
      <c r="U119" s="1319">
        <v>5000000</v>
      </c>
      <c r="V119" s="1319">
        <v>5000000</v>
      </c>
      <c r="W119" s="3807"/>
      <c r="X119" s="2923"/>
      <c r="Y119" s="4310"/>
      <c r="Z119" s="4310"/>
      <c r="AA119" s="3337"/>
      <c r="AB119" s="3337"/>
      <c r="AC119" s="3337"/>
      <c r="AD119" s="3337"/>
      <c r="AE119" s="3337"/>
      <c r="AF119" s="3337"/>
      <c r="AG119" s="3337"/>
      <c r="AH119" s="3337"/>
      <c r="AI119" s="3337"/>
      <c r="AJ119" s="3337"/>
      <c r="AK119" s="3488"/>
      <c r="AL119" s="3488"/>
      <c r="AM119" s="3337"/>
      <c r="AN119" s="3337"/>
      <c r="AO119" s="3337"/>
      <c r="AP119" s="3337"/>
      <c r="AQ119" s="3840"/>
      <c r="AR119" s="3840"/>
      <c r="AS119" s="3337"/>
      <c r="AT119" s="3337"/>
      <c r="AU119" s="3337"/>
      <c r="AV119" s="3337"/>
      <c r="AW119" s="3337"/>
      <c r="AX119" s="3337"/>
      <c r="AY119" s="3337"/>
      <c r="AZ119" s="3337"/>
      <c r="BA119" s="3337"/>
      <c r="BB119" s="3337"/>
      <c r="BC119" s="3337"/>
      <c r="BD119" s="3337"/>
      <c r="BE119" s="3337"/>
      <c r="BF119" s="4307"/>
      <c r="BG119" s="4307"/>
      <c r="BH119" s="4294"/>
      <c r="BI119" s="3182"/>
      <c r="BJ119" s="3182"/>
      <c r="BK119" s="3115"/>
      <c r="BL119" s="3115"/>
      <c r="BM119" s="3115"/>
      <c r="BN119" s="3115"/>
      <c r="BO119" s="3161"/>
      <c r="BP119" s="657"/>
      <c r="BQ119" s="657"/>
      <c r="BR119" s="657"/>
      <c r="BS119" s="657"/>
      <c r="BT119" s="657"/>
    </row>
    <row r="120" spans="1:72" ht="33" customHeight="1" x14ac:dyDescent="0.2">
      <c r="A120" s="2259"/>
      <c r="B120" s="2260"/>
      <c r="C120" s="1210"/>
      <c r="D120" s="1212"/>
      <c r="E120" s="1210"/>
      <c r="F120" s="1212"/>
      <c r="G120" s="4302"/>
      <c r="H120" s="2923"/>
      <c r="I120" s="2923"/>
      <c r="J120" s="3828"/>
      <c r="K120" s="4313"/>
      <c r="L120" s="2315"/>
      <c r="M120" s="4314"/>
      <c r="N120" s="3823"/>
      <c r="O120" s="3462"/>
      <c r="P120" s="3476"/>
      <c r="Q120" s="3823"/>
      <c r="R120" s="2807"/>
      <c r="S120" s="1232" t="s">
        <v>2472</v>
      </c>
      <c r="T120" s="2300">
        <v>1000000</v>
      </c>
      <c r="U120" s="1319">
        <v>1000000</v>
      </c>
      <c r="V120" s="1319">
        <v>0</v>
      </c>
      <c r="W120" s="3807"/>
      <c r="X120" s="2923"/>
      <c r="Y120" s="4310"/>
      <c r="Z120" s="4310"/>
      <c r="AA120" s="3337"/>
      <c r="AB120" s="3337"/>
      <c r="AC120" s="3337"/>
      <c r="AD120" s="3337"/>
      <c r="AE120" s="3337"/>
      <c r="AF120" s="3337"/>
      <c r="AG120" s="3337"/>
      <c r="AH120" s="3337"/>
      <c r="AI120" s="3337"/>
      <c r="AJ120" s="3337"/>
      <c r="AK120" s="3488"/>
      <c r="AL120" s="3488"/>
      <c r="AM120" s="3337"/>
      <c r="AN120" s="3337"/>
      <c r="AO120" s="3337"/>
      <c r="AP120" s="3337"/>
      <c r="AQ120" s="3840"/>
      <c r="AR120" s="3840"/>
      <c r="AS120" s="3337"/>
      <c r="AT120" s="3337"/>
      <c r="AU120" s="3337"/>
      <c r="AV120" s="3337"/>
      <c r="AW120" s="3337"/>
      <c r="AX120" s="3337"/>
      <c r="AY120" s="3337"/>
      <c r="AZ120" s="3337"/>
      <c r="BA120" s="3337"/>
      <c r="BB120" s="3337"/>
      <c r="BC120" s="3337"/>
      <c r="BD120" s="3337"/>
      <c r="BE120" s="3337"/>
      <c r="BF120" s="4307"/>
      <c r="BG120" s="4307"/>
      <c r="BH120" s="4294"/>
      <c r="BI120" s="3182"/>
      <c r="BJ120" s="3182"/>
      <c r="BK120" s="3115"/>
      <c r="BL120" s="3115"/>
      <c r="BM120" s="3115"/>
      <c r="BN120" s="3115"/>
      <c r="BO120" s="3161"/>
      <c r="BP120" s="657"/>
      <c r="BQ120" s="657"/>
      <c r="BR120" s="657"/>
      <c r="BS120" s="657"/>
      <c r="BT120" s="657"/>
    </row>
    <row r="121" spans="1:72" ht="51.75" customHeight="1" x14ac:dyDescent="0.2">
      <c r="A121" s="2259"/>
      <c r="B121" s="2260"/>
      <c r="C121" s="1276"/>
      <c r="D121" s="1278"/>
      <c r="E121" s="1276"/>
      <c r="F121" s="1278"/>
      <c r="G121" s="4303"/>
      <c r="H121" s="2835"/>
      <c r="I121" s="2835"/>
      <c r="J121" s="3828"/>
      <c r="K121" s="4313"/>
      <c r="L121" s="2316"/>
      <c r="M121" s="4315"/>
      <c r="N121" s="3811"/>
      <c r="O121" s="3466"/>
      <c r="P121" s="3476"/>
      <c r="Q121" s="3811"/>
      <c r="R121" s="2807"/>
      <c r="S121" s="1232" t="s">
        <v>2473</v>
      </c>
      <c r="T121" s="2300">
        <v>4000000</v>
      </c>
      <c r="U121" s="1319">
        <v>4000000</v>
      </c>
      <c r="V121" s="1319">
        <v>0</v>
      </c>
      <c r="W121" s="3809"/>
      <c r="X121" s="2835"/>
      <c r="Y121" s="4311"/>
      <c r="Z121" s="4311"/>
      <c r="AA121" s="3338"/>
      <c r="AB121" s="3338"/>
      <c r="AC121" s="3338"/>
      <c r="AD121" s="3338"/>
      <c r="AE121" s="3338"/>
      <c r="AF121" s="3338"/>
      <c r="AG121" s="3338"/>
      <c r="AH121" s="3338"/>
      <c r="AI121" s="3338"/>
      <c r="AJ121" s="3338"/>
      <c r="AK121" s="3489"/>
      <c r="AL121" s="3489"/>
      <c r="AM121" s="3338"/>
      <c r="AN121" s="3338"/>
      <c r="AO121" s="3338"/>
      <c r="AP121" s="3338"/>
      <c r="AQ121" s="3841"/>
      <c r="AR121" s="3841"/>
      <c r="AS121" s="3338"/>
      <c r="AT121" s="3338"/>
      <c r="AU121" s="3338"/>
      <c r="AV121" s="3338"/>
      <c r="AW121" s="3338"/>
      <c r="AX121" s="3338"/>
      <c r="AY121" s="3338"/>
      <c r="AZ121" s="3338"/>
      <c r="BA121" s="3338"/>
      <c r="BB121" s="3338"/>
      <c r="BC121" s="3338"/>
      <c r="BD121" s="3338"/>
      <c r="BE121" s="3338"/>
      <c r="BF121" s="4308"/>
      <c r="BG121" s="4308"/>
      <c r="BH121" s="4295"/>
      <c r="BI121" s="3171"/>
      <c r="BJ121" s="3171"/>
      <c r="BK121" s="3115"/>
      <c r="BL121" s="3115"/>
      <c r="BM121" s="3115"/>
      <c r="BN121" s="3115"/>
      <c r="BO121" s="3161"/>
      <c r="BP121" s="657"/>
      <c r="BQ121" s="657"/>
      <c r="BR121" s="657"/>
      <c r="BS121" s="657"/>
      <c r="BT121" s="657"/>
    </row>
    <row r="122" spans="1:72" ht="15" x14ac:dyDescent="0.2">
      <c r="A122" s="2259"/>
      <c r="B122" s="2260"/>
      <c r="C122" s="2317">
        <v>19</v>
      </c>
      <c r="D122" s="2305" t="s">
        <v>2488</v>
      </c>
      <c r="E122" s="1873"/>
      <c r="F122" s="1873"/>
      <c r="G122" s="1873"/>
      <c r="H122" s="2133"/>
      <c r="I122" s="2133"/>
      <c r="J122" s="1873"/>
      <c r="K122" s="2282"/>
      <c r="L122" s="1873"/>
      <c r="M122" s="1873"/>
      <c r="N122" s="2227"/>
      <c r="O122" s="1873"/>
      <c r="P122" s="2306"/>
      <c r="Q122" s="2133"/>
      <c r="R122" s="2133"/>
      <c r="S122" s="2133"/>
      <c r="T122" s="2306"/>
      <c r="U122" s="2318"/>
      <c r="V122" s="2318"/>
      <c r="W122" s="2225"/>
      <c r="X122" s="2227"/>
      <c r="Y122" s="1873"/>
      <c r="Z122" s="1873"/>
      <c r="AA122" s="1873"/>
      <c r="AB122" s="1873"/>
      <c r="AC122" s="1873"/>
      <c r="AD122" s="1873"/>
      <c r="AE122" s="1873"/>
      <c r="AF122" s="1873"/>
      <c r="AG122" s="1873"/>
      <c r="AH122" s="1873"/>
      <c r="AI122" s="1873"/>
      <c r="AJ122" s="1873"/>
      <c r="AK122" s="1873"/>
      <c r="AL122" s="1873"/>
      <c r="AM122" s="1873"/>
      <c r="AN122" s="1873"/>
      <c r="AO122" s="1873"/>
      <c r="AP122" s="1873"/>
      <c r="AQ122" s="1873"/>
      <c r="AR122" s="1873"/>
      <c r="AS122" s="1873"/>
      <c r="AT122" s="1873"/>
      <c r="AU122" s="1873"/>
      <c r="AV122" s="1873"/>
      <c r="AW122" s="1873"/>
      <c r="AX122" s="1873"/>
      <c r="AY122" s="1873"/>
      <c r="AZ122" s="1873"/>
      <c r="BA122" s="1873"/>
      <c r="BB122" s="1873"/>
      <c r="BC122" s="1873"/>
      <c r="BD122" s="1873"/>
      <c r="BE122" s="1873"/>
      <c r="BF122" s="1873"/>
      <c r="BG122" s="1873"/>
      <c r="BH122" s="1873"/>
      <c r="BI122" s="1873"/>
      <c r="BJ122" s="1873"/>
      <c r="BK122" s="1873"/>
      <c r="BL122" s="1873"/>
      <c r="BM122" s="1873"/>
      <c r="BN122" s="1873"/>
      <c r="BO122" s="2307"/>
      <c r="BP122" s="657"/>
      <c r="BQ122" s="657"/>
      <c r="BR122" s="657"/>
      <c r="BS122" s="657"/>
      <c r="BT122" s="657"/>
    </row>
    <row r="123" spans="1:72" ht="15" x14ac:dyDescent="0.2">
      <c r="A123" s="2259"/>
      <c r="B123" s="2260"/>
      <c r="C123" s="4278"/>
      <c r="D123" s="4302"/>
      <c r="E123" s="1385">
        <v>67</v>
      </c>
      <c r="F123" s="1442" t="s">
        <v>2489</v>
      </c>
      <c r="G123" s="1366"/>
      <c r="H123" s="2080"/>
      <c r="I123" s="2080"/>
      <c r="J123" s="1366"/>
      <c r="K123" s="2319"/>
      <c r="L123" s="1433"/>
      <c r="M123" s="1366"/>
      <c r="N123" s="1368"/>
      <c r="O123" s="1366"/>
      <c r="P123" s="1495"/>
      <c r="Q123" s="2080"/>
      <c r="R123" s="2080"/>
      <c r="S123" s="2080"/>
      <c r="T123" s="1495"/>
      <c r="U123" s="1520"/>
      <c r="V123" s="1520"/>
      <c r="W123" s="1893"/>
      <c r="X123" s="1889"/>
      <c r="Y123" s="1366"/>
      <c r="Z123" s="1366"/>
      <c r="AA123" s="1366"/>
      <c r="AB123" s="1366"/>
      <c r="AC123" s="1366"/>
      <c r="AD123" s="1366"/>
      <c r="AE123" s="1366"/>
      <c r="AF123" s="1366"/>
      <c r="AG123" s="1366"/>
      <c r="AH123" s="1366"/>
      <c r="AI123" s="1366"/>
      <c r="AJ123" s="1366"/>
      <c r="AK123" s="1366"/>
      <c r="AL123" s="1366"/>
      <c r="AM123" s="1366"/>
      <c r="AN123" s="1366"/>
      <c r="AO123" s="1366"/>
      <c r="AP123" s="1366"/>
      <c r="AQ123" s="1366"/>
      <c r="AR123" s="1366"/>
      <c r="AS123" s="1366"/>
      <c r="AT123" s="1366"/>
      <c r="AU123" s="1366"/>
      <c r="AV123" s="1366"/>
      <c r="AW123" s="1366"/>
      <c r="AX123" s="1366"/>
      <c r="AY123" s="1366"/>
      <c r="AZ123" s="1366"/>
      <c r="BA123" s="1366"/>
      <c r="BB123" s="1366"/>
      <c r="BC123" s="1366"/>
      <c r="BD123" s="1366"/>
      <c r="BE123" s="1366"/>
      <c r="BF123" s="1366"/>
      <c r="BG123" s="1366"/>
      <c r="BH123" s="1366"/>
      <c r="BI123" s="1366"/>
      <c r="BJ123" s="1366"/>
      <c r="BK123" s="1366"/>
      <c r="BL123" s="1366"/>
      <c r="BM123" s="1366"/>
      <c r="BN123" s="1366"/>
      <c r="BO123" s="2291"/>
      <c r="BP123" s="657"/>
      <c r="BQ123" s="657"/>
      <c r="BR123" s="657"/>
      <c r="BS123" s="657"/>
      <c r="BT123" s="657"/>
    </row>
    <row r="124" spans="1:72" ht="57.75" customHeight="1" x14ac:dyDescent="0.2">
      <c r="A124" s="2259"/>
      <c r="B124" s="2260"/>
      <c r="C124" s="4278"/>
      <c r="D124" s="4302"/>
      <c r="E124" s="1193"/>
      <c r="F124" s="1195"/>
      <c r="G124" s="2977">
        <v>198</v>
      </c>
      <c r="H124" s="2834" t="s">
        <v>2490</v>
      </c>
      <c r="I124" s="2834" t="s">
        <v>2491</v>
      </c>
      <c r="J124" s="4304">
        <v>1</v>
      </c>
      <c r="K124" s="4280">
        <v>0.65</v>
      </c>
      <c r="L124" s="3165" t="s">
        <v>2492</v>
      </c>
      <c r="M124" s="4299" t="s">
        <v>2493</v>
      </c>
      <c r="N124" s="2923" t="s">
        <v>2494</v>
      </c>
      <c r="O124" s="4281">
        <f>SUM(T124:T130)/P124</f>
        <v>1.1019292128613386E-2</v>
      </c>
      <c r="P124" s="3339">
        <f>SUM(T124:T135)</f>
        <v>3977405943</v>
      </c>
      <c r="Q124" s="2923" t="s">
        <v>2495</v>
      </c>
      <c r="R124" s="2807" t="s">
        <v>2496</v>
      </c>
      <c r="S124" s="711" t="s">
        <v>2497</v>
      </c>
      <c r="T124" s="2300">
        <v>10000000</v>
      </c>
      <c r="U124" s="1319">
        <v>3373000</v>
      </c>
      <c r="V124" s="1319">
        <v>3373000</v>
      </c>
      <c r="W124" s="2320">
        <v>20</v>
      </c>
      <c r="X124" s="2321" t="s">
        <v>86</v>
      </c>
      <c r="Y124" s="4288">
        <v>2500</v>
      </c>
      <c r="Z124" s="4288">
        <v>1988</v>
      </c>
      <c r="AA124" s="3484">
        <v>2000</v>
      </c>
      <c r="AB124" s="4288">
        <v>852</v>
      </c>
      <c r="AC124" s="3484"/>
      <c r="AD124" s="3484"/>
      <c r="AE124" s="3484"/>
      <c r="AF124" s="3484"/>
      <c r="AG124" s="3484"/>
      <c r="AH124" s="3484"/>
      <c r="AI124" s="3484">
        <v>4500</v>
      </c>
      <c r="AJ124" s="4288">
        <v>2840</v>
      </c>
      <c r="AK124" s="4298"/>
      <c r="AL124" s="4298"/>
      <c r="AM124" s="3484"/>
      <c r="AN124" s="3484"/>
      <c r="AO124" s="3484"/>
      <c r="AP124" s="3484"/>
      <c r="AQ124" s="4296"/>
      <c r="AR124" s="4298"/>
      <c r="AS124" s="4296"/>
      <c r="AT124" s="4298"/>
      <c r="AU124" s="4296"/>
      <c r="AV124" s="4298"/>
      <c r="AW124" s="4296"/>
      <c r="AX124" s="4298"/>
      <c r="AY124" s="4296"/>
      <c r="AZ124" s="4298"/>
      <c r="BA124" s="4296"/>
      <c r="BB124" s="4298"/>
      <c r="BC124" s="3485">
        <f>SUM(AI124)</f>
        <v>4500</v>
      </c>
      <c r="BD124" s="4288">
        <f>+AJ124</f>
        <v>2840</v>
      </c>
      <c r="BE124" s="3165">
        <v>6</v>
      </c>
      <c r="BF124" s="4291">
        <v>1467404214.9000001</v>
      </c>
      <c r="BG124" s="4291">
        <v>1450127148.9000001</v>
      </c>
      <c r="BH124" s="3127">
        <f>+BG124/BF124</f>
        <v>0.98822610305697034</v>
      </c>
      <c r="BI124" s="2977" t="s">
        <v>1462</v>
      </c>
      <c r="BJ124" s="2977" t="s">
        <v>2498</v>
      </c>
      <c r="BK124" s="4287">
        <v>43467</v>
      </c>
      <c r="BL124" s="4287">
        <v>43467</v>
      </c>
      <c r="BM124" s="4287">
        <v>43830</v>
      </c>
      <c r="BN124" s="4287">
        <v>43830</v>
      </c>
      <c r="BO124" s="2977" t="s">
        <v>2275</v>
      </c>
      <c r="BP124" s="657"/>
      <c r="BQ124" s="657"/>
      <c r="BR124" s="657"/>
      <c r="BS124" s="657"/>
      <c r="BT124" s="657"/>
    </row>
    <row r="125" spans="1:72" ht="68.25" customHeight="1" x14ac:dyDescent="0.2">
      <c r="A125" s="2259"/>
      <c r="B125" s="2260"/>
      <c r="C125" s="4278"/>
      <c r="D125" s="4302"/>
      <c r="E125" s="1210"/>
      <c r="F125" s="1212"/>
      <c r="G125" s="2966"/>
      <c r="H125" s="2923"/>
      <c r="I125" s="2923"/>
      <c r="J125" s="4305"/>
      <c r="K125" s="4280"/>
      <c r="L125" s="3207"/>
      <c r="M125" s="4299"/>
      <c r="N125" s="2923"/>
      <c r="O125" s="4301"/>
      <c r="P125" s="3123"/>
      <c r="Q125" s="2923"/>
      <c r="R125" s="2807"/>
      <c r="S125" s="711" t="s">
        <v>2499</v>
      </c>
      <c r="T125" s="2300">
        <v>10968198</v>
      </c>
      <c r="U125" s="1319">
        <v>9573198</v>
      </c>
      <c r="V125" s="1319">
        <v>9573198</v>
      </c>
      <c r="W125" s="2320">
        <v>20</v>
      </c>
      <c r="X125" s="2321" t="s">
        <v>86</v>
      </c>
      <c r="Y125" s="4289"/>
      <c r="Z125" s="4289"/>
      <c r="AA125" s="3485"/>
      <c r="AB125" s="4289"/>
      <c r="AC125" s="3485"/>
      <c r="AD125" s="3485"/>
      <c r="AE125" s="3485"/>
      <c r="AF125" s="3485"/>
      <c r="AG125" s="3485"/>
      <c r="AH125" s="3485"/>
      <c r="AI125" s="3485"/>
      <c r="AJ125" s="4289"/>
      <c r="AK125" s="4296"/>
      <c r="AL125" s="4296"/>
      <c r="AM125" s="3485"/>
      <c r="AN125" s="3485"/>
      <c r="AO125" s="3485"/>
      <c r="AP125" s="3485"/>
      <c r="AQ125" s="4296"/>
      <c r="AR125" s="4296"/>
      <c r="AS125" s="4296"/>
      <c r="AT125" s="4296"/>
      <c r="AU125" s="4296"/>
      <c r="AV125" s="4296"/>
      <c r="AW125" s="4296"/>
      <c r="AX125" s="4296"/>
      <c r="AY125" s="4296"/>
      <c r="AZ125" s="4296"/>
      <c r="BA125" s="4296"/>
      <c r="BB125" s="4296"/>
      <c r="BC125" s="3485"/>
      <c r="BD125" s="4289"/>
      <c r="BE125" s="3207"/>
      <c r="BF125" s="4292"/>
      <c r="BG125" s="4292"/>
      <c r="BH125" s="4294"/>
      <c r="BI125" s="2966"/>
      <c r="BJ125" s="2966"/>
      <c r="BK125" s="4287"/>
      <c r="BL125" s="4287"/>
      <c r="BM125" s="4287"/>
      <c r="BN125" s="4287"/>
      <c r="BO125" s="2966"/>
      <c r="BP125" s="657"/>
      <c r="BQ125" s="657"/>
      <c r="BR125" s="657"/>
      <c r="BS125" s="657"/>
      <c r="BT125" s="657"/>
    </row>
    <row r="126" spans="1:72" ht="57" x14ac:dyDescent="0.2">
      <c r="A126" s="2259"/>
      <c r="B126" s="2260"/>
      <c r="C126" s="4278"/>
      <c r="D126" s="4302"/>
      <c r="E126" s="1210"/>
      <c r="F126" s="1212"/>
      <c r="G126" s="2966"/>
      <c r="H126" s="2923"/>
      <c r="I126" s="2923"/>
      <c r="J126" s="4305"/>
      <c r="K126" s="4280"/>
      <c r="L126" s="3207"/>
      <c r="M126" s="4299"/>
      <c r="N126" s="2923"/>
      <c r="O126" s="4301"/>
      <c r="P126" s="3123"/>
      <c r="Q126" s="2923"/>
      <c r="R126" s="2807"/>
      <c r="S126" s="1232" t="s">
        <v>2500</v>
      </c>
      <c r="T126" s="2300">
        <v>500000</v>
      </c>
      <c r="U126" s="1319">
        <v>500000</v>
      </c>
      <c r="V126" s="1319">
        <v>500000</v>
      </c>
      <c r="W126" s="2320">
        <v>20</v>
      </c>
      <c r="X126" s="2321" t="s">
        <v>86</v>
      </c>
      <c r="Y126" s="4289"/>
      <c r="Z126" s="4289"/>
      <c r="AA126" s="3485"/>
      <c r="AB126" s="4289"/>
      <c r="AC126" s="3485"/>
      <c r="AD126" s="3485"/>
      <c r="AE126" s="3485"/>
      <c r="AF126" s="3485"/>
      <c r="AG126" s="3485"/>
      <c r="AH126" s="3485"/>
      <c r="AI126" s="3485"/>
      <c r="AJ126" s="4289"/>
      <c r="AK126" s="4296"/>
      <c r="AL126" s="4296"/>
      <c r="AM126" s="3485"/>
      <c r="AN126" s="3485"/>
      <c r="AO126" s="3485"/>
      <c r="AP126" s="3485"/>
      <c r="AQ126" s="4296"/>
      <c r="AR126" s="4296"/>
      <c r="AS126" s="4296"/>
      <c r="AT126" s="4296"/>
      <c r="AU126" s="4296"/>
      <c r="AV126" s="4296"/>
      <c r="AW126" s="4296"/>
      <c r="AX126" s="4296"/>
      <c r="AY126" s="4296"/>
      <c r="AZ126" s="4296"/>
      <c r="BA126" s="4296"/>
      <c r="BB126" s="4296"/>
      <c r="BC126" s="3485"/>
      <c r="BD126" s="4289"/>
      <c r="BE126" s="3207"/>
      <c r="BF126" s="4292"/>
      <c r="BG126" s="4292"/>
      <c r="BH126" s="4294"/>
      <c r="BI126" s="2966"/>
      <c r="BJ126" s="2966"/>
      <c r="BK126" s="4287"/>
      <c r="BL126" s="4287"/>
      <c r="BM126" s="4287"/>
      <c r="BN126" s="4287"/>
      <c r="BO126" s="2966"/>
      <c r="BP126" s="657"/>
      <c r="BQ126" s="657"/>
      <c r="BR126" s="657"/>
      <c r="BS126" s="657"/>
      <c r="BT126" s="657"/>
    </row>
    <row r="127" spans="1:72" ht="57" x14ac:dyDescent="0.2">
      <c r="A127" s="2259"/>
      <c r="B127" s="2260"/>
      <c r="C127" s="4278"/>
      <c r="D127" s="4302"/>
      <c r="E127" s="1210"/>
      <c r="F127" s="1212"/>
      <c r="G127" s="2966"/>
      <c r="H127" s="2923"/>
      <c r="I127" s="2923"/>
      <c r="J127" s="4305"/>
      <c r="K127" s="4280"/>
      <c r="L127" s="3207"/>
      <c r="M127" s="4299"/>
      <c r="N127" s="2923"/>
      <c r="O127" s="4301"/>
      <c r="P127" s="3123"/>
      <c r="Q127" s="2923"/>
      <c r="R127" s="2807"/>
      <c r="S127" s="1232" t="s">
        <v>2501</v>
      </c>
      <c r="T127" s="2300">
        <f>5940000+500000</f>
        <v>6440000</v>
      </c>
      <c r="U127" s="1319">
        <v>6440000</v>
      </c>
      <c r="V127" s="1319">
        <v>6440000</v>
      </c>
      <c r="W127" s="2320">
        <v>20</v>
      </c>
      <c r="X127" s="2321" t="s">
        <v>86</v>
      </c>
      <c r="Y127" s="4289"/>
      <c r="Z127" s="4289"/>
      <c r="AA127" s="3485"/>
      <c r="AB127" s="4289"/>
      <c r="AC127" s="3485"/>
      <c r="AD127" s="3485"/>
      <c r="AE127" s="3485"/>
      <c r="AF127" s="3485"/>
      <c r="AG127" s="3485"/>
      <c r="AH127" s="3485"/>
      <c r="AI127" s="3485"/>
      <c r="AJ127" s="4289"/>
      <c r="AK127" s="4296"/>
      <c r="AL127" s="4296"/>
      <c r="AM127" s="3485"/>
      <c r="AN127" s="3485"/>
      <c r="AO127" s="3485"/>
      <c r="AP127" s="3485"/>
      <c r="AQ127" s="4296"/>
      <c r="AR127" s="4296"/>
      <c r="AS127" s="4296"/>
      <c r="AT127" s="4296"/>
      <c r="AU127" s="4296"/>
      <c r="AV127" s="4296"/>
      <c r="AW127" s="4296"/>
      <c r="AX127" s="4296"/>
      <c r="AY127" s="4296"/>
      <c r="AZ127" s="4296"/>
      <c r="BA127" s="4296"/>
      <c r="BB127" s="4296"/>
      <c r="BC127" s="3485"/>
      <c r="BD127" s="4289"/>
      <c r="BE127" s="3207"/>
      <c r="BF127" s="4292"/>
      <c r="BG127" s="4292"/>
      <c r="BH127" s="4294"/>
      <c r="BI127" s="2966"/>
      <c r="BJ127" s="2966"/>
      <c r="BK127" s="4287"/>
      <c r="BL127" s="4287"/>
      <c r="BM127" s="4287"/>
      <c r="BN127" s="4287"/>
      <c r="BO127" s="2966"/>
      <c r="BP127" s="657"/>
      <c r="BQ127" s="657"/>
      <c r="BR127" s="657"/>
      <c r="BS127" s="657"/>
      <c r="BT127" s="657"/>
    </row>
    <row r="128" spans="1:72" ht="57" x14ac:dyDescent="0.2">
      <c r="A128" s="2259"/>
      <c r="B128" s="2260"/>
      <c r="C128" s="4278"/>
      <c r="D128" s="4302"/>
      <c r="E128" s="1210"/>
      <c r="F128" s="1212"/>
      <c r="G128" s="2966"/>
      <c r="H128" s="2923"/>
      <c r="I128" s="2923"/>
      <c r="J128" s="4305"/>
      <c r="K128" s="4280"/>
      <c r="L128" s="3207"/>
      <c r="M128" s="4299"/>
      <c r="N128" s="2923"/>
      <c r="O128" s="4301"/>
      <c r="P128" s="3123"/>
      <c r="Q128" s="2923"/>
      <c r="R128" s="2807"/>
      <c r="S128" s="1232" t="s">
        <v>2502</v>
      </c>
      <c r="T128" s="2300">
        <f>7920000-500000</f>
        <v>7420000</v>
      </c>
      <c r="U128" s="1319">
        <v>6670000</v>
      </c>
      <c r="V128" s="1319">
        <v>5920000</v>
      </c>
      <c r="W128" s="2320">
        <v>20</v>
      </c>
      <c r="X128" s="2321" t="s">
        <v>86</v>
      </c>
      <c r="Y128" s="4289"/>
      <c r="Z128" s="4289"/>
      <c r="AA128" s="3485"/>
      <c r="AB128" s="4289"/>
      <c r="AC128" s="3485"/>
      <c r="AD128" s="3485"/>
      <c r="AE128" s="3485"/>
      <c r="AF128" s="3485"/>
      <c r="AG128" s="3485"/>
      <c r="AH128" s="3485"/>
      <c r="AI128" s="3485"/>
      <c r="AJ128" s="4289"/>
      <c r="AK128" s="4296"/>
      <c r="AL128" s="4296"/>
      <c r="AM128" s="3485"/>
      <c r="AN128" s="3485"/>
      <c r="AO128" s="3485"/>
      <c r="AP128" s="3485"/>
      <c r="AQ128" s="4296"/>
      <c r="AR128" s="4296"/>
      <c r="AS128" s="4296"/>
      <c r="AT128" s="4296"/>
      <c r="AU128" s="4296"/>
      <c r="AV128" s="4296"/>
      <c r="AW128" s="4296"/>
      <c r="AX128" s="4296"/>
      <c r="AY128" s="4296"/>
      <c r="AZ128" s="4296"/>
      <c r="BA128" s="4296"/>
      <c r="BB128" s="4296"/>
      <c r="BC128" s="3485"/>
      <c r="BD128" s="4289"/>
      <c r="BE128" s="3207"/>
      <c r="BF128" s="4292"/>
      <c r="BG128" s="4292"/>
      <c r="BH128" s="4294"/>
      <c r="BI128" s="2966"/>
      <c r="BJ128" s="2966"/>
      <c r="BK128" s="4287"/>
      <c r="BL128" s="4287"/>
      <c r="BM128" s="4287"/>
      <c r="BN128" s="4287"/>
      <c r="BO128" s="2966"/>
      <c r="BP128" s="657"/>
      <c r="BQ128" s="657"/>
      <c r="BR128" s="657"/>
      <c r="BS128" s="657"/>
      <c r="BT128" s="657"/>
    </row>
    <row r="129" spans="1:72" ht="41.25" customHeight="1" x14ac:dyDescent="0.2">
      <c r="A129" s="2259"/>
      <c r="B129" s="2260"/>
      <c r="C129" s="4278"/>
      <c r="D129" s="4302"/>
      <c r="E129" s="1210"/>
      <c r="F129" s="1212"/>
      <c r="G129" s="2966"/>
      <c r="H129" s="2923"/>
      <c r="I129" s="2923"/>
      <c r="J129" s="4305"/>
      <c r="K129" s="4280"/>
      <c r="L129" s="3207"/>
      <c r="M129" s="4299"/>
      <c r="N129" s="2923"/>
      <c r="O129" s="4301"/>
      <c r="P129" s="3123"/>
      <c r="Q129" s="2923"/>
      <c r="R129" s="2807"/>
      <c r="S129" s="711" t="s">
        <v>2503</v>
      </c>
      <c r="T129" s="2300">
        <v>5000000</v>
      </c>
      <c r="U129" s="1319">
        <v>3500000</v>
      </c>
      <c r="V129" s="1319">
        <v>0</v>
      </c>
      <c r="W129" s="2320">
        <v>20</v>
      </c>
      <c r="X129" s="2321" t="s">
        <v>86</v>
      </c>
      <c r="Y129" s="4289"/>
      <c r="Z129" s="4289"/>
      <c r="AA129" s="3485"/>
      <c r="AB129" s="4289"/>
      <c r="AC129" s="3485"/>
      <c r="AD129" s="3485"/>
      <c r="AE129" s="3485"/>
      <c r="AF129" s="3485"/>
      <c r="AG129" s="3485"/>
      <c r="AH129" s="3485"/>
      <c r="AI129" s="3485"/>
      <c r="AJ129" s="4289"/>
      <c r="AK129" s="4296"/>
      <c r="AL129" s="4296"/>
      <c r="AM129" s="3485"/>
      <c r="AN129" s="3485"/>
      <c r="AO129" s="3485"/>
      <c r="AP129" s="3485"/>
      <c r="AQ129" s="4296"/>
      <c r="AR129" s="4296"/>
      <c r="AS129" s="4296"/>
      <c r="AT129" s="4296"/>
      <c r="AU129" s="4296"/>
      <c r="AV129" s="4296"/>
      <c r="AW129" s="4296"/>
      <c r="AX129" s="4296"/>
      <c r="AY129" s="4296"/>
      <c r="AZ129" s="4296"/>
      <c r="BA129" s="4296"/>
      <c r="BB129" s="4296"/>
      <c r="BC129" s="3485"/>
      <c r="BD129" s="4289"/>
      <c r="BE129" s="3207"/>
      <c r="BF129" s="4292"/>
      <c r="BG129" s="4292"/>
      <c r="BH129" s="4294"/>
      <c r="BI129" s="2966"/>
      <c r="BJ129" s="2966"/>
      <c r="BK129" s="4287"/>
      <c r="BL129" s="4287"/>
      <c r="BM129" s="4287"/>
      <c r="BN129" s="4287"/>
      <c r="BO129" s="2966"/>
      <c r="BP129" s="657"/>
      <c r="BQ129" s="657"/>
      <c r="BR129" s="657"/>
      <c r="BS129" s="657"/>
      <c r="BT129" s="657"/>
    </row>
    <row r="130" spans="1:72" ht="57" customHeight="1" x14ac:dyDescent="0.2">
      <c r="A130" s="2259"/>
      <c r="B130" s="2260"/>
      <c r="C130" s="4278"/>
      <c r="D130" s="4302"/>
      <c r="E130" s="1210"/>
      <c r="F130" s="1212"/>
      <c r="G130" s="2966"/>
      <c r="H130" s="2923"/>
      <c r="I130" s="2923"/>
      <c r="J130" s="4305"/>
      <c r="K130" s="4280"/>
      <c r="L130" s="3207"/>
      <c r="M130" s="4299"/>
      <c r="N130" s="2923"/>
      <c r="O130" s="4301"/>
      <c r="P130" s="3123"/>
      <c r="Q130" s="2923"/>
      <c r="R130" s="2807"/>
      <c r="S130" s="711" t="s">
        <v>2504</v>
      </c>
      <c r="T130" s="2300">
        <v>3500000</v>
      </c>
      <c r="U130" s="1319">
        <v>1500000</v>
      </c>
      <c r="V130" s="1319">
        <v>0</v>
      </c>
      <c r="W130" s="2320">
        <v>20</v>
      </c>
      <c r="X130" s="2321" t="s">
        <v>86</v>
      </c>
      <c r="Y130" s="4289"/>
      <c r="Z130" s="4289"/>
      <c r="AA130" s="3485"/>
      <c r="AB130" s="4289"/>
      <c r="AC130" s="3485"/>
      <c r="AD130" s="3485"/>
      <c r="AE130" s="3485"/>
      <c r="AF130" s="3485"/>
      <c r="AG130" s="3485"/>
      <c r="AH130" s="3485"/>
      <c r="AI130" s="3485"/>
      <c r="AJ130" s="4289"/>
      <c r="AK130" s="4296"/>
      <c r="AL130" s="4296"/>
      <c r="AM130" s="3485"/>
      <c r="AN130" s="3485"/>
      <c r="AO130" s="3485"/>
      <c r="AP130" s="3485"/>
      <c r="AQ130" s="4296"/>
      <c r="AR130" s="4296"/>
      <c r="AS130" s="4296"/>
      <c r="AT130" s="4296"/>
      <c r="AU130" s="4296"/>
      <c r="AV130" s="4296"/>
      <c r="AW130" s="4296"/>
      <c r="AX130" s="4296"/>
      <c r="AY130" s="4296"/>
      <c r="AZ130" s="4296"/>
      <c r="BA130" s="4296"/>
      <c r="BB130" s="4296"/>
      <c r="BC130" s="3485"/>
      <c r="BD130" s="4289"/>
      <c r="BE130" s="3207"/>
      <c r="BF130" s="4292"/>
      <c r="BG130" s="4292"/>
      <c r="BH130" s="4294"/>
      <c r="BI130" s="2966"/>
      <c r="BJ130" s="2966"/>
      <c r="BK130" s="4287"/>
      <c r="BL130" s="4287"/>
      <c r="BM130" s="4287"/>
      <c r="BN130" s="4287"/>
      <c r="BO130" s="2966"/>
    </row>
    <row r="131" spans="1:72" ht="72.75" customHeight="1" x14ac:dyDescent="0.2">
      <c r="A131" s="2259"/>
      <c r="B131" s="2260"/>
      <c r="C131" s="4278"/>
      <c r="D131" s="4302"/>
      <c r="E131" s="1210"/>
      <c r="F131" s="1212"/>
      <c r="G131" s="1262">
        <v>199</v>
      </c>
      <c r="H131" s="711" t="s">
        <v>2505</v>
      </c>
      <c r="I131" s="854" t="s">
        <v>2506</v>
      </c>
      <c r="J131" s="2322">
        <v>4</v>
      </c>
      <c r="K131" s="2588">
        <v>2</v>
      </c>
      <c r="L131" s="2323" t="s">
        <v>2507</v>
      </c>
      <c r="M131" s="4299"/>
      <c r="N131" s="2923"/>
      <c r="O131" s="2324">
        <f>+T131/P124</f>
        <v>1.0056806012068655E-2</v>
      </c>
      <c r="P131" s="3123"/>
      <c r="Q131" s="2923"/>
      <c r="R131" s="2807"/>
      <c r="S131" s="711" t="s">
        <v>2508</v>
      </c>
      <c r="T131" s="2300">
        <v>40000000</v>
      </c>
      <c r="U131" s="1319">
        <v>20695868</v>
      </c>
      <c r="V131" s="1319">
        <v>9168802</v>
      </c>
      <c r="W131" s="2325">
        <v>20</v>
      </c>
      <c r="X131" s="2321" t="s">
        <v>86</v>
      </c>
      <c r="Y131" s="4289"/>
      <c r="Z131" s="4289"/>
      <c r="AA131" s="3485"/>
      <c r="AB131" s="4289"/>
      <c r="AC131" s="3485"/>
      <c r="AD131" s="3485"/>
      <c r="AE131" s="3485"/>
      <c r="AF131" s="3485"/>
      <c r="AG131" s="3485"/>
      <c r="AH131" s="3485"/>
      <c r="AI131" s="3485"/>
      <c r="AJ131" s="4289"/>
      <c r="AK131" s="4296"/>
      <c r="AL131" s="4296"/>
      <c r="AM131" s="3485"/>
      <c r="AN131" s="3485"/>
      <c r="AO131" s="3485"/>
      <c r="AP131" s="3485"/>
      <c r="AQ131" s="4296"/>
      <c r="AR131" s="4296"/>
      <c r="AS131" s="4296"/>
      <c r="AT131" s="4296"/>
      <c r="AU131" s="4296"/>
      <c r="AV131" s="4296"/>
      <c r="AW131" s="4296"/>
      <c r="AX131" s="4296"/>
      <c r="AY131" s="4296"/>
      <c r="AZ131" s="4296"/>
      <c r="BA131" s="4296"/>
      <c r="BB131" s="4296"/>
      <c r="BC131" s="3485"/>
      <c r="BD131" s="4289"/>
      <c r="BE131" s="3207"/>
      <c r="BF131" s="4292"/>
      <c r="BG131" s="4292"/>
      <c r="BH131" s="4294"/>
      <c r="BI131" s="2966"/>
      <c r="BJ131" s="2966"/>
      <c r="BK131" s="4287"/>
      <c r="BL131" s="4287"/>
      <c r="BM131" s="4287"/>
      <c r="BN131" s="4287"/>
      <c r="BO131" s="2966"/>
    </row>
    <row r="132" spans="1:72" ht="33.75" customHeight="1" x14ac:dyDescent="0.2">
      <c r="A132" s="2259"/>
      <c r="B132" s="2260"/>
      <c r="C132" s="4278"/>
      <c r="D132" s="4302"/>
      <c r="E132" s="1210"/>
      <c r="F132" s="1212"/>
      <c r="G132" s="2977">
        <v>200</v>
      </c>
      <c r="H132" s="4283" t="s">
        <v>2509</v>
      </c>
      <c r="I132" s="2954" t="s">
        <v>2510</v>
      </c>
      <c r="J132" s="4285">
        <v>12</v>
      </c>
      <c r="K132" s="4280">
        <v>12</v>
      </c>
      <c r="L132" s="4286" t="s">
        <v>2511</v>
      </c>
      <c r="M132" s="4299"/>
      <c r="N132" s="2923"/>
      <c r="O132" s="4281">
        <f>+SUM(T132:T133)/P124</f>
        <v>0.29367717068350546</v>
      </c>
      <c r="P132" s="3123"/>
      <c r="Q132" s="2923"/>
      <c r="R132" s="2834" t="s">
        <v>2512</v>
      </c>
      <c r="S132" s="3869" t="s">
        <v>2513</v>
      </c>
      <c r="T132" s="2300">
        <v>1111986335</v>
      </c>
      <c r="U132" s="2300">
        <v>368458656</v>
      </c>
      <c r="V132" s="2300">
        <v>368458656</v>
      </c>
      <c r="W132" s="2326">
        <v>6</v>
      </c>
      <c r="X132" s="2293" t="s">
        <v>2514</v>
      </c>
      <c r="Y132" s="4289"/>
      <c r="Z132" s="4289"/>
      <c r="AA132" s="3485"/>
      <c r="AB132" s="4289"/>
      <c r="AC132" s="3485"/>
      <c r="AD132" s="3485"/>
      <c r="AE132" s="3485"/>
      <c r="AF132" s="3485"/>
      <c r="AG132" s="3485"/>
      <c r="AH132" s="3485"/>
      <c r="AI132" s="3485"/>
      <c r="AJ132" s="4289"/>
      <c r="AK132" s="4296"/>
      <c r="AL132" s="4296"/>
      <c r="AM132" s="3485"/>
      <c r="AN132" s="3485"/>
      <c r="AO132" s="3485"/>
      <c r="AP132" s="3485"/>
      <c r="AQ132" s="4296"/>
      <c r="AR132" s="4296"/>
      <c r="AS132" s="4296"/>
      <c r="AT132" s="4296"/>
      <c r="AU132" s="4296"/>
      <c r="AV132" s="4296"/>
      <c r="AW132" s="4296"/>
      <c r="AX132" s="4296"/>
      <c r="AY132" s="4296"/>
      <c r="AZ132" s="4296"/>
      <c r="BA132" s="4296"/>
      <c r="BB132" s="4296"/>
      <c r="BC132" s="3485"/>
      <c r="BD132" s="4289"/>
      <c r="BE132" s="3207"/>
      <c r="BF132" s="4292"/>
      <c r="BG132" s="4292"/>
      <c r="BH132" s="4294"/>
      <c r="BI132" s="2966"/>
      <c r="BJ132" s="2966"/>
      <c r="BK132" s="4287"/>
      <c r="BL132" s="4287"/>
      <c r="BM132" s="4287"/>
      <c r="BN132" s="4287"/>
      <c r="BO132" s="2966"/>
    </row>
    <row r="133" spans="1:72" ht="35.25" customHeight="1" x14ac:dyDescent="0.2">
      <c r="A133" s="2259"/>
      <c r="B133" s="2260"/>
      <c r="C133" s="4278"/>
      <c r="D133" s="4302"/>
      <c r="E133" s="1210"/>
      <c r="F133" s="1212"/>
      <c r="G133" s="2967"/>
      <c r="H133" s="4284"/>
      <c r="I133" s="2954"/>
      <c r="J133" s="4285"/>
      <c r="K133" s="4280"/>
      <c r="L133" s="4286"/>
      <c r="M133" s="4299"/>
      <c r="N133" s="2923"/>
      <c r="O133" s="4282"/>
      <c r="P133" s="3123"/>
      <c r="Q133" s="2923"/>
      <c r="R133" s="2923"/>
      <c r="S133" s="4284"/>
      <c r="T133" s="2300">
        <f>0+56086989</f>
        <v>56086989</v>
      </c>
      <c r="U133" s="2300">
        <f t="shared" ref="U133:V133" si="0">0+56086989</f>
        <v>56086989</v>
      </c>
      <c r="V133" s="2300">
        <f t="shared" si="0"/>
        <v>56086989</v>
      </c>
      <c r="W133" s="1411">
        <v>84</v>
      </c>
      <c r="X133" s="2294" t="s">
        <v>2515</v>
      </c>
      <c r="Y133" s="4289"/>
      <c r="Z133" s="4289"/>
      <c r="AA133" s="3485"/>
      <c r="AB133" s="4289"/>
      <c r="AC133" s="3485"/>
      <c r="AD133" s="3485"/>
      <c r="AE133" s="3485"/>
      <c r="AF133" s="3485"/>
      <c r="AG133" s="3485"/>
      <c r="AH133" s="3485"/>
      <c r="AI133" s="3485"/>
      <c r="AJ133" s="4289"/>
      <c r="AK133" s="4296"/>
      <c r="AL133" s="4296"/>
      <c r="AM133" s="3485"/>
      <c r="AN133" s="3485"/>
      <c r="AO133" s="3485"/>
      <c r="AP133" s="3485"/>
      <c r="AQ133" s="4296"/>
      <c r="AR133" s="4296"/>
      <c r="AS133" s="4296"/>
      <c r="AT133" s="4296"/>
      <c r="AU133" s="4296"/>
      <c r="AV133" s="4296"/>
      <c r="AW133" s="4296"/>
      <c r="AX133" s="4296"/>
      <c r="AY133" s="4296"/>
      <c r="AZ133" s="4296"/>
      <c r="BA133" s="4296"/>
      <c r="BB133" s="4296"/>
      <c r="BC133" s="3485"/>
      <c r="BD133" s="4289"/>
      <c r="BE133" s="3207"/>
      <c r="BF133" s="4292"/>
      <c r="BG133" s="4292"/>
      <c r="BH133" s="4294"/>
      <c r="BI133" s="2966"/>
      <c r="BJ133" s="2966"/>
      <c r="BK133" s="4287"/>
      <c r="BL133" s="4287"/>
      <c r="BM133" s="4287"/>
      <c r="BN133" s="4287"/>
      <c r="BO133" s="2966"/>
    </row>
    <row r="134" spans="1:72" ht="36.75" customHeight="1" x14ac:dyDescent="0.2">
      <c r="A134" s="2259"/>
      <c r="B134" s="2260"/>
      <c r="C134" s="4278"/>
      <c r="D134" s="4302"/>
      <c r="E134" s="1210"/>
      <c r="F134" s="1212"/>
      <c r="G134" s="2977">
        <v>201</v>
      </c>
      <c r="H134" s="3869" t="s">
        <v>2516</v>
      </c>
      <c r="I134" s="2966" t="s">
        <v>2517</v>
      </c>
      <c r="J134" s="4278">
        <v>14</v>
      </c>
      <c r="K134" s="4280">
        <v>14</v>
      </c>
      <c r="L134" s="4286"/>
      <c r="M134" s="4299"/>
      <c r="N134" s="2923"/>
      <c r="O134" s="4281">
        <f>+SUM(T134:T135)/P124</f>
        <v>0.68524673117581247</v>
      </c>
      <c r="P134" s="3123"/>
      <c r="Q134" s="2923"/>
      <c r="R134" s="2923"/>
      <c r="S134" s="3869" t="s">
        <v>2518</v>
      </c>
      <c r="T134" s="2300">
        <v>2594634781</v>
      </c>
      <c r="U134" s="2300">
        <v>859736864</v>
      </c>
      <c r="V134" s="2300">
        <v>859736864</v>
      </c>
      <c r="W134" s="2326">
        <v>6</v>
      </c>
      <c r="X134" s="2293" t="s">
        <v>2514</v>
      </c>
      <c r="Y134" s="4289"/>
      <c r="Z134" s="4289"/>
      <c r="AA134" s="3485"/>
      <c r="AB134" s="4289"/>
      <c r="AC134" s="3485"/>
      <c r="AD134" s="3485"/>
      <c r="AE134" s="3485"/>
      <c r="AF134" s="3485"/>
      <c r="AG134" s="3485"/>
      <c r="AH134" s="3485"/>
      <c r="AI134" s="3485"/>
      <c r="AJ134" s="4289"/>
      <c r="AK134" s="4296"/>
      <c r="AL134" s="4296"/>
      <c r="AM134" s="3485"/>
      <c r="AN134" s="3485"/>
      <c r="AO134" s="3485"/>
      <c r="AP134" s="3485"/>
      <c r="AQ134" s="4296"/>
      <c r="AR134" s="4296"/>
      <c r="AS134" s="4296"/>
      <c r="AT134" s="4296"/>
      <c r="AU134" s="4296"/>
      <c r="AV134" s="4296"/>
      <c r="AW134" s="4296"/>
      <c r="AX134" s="4296"/>
      <c r="AY134" s="4296"/>
      <c r="AZ134" s="4296"/>
      <c r="BA134" s="4296"/>
      <c r="BB134" s="4296"/>
      <c r="BC134" s="3485"/>
      <c r="BD134" s="4289"/>
      <c r="BE134" s="3207"/>
      <c r="BF134" s="4292"/>
      <c r="BG134" s="4292"/>
      <c r="BH134" s="4294"/>
      <c r="BI134" s="2966"/>
      <c r="BJ134" s="2966"/>
      <c r="BK134" s="4287"/>
      <c r="BL134" s="4287"/>
      <c r="BM134" s="4287"/>
      <c r="BN134" s="4287"/>
      <c r="BO134" s="2966"/>
    </row>
    <row r="135" spans="1:72" ht="33" customHeight="1" x14ac:dyDescent="0.2">
      <c r="A135" s="2327"/>
      <c r="B135" s="2278"/>
      <c r="C135" s="4279"/>
      <c r="D135" s="4303"/>
      <c r="E135" s="1276"/>
      <c r="F135" s="1278"/>
      <c r="G135" s="2967"/>
      <c r="H135" s="3871"/>
      <c r="I135" s="2967"/>
      <c r="J135" s="4279"/>
      <c r="K135" s="4280"/>
      <c r="L135" s="4286"/>
      <c r="M135" s="4300"/>
      <c r="N135" s="2835"/>
      <c r="O135" s="4282"/>
      <c r="P135" s="3124"/>
      <c r="Q135" s="2835"/>
      <c r="R135" s="2835"/>
      <c r="S135" s="3871"/>
      <c r="T135" s="2300">
        <f>0+130869640</f>
        <v>130869640</v>
      </c>
      <c r="U135" s="2300">
        <f t="shared" ref="U135:V135" si="1">0+130869640</f>
        <v>130869640</v>
      </c>
      <c r="V135" s="2300">
        <f t="shared" si="1"/>
        <v>130869640</v>
      </c>
      <c r="W135" s="2326">
        <v>84</v>
      </c>
      <c r="X135" s="2294" t="s">
        <v>2515</v>
      </c>
      <c r="Y135" s="4290"/>
      <c r="Z135" s="4290"/>
      <c r="AA135" s="3486"/>
      <c r="AB135" s="4290"/>
      <c r="AC135" s="3486"/>
      <c r="AD135" s="3486"/>
      <c r="AE135" s="3486"/>
      <c r="AF135" s="3486"/>
      <c r="AG135" s="3486"/>
      <c r="AH135" s="3486"/>
      <c r="AI135" s="3486"/>
      <c r="AJ135" s="4290"/>
      <c r="AK135" s="4297"/>
      <c r="AL135" s="4297"/>
      <c r="AM135" s="3486"/>
      <c r="AN135" s="3486"/>
      <c r="AO135" s="3486"/>
      <c r="AP135" s="3486"/>
      <c r="AQ135" s="4297"/>
      <c r="AR135" s="4297"/>
      <c r="AS135" s="4297"/>
      <c r="AT135" s="4297"/>
      <c r="AU135" s="4297"/>
      <c r="AV135" s="4297"/>
      <c r="AW135" s="4297"/>
      <c r="AX135" s="4297"/>
      <c r="AY135" s="4297"/>
      <c r="AZ135" s="4297"/>
      <c r="BA135" s="4297"/>
      <c r="BB135" s="4297"/>
      <c r="BC135" s="3486"/>
      <c r="BD135" s="4290"/>
      <c r="BE135" s="3179"/>
      <c r="BF135" s="4293"/>
      <c r="BG135" s="4293"/>
      <c r="BH135" s="4295"/>
      <c r="BI135" s="2967"/>
      <c r="BJ135" s="2967"/>
      <c r="BK135" s="4287"/>
      <c r="BL135" s="4287"/>
      <c r="BM135" s="4287"/>
      <c r="BN135" s="4287"/>
      <c r="BO135" s="2967"/>
    </row>
    <row r="136" spans="1:72" s="1848" customFormat="1" ht="15" x14ac:dyDescent="0.25">
      <c r="A136" s="4274" t="s">
        <v>1813</v>
      </c>
      <c r="B136" s="4274"/>
      <c r="C136" s="4274"/>
      <c r="D136" s="4274"/>
      <c r="E136" s="4274"/>
      <c r="F136" s="4274"/>
      <c r="G136" s="4274"/>
      <c r="H136" s="4274"/>
      <c r="I136" s="4274"/>
      <c r="J136" s="4274"/>
      <c r="K136" s="4275"/>
      <c r="L136" s="4275"/>
      <c r="M136" s="4274"/>
      <c r="N136" s="4274"/>
      <c r="O136" s="4274"/>
      <c r="P136" s="2328">
        <f>SUM(P14:P135)</f>
        <v>6067165943</v>
      </c>
      <c r="Q136" s="2329"/>
      <c r="R136" s="2330"/>
      <c r="S136" s="2330"/>
      <c r="T136" s="2331">
        <f>SUM(T14:T135)</f>
        <v>6067165943</v>
      </c>
      <c r="U136" s="2332">
        <f>SUM(U14:U135)</f>
        <v>2722669976</v>
      </c>
      <c r="V136" s="2332">
        <f>SUM(V14:V135)</f>
        <v>1906377016</v>
      </c>
      <c r="W136" s="1885"/>
      <c r="X136" s="2333"/>
      <c r="Y136" s="2334"/>
      <c r="Z136" s="2334"/>
      <c r="AA136" s="2334"/>
      <c r="AB136" s="2334"/>
      <c r="AC136" s="2334"/>
      <c r="AD136" s="2334"/>
      <c r="AE136" s="2334"/>
      <c r="AF136" s="2334"/>
      <c r="AG136" s="2334"/>
      <c r="AH136" s="2334"/>
      <c r="AI136" s="2334"/>
      <c r="AJ136" s="2334"/>
      <c r="AK136" s="2334"/>
      <c r="AL136" s="2334"/>
      <c r="AM136" s="2334"/>
      <c r="AN136" s="2334"/>
      <c r="AO136" s="2334"/>
      <c r="AP136" s="2334"/>
      <c r="AQ136" s="2334"/>
      <c r="AR136" s="2334"/>
      <c r="AS136" s="2334"/>
      <c r="AT136" s="2334"/>
      <c r="AU136" s="2334"/>
      <c r="AV136" s="2334"/>
      <c r="AW136" s="2334"/>
      <c r="AX136" s="2334"/>
      <c r="AY136" s="2334"/>
      <c r="AZ136" s="2334"/>
      <c r="BA136" s="2334"/>
      <c r="BB136" s="2334"/>
      <c r="BC136" s="2334"/>
      <c r="BD136" s="2334"/>
      <c r="BE136" s="2334"/>
      <c r="BF136" s="2335">
        <f>SUM(BF14:BF135)</f>
        <v>2722669975.9000001</v>
      </c>
      <c r="BG136" s="2335">
        <f>SUM(BG14:BG135)</f>
        <v>1906377015.9000001</v>
      </c>
      <c r="BH136" s="2334"/>
      <c r="BI136" s="2334"/>
      <c r="BJ136" s="2334"/>
      <c r="BK136" s="2334"/>
      <c r="BL136" s="2334"/>
      <c r="BM136" s="2334"/>
      <c r="BN136" s="2334"/>
      <c r="BO136" s="2330"/>
      <c r="BP136" s="2308"/>
      <c r="BQ136" s="2308"/>
      <c r="BR136" s="2308"/>
      <c r="BS136" s="2308"/>
      <c r="BT136" s="2308"/>
    </row>
    <row r="137" spans="1:72" ht="15" x14ac:dyDescent="0.25">
      <c r="A137" s="928"/>
      <c r="B137" s="928"/>
      <c r="C137" s="928"/>
      <c r="D137" s="928"/>
      <c r="E137" s="928"/>
      <c r="F137" s="2336"/>
      <c r="G137" s="2337"/>
      <c r="H137" s="2247"/>
      <c r="I137" s="2338"/>
      <c r="J137" s="928"/>
      <c r="K137" s="2339"/>
      <c r="L137" s="928"/>
      <c r="M137" s="928"/>
      <c r="N137" s="2338"/>
      <c r="O137" s="928"/>
      <c r="P137" s="2340"/>
      <c r="Q137" s="2247"/>
      <c r="R137" s="2247"/>
      <c r="S137" s="2247"/>
      <c r="T137" s="2341"/>
      <c r="U137" s="2341"/>
      <c r="V137" s="2341"/>
      <c r="W137" s="2336"/>
      <c r="X137" s="2342"/>
      <c r="Y137" s="928"/>
      <c r="Z137" s="928"/>
      <c r="AA137" s="928"/>
      <c r="AB137" s="928"/>
      <c r="AC137" s="928"/>
      <c r="AD137" s="928"/>
      <c r="AE137" s="928"/>
      <c r="AF137" s="928"/>
      <c r="AG137" s="928"/>
      <c r="AH137" s="928"/>
      <c r="AI137" s="928"/>
      <c r="AJ137" s="928"/>
      <c r="AK137" s="928"/>
      <c r="AL137" s="928"/>
      <c r="AM137" s="928"/>
      <c r="AN137" s="928"/>
      <c r="AO137" s="928"/>
      <c r="AP137" s="928"/>
      <c r="AQ137" s="928"/>
      <c r="AR137" s="928"/>
      <c r="AS137" s="928"/>
      <c r="AT137" s="928"/>
      <c r="AU137" s="928"/>
      <c r="AV137" s="928"/>
      <c r="AW137" s="928"/>
      <c r="AX137" s="928"/>
      <c r="AY137" s="928"/>
      <c r="AZ137" s="928"/>
      <c r="BA137" s="928"/>
      <c r="BB137" s="928"/>
      <c r="BO137" s="2247"/>
    </row>
    <row r="138" spans="1:72" x14ac:dyDescent="0.2">
      <c r="A138" s="928"/>
      <c r="B138" s="928"/>
      <c r="C138" s="928"/>
      <c r="D138" s="928"/>
      <c r="E138" s="928"/>
      <c r="F138" s="2336"/>
      <c r="G138" s="928"/>
      <c r="H138" s="2342"/>
      <c r="I138" s="2342"/>
      <c r="J138" s="928"/>
      <c r="K138" s="2339"/>
      <c r="L138" s="928"/>
      <c r="M138" s="928"/>
      <c r="N138" s="2342"/>
      <c r="O138" s="928"/>
      <c r="P138" s="2343"/>
      <c r="Q138" s="2342"/>
      <c r="R138" s="2342"/>
      <c r="S138" s="2247"/>
      <c r="T138" s="2344"/>
      <c r="U138" s="2344"/>
      <c r="V138" s="2344"/>
      <c r="W138" s="2336"/>
      <c r="X138" s="2342"/>
      <c r="Y138" s="928"/>
      <c r="Z138" s="928"/>
      <c r="AA138" s="928"/>
      <c r="AB138" s="928"/>
      <c r="AC138" s="928"/>
      <c r="AD138" s="928"/>
      <c r="AE138" s="928"/>
      <c r="AF138" s="928"/>
      <c r="AG138" s="928"/>
      <c r="AH138" s="928"/>
      <c r="AI138" s="928"/>
      <c r="AJ138" s="928"/>
      <c r="AK138" s="928"/>
      <c r="AL138" s="928"/>
      <c r="AM138" s="928"/>
      <c r="AN138" s="928"/>
      <c r="AO138" s="928"/>
      <c r="AP138" s="928"/>
      <c r="AQ138" s="928"/>
      <c r="AR138" s="928"/>
      <c r="AS138" s="928"/>
      <c r="AT138" s="928"/>
      <c r="AU138" s="928"/>
      <c r="AV138" s="928"/>
      <c r="AW138" s="928"/>
      <c r="AX138" s="928"/>
      <c r="AY138" s="928"/>
      <c r="AZ138" s="928"/>
      <c r="BA138" s="928"/>
      <c r="BB138" s="928"/>
    </row>
    <row r="139" spans="1:72" x14ac:dyDescent="0.2">
      <c r="E139" s="928"/>
      <c r="F139" s="2336"/>
      <c r="G139" s="928"/>
      <c r="H139" s="2342"/>
      <c r="I139" s="2342"/>
      <c r="J139" s="928"/>
      <c r="K139" s="2339"/>
      <c r="L139" s="928"/>
      <c r="M139" s="928"/>
      <c r="N139" s="2342"/>
      <c r="O139" s="928"/>
      <c r="P139" s="2343"/>
      <c r="Q139" s="2342"/>
      <c r="R139" s="2342"/>
      <c r="S139" s="2247"/>
      <c r="T139" s="2344"/>
      <c r="U139" s="2344"/>
      <c r="V139" s="2344"/>
      <c r="W139" s="2336"/>
      <c r="X139" s="2342"/>
      <c r="Y139" s="928"/>
      <c r="Z139" s="928"/>
      <c r="AA139" s="928"/>
      <c r="AB139" s="928"/>
      <c r="AC139" s="928"/>
      <c r="AD139" s="928"/>
      <c r="AE139" s="928"/>
      <c r="AF139" s="928"/>
      <c r="AG139" s="928"/>
      <c r="AH139" s="928"/>
      <c r="AI139" s="928"/>
      <c r="AJ139" s="928"/>
      <c r="AK139" s="928"/>
      <c r="AL139" s="928"/>
      <c r="AM139" s="928"/>
      <c r="AN139" s="928"/>
      <c r="AO139" s="928"/>
      <c r="AP139" s="928"/>
      <c r="AQ139" s="928"/>
      <c r="AR139" s="928"/>
      <c r="AS139" s="928"/>
      <c r="AT139" s="928"/>
      <c r="AU139" s="928"/>
      <c r="AV139" s="928"/>
      <c r="AW139" s="928"/>
      <c r="AX139" s="928"/>
      <c r="AY139" s="928"/>
      <c r="AZ139" s="928"/>
      <c r="BA139" s="928"/>
      <c r="BB139" s="928"/>
    </row>
    <row r="140" spans="1:72" x14ac:dyDescent="0.2">
      <c r="A140" s="928"/>
      <c r="B140" s="928"/>
      <c r="C140" s="928"/>
      <c r="D140" s="928"/>
      <c r="E140" s="928"/>
      <c r="F140" s="2336"/>
      <c r="G140" s="928"/>
      <c r="H140" s="2342"/>
      <c r="I140" s="2342"/>
      <c r="J140" s="928"/>
      <c r="K140" s="2339"/>
      <c r="L140" s="928"/>
      <c r="M140" s="928"/>
      <c r="N140" s="2342"/>
      <c r="O140" s="928"/>
      <c r="P140" s="2343"/>
      <c r="Q140" s="2342"/>
      <c r="R140" s="2342"/>
      <c r="S140" s="2247"/>
      <c r="T140" s="2344"/>
      <c r="U140" s="2344"/>
      <c r="V140" s="2344"/>
      <c r="W140" s="2336"/>
      <c r="X140" s="2342"/>
      <c r="Y140" s="928"/>
      <c r="Z140" s="928"/>
      <c r="AA140" s="928"/>
      <c r="AB140" s="928"/>
      <c r="AC140" s="928"/>
      <c r="AD140" s="928"/>
      <c r="AE140" s="928"/>
      <c r="AF140" s="928"/>
      <c r="AG140" s="928"/>
      <c r="AH140" s="928"/>
      <c r="AI140" s="928"/>
      <c r="AJ140" s="928"/>
      <c r="AK140" s="928"/>
      <c r="AL140" s="928"/>
      <c r="AM140" s="928"/>
      <c r="AN140" s="928"/>
      <c r="AO140" s="928"/>
      <c r="AP140" s="928"/>
      <c r="AQ140" s="928"/>
      <c r="AR140" s="928"/>
      <c r="AS140" s="928"/>
      <c r="AT140" s="928"/>
      <c r="AU140" s="928"/>
      <c r="AV140" s="928"/>
      <c r="AW140" s="928"/>
      <c r="AX140" s="928"/>
      <c r="AY140" s="928"/>
      <c r="AZ140" s="928"/>
      <c r="BA140" s="928"/>
      <c r="BB140" s="928"/>
    </row>
    <row r="141" spans="1:72" x14ac:dyDescent="0.2">
      <c r="A141" s="4276" t="s">
        <v>2519</v>
      </c>
      <c r="B141" s="4276"/>
      <c r="C141" s="4276"/>
      <c r="D141" s="4276"/>
      <c r="E141" s="4276"/>
      <c r="F141" s="4276"/>
      <c r="G141" s="4276"/>
      <c r="H141" s="4276"/>
      <c r="I141" s="4276"/>
      <c r="J141" s="928"/>
      <c r="K141" s="2339"/>
      <c r="L141" s="928"/>
      <c r="M141" s="928"/>
      <c r="N141" s="2342"/>
      <c r="O141" s="928"/>
      <c r="P141" s="2343"/>
      <c r="Q141" s="2342"/>
      <c r="R141" s="2342"/>
      <c r="S141" s="2247"/>
      <c r="T141" s="2344"/>
      <c r="U141" s="2344"/>
      <c r="V141" s="2344"/>
      <c r="W141" s="2336"/>
      <c r="X141" s="2342"/>
      <c r="Y141" s="928"/>
      <c r="Z141" s="928"/>
      <c r="AA141" s="928"/>
      <c r="AB141" s="928"/>
      <c r="AC141" s="928"/>
      <c r="AD141" s="928"/>
      <c r="AE141" s="928"/>
      <c r="AF141" s="928"/>
      <c r="AG141" s="928"/>
      <c r="AH141" s="928"/>
      <c r="AI141" s="928"/>
      <c r="AJ141" s="928"/>
      <c r="AK141" s="928"/>
      <c r="AL141" s="928"/>
      <c r="AM141" s="928"/>
      <c r="AN141" s="928"/>
      <c r="AO141" s="928"/>
      <c r="AP141" s="928"/>
      <c r="AQ141" s="928"/>
      <c r="AR141" s="928"/>
      <c r="AS141" s="928"/>
      <c r="AT141" s="928"/>
      <c r="AU141" s="928"/>
      <c r="AV141" s="928"/>
      <c r="AW141" s="928"/>
      <c r="AX141" s="928"/>
      <c r="AY141" s="928"/>
      <c r="AZ141" s="928"/>
      <c r="BA141" s="928"/>
      <c r="BB141" s="928"/>
    </row>
    <row r="142" spans="1:72" ht="12" customHeight="1" x14ac:dyDescent="0.2">
      <c r="A142" s="928"/>
      <c r="B142" s="928"/>
      <c r="C142" s="928"/>
      <c r="D142" s="928"/>
      <c r="E142" s="4277" t="s">
        <v>2520</v>
      </c>
      <c r="F142" s="4277"/>
      <c r="G142" s="4277"/>
      <c r="H142" s="4277"/>
      <c r="I142" s="2342"/>
      <c r="J142" s="928"/>
      <c r="K142" s="2339"/>
      <c r="L142" s="928"/>
      <c r="M142" s="928"/>
      <c r="N142" s="2342"/>
      <c r="O142" s="928"/>
      <c r="P142" s="2343"/>
      <c r="Q142" s="2342"/>
      <c r="R142" s="2342"/>
      <c r="S142" s="2247"/>
      <c r="T142" s="2344"/>
      <c r="U142" s="2344"/>
      <c r="V142" s="2344"/>
      <c r="W142" s="2336"/>
      <c r="X142" s="2342"/>
      <c r="Y142" s="928"/>
      <c r="Z142" s="928"/>
      <c r="AA142" s="928"/>
      <c r="AB142" s="928"/>
      <c r="AC142" s="928"/>
      <c r="AD142" s="928"/>
      <c r="AE142" s="928"/>
      <c r="AF142" s="928"/>
      <c r="AG142" s="928"/>
      <c r="AH142" s="928"/>
      <c r="AI142" s="928"/>
      <c r="AJ142" s="928"/>
      <c r="AK142" s="928"/>
      <c r="AL142" s="928"/>
      <c r="AM142" s="928"/>
      <c r="AN142" s="928"/>
      <c r="AO142" s="928"/>
      <c r="AP142" s="928"/>
      <c r="AQ142" s="928"/>
      <c r="AR142" s="928"/>
      <c r="AS142" s="928"/>
      <c r="AT142" s="928"/>
      <c r="AU142" s="928"/>
      <c r="AV142" s="928"/>
      <c r="AW142" s="928"/>
      <c r="AX142" s="928"/>
      <c r="AY142" s="928"/>
      <c r="AZ142" s="928"/>
      <c r="BA142" s="928"/>
      <c r="BB142" s="928"/>
    </row>
    <row r="143" spans="1:72" ht="14.25" customHeight="1" x14ac:dyDescent="0.2">
      <c r="A143" s="928"/>
      <c r="B143" s="928"/>
      <c r="C143" s="4277" t="s">
        <v>2521</v>
      </c>
      <c r="D143" s="4277"/>
      <c r="E143" s="4277"/>
      <c r="F143" s="4277"/>
      <c r="G143" s="4277"/>
      <c r="H143" s="4277"/>
      <c r="I143" s="4277"/>
      <c r="J143" s="928"/>
      <c r="K143" s="2339"/>
      <c r="L143" s="928"/>
      <c r="M143" s="928"/>
      <c r="N143" s="2342"/>
      <c r="O143" s="928"/>
      <c r="P143" s="2343"/>
      <c r="Q143" s="2342"/>
      <c r="R143" s="2342"/>
      <c r="S143" s="2247"/>
      <c r="T143" s="2344"/>
      <c r="U143" s="2344"/>
      <c r="V143" s="2344"/>
      <c r="W143" s="2336"/>
      <c r="X143" s="2342"/>
      <c r="Y143" s="928"/>
      <c r="Z143" s="928"/>
      <c r="AA143" s="928"/>
      <c r="AB143" s="928"/>
      <c r="AC143" s="928"/>
      <c r="AD143" s="928"/>
      <c r="AE143" s="928"/>
      <c r="AF143" s="928"/>
      <c r="AG143" s="928"/>
      <c r="AH143" s="928"/>
      <c r="AI143" s="928"/>
      <c r="AJ143" s="928"/>
      <c r="AK143" s="928"/>
      <c r="AL143" s="928"/>
      <c r="AM143" s="928"/>
      <c r="AN143" s="928"/>
      <c r="AO143" s="928"/>
      <c r="AP143" s="928"/>
      <c r="AQ143" s="928"/>
      <c r="AR143" s="928"/>
      <c r="AS143" s="928"/>
      <c r="AT143" s="928"/>
      <c r="AU143" s="928"/>
      <c r="AV143" s="928"/>
      <c r="AW143" s="928"/>
      <c r="AX143" s="928"/>
      <c r="AY143" s="928"/>
      <c r="AZ143" s="928"/>
      <c r="BA143" s="928"/>
      <c r="BB143" s="928"/>
      <c r="BO143" s="657"/>
      <c r="BP143" s="657"/>
      <c r="BQ143" s="657"/>
      <c r="BR143" s="657"/>
      <c r="BS143" s="657"/>
      <c r="BT143" s="657"/>
    </row>
    <row r="144" spans="1:72" x14ac:dyDescent="0.2">
      <c r="A144" s="928"/>
      <c r="B144" s="928"/>
      <c r="C144" s="928"/>
      <c r="D144" s="928"/>
      <c r="E144" s="928"/>
      <c r="F144" s="2336"/>
      <c r="G144" s="928"/>
      <c r="H144" s="2342"/>
      <c r="I144" s="2342"/>
      <c r="J144" s="928"/>
      <c r="K144" s="2339"/>
      <c r="L144" s="928"/>
      <c r="M144" s="928"/>
      <c r="N144" s="2342"/>
      <c r="O144" s="928"/>
      <c r="P144" s="2343"/>
      <c r="Q144" s="2342"/>
      <c r="R144" s="2342"/>
      <c r="S144" s="2247"/>
      <c r="T144" s="2344"/>
      <c r="U144" s="2344"/>
      <c r="V144" s="2344"/>
      <c r="W144" s="2336"/>
      <c r="X144" s="2342"/>
      <c r="Y144" s="928"/>
      <c r="Z144" s="928"/>
      <c r="AA144" s="928"/>
      <c r="AB144" s="928"/>
      <c r="AC144" s="928"/>
      <c r="AD144" s="928"/>
      <c r="AE144" s="928"/>
      <c r="AF144" s="928"/>
      <c r="AG144" s="928"/>
      <c r="AH144" s="928"/>
      <c r="AI144" s="928"/>
      <c r="AJ144" s="928"/>
      <c r="AK144" s="928"/>
      <c r="AL144" s="928"/>
      <c r="AM144" s="928"/>
      <c r="AN144" s="928"/>
      <c r="AO144" s="928"/>
      <c r="AP144" s="928"/>
      <c r="AQ144" s="928"/>
      <c r="AR144" s="928"/>
      <c r="AS144" s="928"/>
      <c r="AT144" s="928"/>
      <c r="AU144" s="928"/>
      <c r="AV144" s="928"/>
      <c r="AW144" s="928"/>
      <c r="AX144" s="928"/>
      <c r="AY144" s="928"/>
      <c r="AZ144" s="928"/>
      <c r="BA144" s="928"/>
      <c r="BB144" s="928"/>
      <c r="BO144" s="657"/>
      <c r="BP144" s="657"/>
      <c r="BQ144" s="657"/>
      <c r="BR144" s="657"/>
      <c r="BS144" s="657"/>
      <c r="BT144" s="657"/>
    </row>
    <row r="145" spans="1:72" x14ac:dyDescent="0.2">
      <c r="A145" s="928"/>
      <c r="B145" s="928"/>
      <c r="C145" s="928"/>
      <c r="D145" s="928"/>
      <c r="E145" s="928"/>
      <c r="F145" s="2336"/>
      <c r="G145" s="928"/>
      <c r="H145" s="2342"/>
      <c r="I145" s="2342"/>
      <c r="J145" s="928"/>
      <c r="K145" s="2339"/>
      <c r="L145" s="928"/>
      <c r="M145" s="928"/>
      <c r="N145" s="2342"/>
      <c r="O145" s="928"/>
      <c r="P145" s="2343"/>
      <c r="Q145" s="2342"/>
      <c r="R145" s="2342"/>
      <c r="S145" s="2247"/>
      <c r="T145" s="2344"/>
      <c r="U145" s="2344"/>
      <c r="V145" s="2344"/>
      <c r="W145" s="2336"/>
      <c r="X145" s="2342"/>
      <c r="Y145" s="928"/>
      <c r="Z145" s="928"/>
      <c r="AA145" s="928"/>
      <c r="AB145" s="928"/>
      <c r="AC145" s="928"/>
      <c r="AD145" s="928"/>
      <c r="AE145" s="928"/>
      <c r="AF145" s="928"/>
      <c r="AG145" s="928"/>
      <c r="AH145" s="928"/>
      <c r="AI145" s="928"/>
      <c r="AJ145" s="928"/>
      <c r="AK145" s="928"/>
      <c r="AL145" s="928"/>
      <c r="AM145" s="928"/>
      <c r="AN145" s="928"/>
      <c r="AO145" s="928"/>
      <c r="AP145" s="928"/>
      <c r="AQ145" s="928"/>
      <c r="AR145" s="928"/>
      <c r="AS145" s="928"/>
      <c r="AT145" s="928"/>
      <c r="AU145" s="928"/>
      <c r="AV145" s="928"/>
      <c r="AW145" s="928"/>
      <c r="AX145" s="928"/>
      <c r="AY145" s="928"/>
      <c r="AZ145" s="928"/>
      <c r="BA145" s="928"/>
      <c r="BB145" s="928"/>
      <c r="BO145" s="657"/>
      <c r="BP145" s="657"/>
      <c r="BQ145" s="657"/>
      <c r="BR145" s="657"/>
      <c r="BS145" s="657"/>
      <c r="BT145" s="657"/>
    </row>
    <row r="146" spans="1:72" x14ac:dyDescent="0.2">
      <c r="A146" s="928"/>
      <c r="B146" s="928"/>
      <c r="C146" s="928"/>
      <c r="D146" s="928"/>
      <c r="E146" s="928"/>
      <c r="F146" s="2336"/>
      <c r="G146" s="928"/>
      <c r="H146" s="2342"/>
      <c r="I146" s="2342"/>
      <c r="J146" s="928"/>
      <c r="K146" s="2339"/>
      <c r="L146" s="928"/>
      <c r="M146" s="928"/>
      <c r="N146" s="2342"/>
      <c r="O146" s="928"/>
      <c r="P146" s="2343"/>
      <c r="Q146" s="2342"/>
      <c r="R146" s="2342"/>
      <c r="S146" s="2247"/>
      <c r="T146" s="2344"/>
      <c r="U146" s="2344"/>
      <c r="V146" s="2344"/>
      <c r="W146" s="2336"/>
      <c r="X146" s="2342"/>
      <c r="Y146" s="928"/>
      <c r="Z146" s="928"/>
      <c r="AA146" s="928"/>
      <c r="AB146" s="928"/>
      <c r="AC146" s="928"/>
      <c r="AD146" s="928"/>
      <c r="AE146" s="928"/>
      <c r="AF146" s="928"/>
      <c r="AG146" s="928"/>
      <c r="AH146" s="928"/>
      <c r="AI146" s="928"/>
      <c r="AJ146" s="928"/>
      <c r="AK146" s="928"/>
      <c r="AL146" s="928"/>
      <c r="AM146" s="928"/>
      <c r="AN146" s="928"/>
      <c r="AO146" s="928"/>
      <c r="AP146" s="928"/>
      <c r="AQ146" s="928"/>
      <c r="AR146" s="928"/>
      <c r="AS146" s="928"/>
      <c r="AT146" s="928"/>
      <c r="AU146" s="928"/>
      <c r="AV146" s="928"/>
      <c r="AW146" s="928"/>
      <c r="AX146" s="928"/>
      <c r="AY146" s="928"/>
      <c r="AZ146" s="928"/>
      <c r="BA146" s="928"/>
      <c r="BB146" s="928"/>
      <c r="BO146" s="657"/>
      <c r="BP146" s="657"/>
      <c r="BQ146" s="657"/>
      <c r="BR146" s="657"/>
      <c r="BS146" s="657"/>
      <c r="BT146" s="657"/>
    </row>
    <row r="147" spans="1:72" x14ac:dyDescent="0.2">
      <c r="A147" s="928"/>
      <c r="B147" s="928"/>
      <c r="C147" s="928"/>
      <c r="D147" s="928"/>
      <c r="E147" s="928"/>
      <c r="F147" s="2336"/>
      <c r="G147" s="928"/>
      <c r="H147" s="2342"/>
      <c r="I147" s="2342"/>
      <c r="J147" s="928"/>
      <c r="K147" s="2339"/>
      <c r="L147" s="928"/>
      <c r="M147" s="928"/>
      <c r="N147" s="2342"/>
      <c r="O147" s="928"/>
      <c r="P147" s="2343"/>
      <c r="Q147" s="2342"/>
      <c r="R147" s="2342"/>
      <c r="S147" s="2247"/>
      <c r="T147" s="2344"/>
      <c r="U147" s="2344"/>
      <c r="V147" s="2344"/>
      <c r="W147" s="2336"/>
      <c r="X147" s="2342"/>
      <c r="Y147" s="928"/>
      <c r="Z147" s="928"/>
      <c r="AA147" s="928"/>
      <c r="AB147" s="928"/>
      <c r="AC147" s="928"/>
      <c r="AD147" s="928"/>
      <c r="AE147" s="928"/>
      <c r="AF147" s="928"/>
      <c r="AG147" s="928"/>
      <c r="AH147" s="928"/>
      <c r="AI147" s="928"/>
      <c r="AJ147" s="928"/>
      <c r="AK147" s="928"/>
      <c r="AL147" s="928"/>
      <c r="AM147" s="928"/>
      <c r="AN147" s="928"/>
      <c r="AO147" s="928"/>
      <c r="AP147" s="928"/>
      <c r="AQ147" s="928"/>
      <c r="AR147" s="928"/>
      <c r="AS147" s="928"/>
      <c r="AT147" s="928"/>
      <c r="AU147" s="928"/>
      <c r="AV147" s="928"/>
      <c r="AW147" s="928"/>
      <c r="AX147" s="928"/>
      <c r="AY147" s="928"/>
      <c r="AZ147" s="928"/>
      <c r="BA147" s="928"/>
      <c r="BB147" s="928"/>
      <c r="BO147" s="657"/>
      <c r="BP147" s="657"/>
      <c r="BQ147" s="657"/>
      <c r="BR147" s="657"/>
      <c r="BS147" s="657"/>
      <c r="BT147" s="657"/>
    </row>
    <row r="148" spans="1:72" x14ac:dyDescent="0.2">
      <c r="A148" s="928"/>
      <c r="B148" s="928"/>
      <c r="C148" s="928"/>
      <c r="D148" s="928"/>
      <c r="E148" s="928"/>
      <c r="F148" s="2336"/>
      <c r="G148" s="928"/>
      <c r="H148" s="2342"/>
      <c r="I148" s="2342"/>
      <c r="J148" s="928"/>
      <c r="K148" s="2339"/>
      <c r="L148" s="928"/>
      <c r="M148" s="928"/>
      <c r="N148" s="2342"/>
      <c r="O148" s="928"/>
      <c r="P148" s="2343"/>
      <c r="Q148" s="2342"/>
      <c r="R148" s="2342"/>
      <c r="S148" s="2247"/>
      <c r="T148" s="2344"/>
      <c r="U148" s="2344"/>
      <c r="V148" s="2344"/>
      <c r="W148" s="2336"/>
      <c r="X148" s="2342"/>
      <c r="Y148" s="928"/>
      <c r="Z148" s="928"/>
      <c r="AA148" s="928"/>
      <c r="AB148" s="928"/>
      <c r="AC148" s="928"/>
      <c r="AD148" s="928"/>
      <c r="AE148" s="928"/>
      <c r="AF148" s="928"/>
      <c r="AG148" s="928"/>
      <c r="AH148" s="928"/>
      <c r="AI148" s="928"/>
      <c r="AJ148" s="928"/>
      <c r="AK148" s="928"/>
      <c r="AL148" s="928"/>
      <c r="AM148" s="928"/>
      <c r="AN148" s="928"/>
      <c r="AO148" s="928"/>
      <c r="AP148" s="928"/>
      <c r="AQ148" s="928"/>
      <c r="AR148" s="928"/>
      <c r="AS148" s="928"/>
      <c r="AT148" s="928"/>
      <c r="AU148" s="928"/>
      <c r="AV148" s="928"/>
      <c r="AW148" s="928"/>
      <c r="AX148" s="928"/>
      <c r="AY148" s="928"/>
      <c r="AZ148" s="928"/>
      <c r="BA148" s="928"/>
      <c r="BB148" s="928"/>
      <c r="BO148" s="657"/>
      <c r="BP148" s="657"/>
      <c r="BQ148" s="657"/>
      <c r="BR148" s="657"/>
      <c r="BS148" s="657"/>
      <c r="BT148" s="657"/>
    </row>
    <row r="149" spans="1:72" x14ac:dyDescent="0.2">
      <c r="A149" s="928"/>
      <c r="B149" s="928"/>
      <c r="C149" s="928"/>
      <c r="D149" s="928"/>
      <c r="E149" s="928"/>
      <c r="F149" s="2336"/>
      <c r="G149" s="928"/>
      <c r="H149" s="2342"/>
      <c r="I149" s="2342"/>
      <c r="J149" s="928"/>
      <c r="K149" s="2339"/>
      <c r="L149" s="928"/>
      <c r="M149" s="928"/>
      <c r="N149" s="2342"/>
      <c r="O149" s="928"/>
      <c r="P149" s="2343"/>
      <c r="Q149" s="2342"/>
      <c r="R149" s="2342"/>
      <c r="S149" s="2247"/>
      <c r="T149" s="2344"/>
      <c r="U149" s="2344"/>
      <c r="V149" s="2344"/>
      <c r="W149" s="2336"/>
      <c r="X149" s="2342"/>
      <c r="Y149" s="928"/>
      <c r="Z149" s="928"/>
      <c r="AA149" s="928"/>
      <c r="AB149" s="928"/>
      <c r="AC149" s="928"/>
      <c r="AD149" s="928"/>
      <c r="AE149" s="928"/>
      <c r="AF149" s="928"/>
      <c r="AG149" s="928"/>
      <c r="AH149" s="928"/>
      <c r="AI149" s="928"/>
      <c r="AJ149" s="928"/>
      <c r="AK149" s="928"/>
      <c r="AL149" s="928"/>
      <c r="AM149" s="928"/>
      <c r="AN149" s="928"/>
      <c r="AO149" s="928"/>
      <c r="AP149" s="928"/>
      <c r="AQ149" s="928"/>
      <c r="AR149" s="928"/>
      <c r="AS149" s="928"/>
      <c r="AT149" s="928"/>
      <c r="AU149" s="928"/>
      <c r="AV149" s="928"/>
      <c r="AW149" s="928"/>
      <c r="AX149" s="928"/>
      <c r="AY149" s="928"/>
      <c r="AZ149" s="928"/>
      <c r="BA149" s="928"/>
      <c r="BB149" s="928"/>
      <c r="BO149" s="657"/>
      <c r="BP149" s="657"/>
      <c r="BQ149" s="657"/>
      <c r="BR149" s="657"/>
      <c r="BS149" s="657"/>
      <c r="BT149" s="657"/>
    </row>
    <row r="150" spans="1:72" x14ac:dyDescent="0.2">
      <c r="A150" s="928"/>
      <c r="B150" s="928"/>
      <c r="C150" s="928"/>
      <c r="D150" s="928"/>
      <c r="E150" s="928"/>
      <c r="F150" s="2336"/>
      <c r="G150" s="928"/>
      <c r="H150" s="2342"/>
      <c r="I150" s="2342"/>
      <c r="J150" s="928"/>
      <c r="K150" s="2339"/>
      <c r="L150" s="928"/>
      <c r="M150" s="928"/>
      <c r="N150" s="2342"/>
      <c r="O150" s="928"/>
      <c r="P150" s="2343"/>
      <c r="Q150" s="2342"/>
      <c r="R150" s="2342"/>
      <c r="BO150" s="657"/>
      <c r="BP150" s="657"/>
      <c r="BQ150" s="657"/>
      <c r="BR150" s="657"/>
      <c r="BS150" s="657"/>
      <c r="BT150" s="657"/>
    </row>
    <row r="151" spans="1:72" x14ac:dyDescent="0.2">
      <c r="A151" s="928"/>
      <c r="B151" s="928"/>
      <c r="C151" s="928"/>
      <c r="D151" s="928"/>
      <c r="E151" s="928"/>
      <c r="F151" s="2336"/>
      <c r="G151" s="928"/>
      <c r="H151" s="2342"/>
      <c r="I151" s="2342"/>
      <c r="J151" s="928"/>
      <c r="K151" s="2339"/>
      <c r="L151" s="928"/>
      <c r="M151" s="928"/>
      <c r="N151" s="2342"/>
      <c r="O151" s="928"/>
      <c r="P151" s="2343"/>
      <c r="Q151" s="2342"/>
      <c r="R151" s="2342"/>
      <c r="BO151" s="657"/>
      <c r="BP151" s="657"/>
      <c r="BQ151" s="657"/>
      <c r="BR151" s="657"/>
      <c r="BS151" s="657"/>
      <c r="BT151" s="657"/>
    </row>
  </sheetData>
  <sheetProtection password="CBEB" sheet="1" objects="1" scenarios="1"/>
  <mergeCells count="890">
    <mergeCell ref="A1:BM5"/>
    <mergeCell ref="A6:J7"/>
    <mergeCell ref="N6:BO6"/>
    <mergeCell ref="N7:X7"/>
    <mergeCell ref="Y7:BC7"/>
    <mergeCell ref="BK7:BO7"/>
    <mergeCell ref="G8:G10"/>
    <mergeCell ref="H8:H10"/>
    <mergeCell ref="I8:I10"/>
    <mergeCell ref="J8:K9"/>
    <mergeCell ref="L8:L10"/>
    <mergeCell ref="M8:M10"/>
    <mergeCell ref="A8:A10"/>
    <mergeCell ref="B8:B10"/>
    <mergeCell ref="C8:C10"/>
    <mergeCell ref="D8:D10"/>
    <mergeCell ref="E8:E10"/>
    <mergeCell ref="F8:F10"/>
    <mergeCell ref="X8:X10"/>
    <mergeCell ref="Y8:AB8"/>
    <mergeCell ref="AC8:AJ8"/>
    <mergeCell ref="AK8:AV8"/>
    <mergeCell ref="Y9:Z9"/>
    <mergeCell ref="AA9:AB9"/>
    <mergeCell ref="AC9:AD9"/>
    <mergeCell ref="AE9:AF9"/>
    <mergeCell ref="N8:N10"/>
    <mergeCell ref="O8:O10"/>
    <mergeCell ref="P8:P10"/>
    <mergeCell ref="Q8:Q10"/>
    <mergeCell ref="R8:R10"/>
    <mergeCell ref="S8:S10"/>
    <mergeCell ref="AW8:BB8"/>
    <mergeCell ref="AS9:AT9"/>
    <mergeCell ref="AU9:AV9"/>
    <mergeCell ref="AW9:AX9"/>
    <mergeCell ref="AY9:AZ9"/>
    <mergeCell ref="BA9:BB9"/>
    <mergeCell ref="AG9:AH9"/>
    <mergeCell ref="AI9:AJ9"/>
    <mergeCell ref="AK9:AL9"/>
    <mergeCell ref="AM9:AN9"/>
    <mergeCell ref="AO9:AP9"/>
    <mergeCell ref="AQ9:AR9"/>
    <mergeCell ref="T8:V9"/>
    <mergeCell ref="W8:W10"/>
    <mergeCell ref="BC8:BD9"/>
    <mergeCell ref="BE8:BJ8"/>
    <mergeCell ref="BK8:BL9"/>
    <mergeCell ref="BM8:BN9"/>
    <mergeCell ref="BO8:BO10"/>
    <mergeCell ref="BF9:BF10"/>
    <mergeCell ref="BG9:BG10"/>
    <mergeCell ref="BH9:BH10"/>
    <mergeCell ref="BI9:BI10"/>
    <mergeCell ref="BJ9:BJ10"/>
    <mergeCell ref="BE9:BE10"/>
    <mergeCell ref="E14:F21"/>
    <mergeCell ref="G14:G17"/>
    <mergeCell ref="H14:H17"/>
    <mergeCell ref="I14:I17"/>
    <mergeCell ref="J14:J17"/>
    <mergeCell ref="K14:K17"/>
    <mergeCell ref="L14:L21"/>
    <mergeCell ref="M14:M21"/>
    <mergeCell ref="N14:N21"/>
    <mergeCell ref="AC14:AC21"/>
    <mergeCell ref="AD14:AD21"/>
    <mergeCell ref="AE14:AE21"/>
    <mergeCell ref="AF14:AF21"/>
    <mergeCell ref="O14:O17"/>
    <mergeCell ref="P14:P21"/>
    <mergeCell ref="Q14:Q21"/>
    <mergeCell ref="R14:R17"/>
    <mergeCell ref="Y14:Y21"/>
    <mergeCell ref="Z14:Z21"/>
    <mergeCell ref="O18:O21"/>
    <mergeCell ref="R18:R21"/>
    <mergeCell ref="BN14:BN21"/>
    <mergeCell ref="BO14:BO21"/>
    <mergeCell ref="G18:G21"/>
    <mergeCell ref="H18:H21"/>
    <mergeCell ref="I18:I21"/>
    <mergeCell ref="J18:J21"/>
    <mergeCell ref="K18:K21"/>
    <mergeCell ref="BE14:BE21"/>
    <mergeCell ref="BF14:BF21"/>
    <mergeCell ref="BG14:BG21"/>
    <mergeCell ref="BH14:BH21"/>
    <mergeCell ref="BI14:BI21"/>
    <mergeCell ref="BJ14:BJ21"/>
    <mergeCell ref="AY14:AY21"/>
    <mergeCell ref="AZ14:AZ21"/>
    <mergeCell ref="BA14:BA21"/>
    <mergeCell ref="BB14:BB21"/>
    <mergeCell ref="BC14:BC21"/>
    <mergeCell ref="BD14:BD21"/>
    <mergeCell ref="AS14:AS21"/>
    <mergeCell ref="AT14:AT21"/>
    <mergeCell ref="AU14:AU21"/>
    <mergeCell ref="AV14:AV21"/>
    <mergeCell ref="AW14:AW21"/>
    <mergeCell ref="G24:G30"/>
    <mergeCell ref="H24:H30"/>
    <mergeCell ref="I24:I30"/>
    <mergeCell ref="J24:J30"/>
    <mergeCell ref="K24:K30"/>
    <mergeCell ref="L24:L30"/>
    <mergeCell ref="BK14:BK21"/>
    <mergeCell ref="BL14:BL21"/>
    <mergeCell ref="BM14:BM21"/>
    <mergeCell ref="AX14:AX21"/>
    <mergeCell ref="AM14:AM21"/>
    <mergeCell ref="AN14:AN21"/>
    <mergeCell ref="AO14:AO21"/>
    <mergeCell ref="AP14:AP21"/>
    <mergeCell ref="AQ14:AQ21"/>
    <mergeCell ref="AR14:AR21"/>
    <mergeCell ref="AG14:AG21"/>
    <mergeCell ref="AH14:AH21"/>
    <mergeCell ref="AI14:AI21"/>
    <mergeCell ref="AJ14:AJ21"/>
    <mergeCell ref="AK14:AK21"/>
    <mergeCell ref="AL14:AL21"/>
    <mergeCell ref="AA14:AA21"/>
    <mergeCell ref="AB14:AB21"/>
    <mergeCell ref="Y24:Y30"/>
    <mergeCell ref="Z24:Z30"/>
    <mergeCell ref="AA24:AA30"/>
    <mergeCell ref="AB24:AB30"/>
    <mergeCell ref="AC24:AC30"/>
    <mergeCell ref="AD24:AD30"/>
    <mergeCell ref="M24:M30"/>
    <mergeCell ref="N24:N30"/>
    <mergeCell ref="O24:O30"/>
    <mergeCell ref="P24:P30"/>
    <mergeCell ref="Q24:Q30"/>
    <mergeCell ref="R24:R28"/>
    <mergeCell ref="AK24:AK30"/>
    <mergeCell ref="AL24:AL30"/>
    <mergeCell ref="AM24:AM30"/>
    <mergeCell ref="AN24:AN30"/>
    <mergeCell ref="AO24:AO30"/>
    <mergeCell ref="AP24:AP30"/>
    <mergeCell ref="AE24:AE30"/>
    <mergeCell ref="AF24:AF30"/>
    <mergeCell ref="AG24:AG30"/>
    <mergeCell ref="AH24:AH30"/>
    <mergeCell ref="AI24:AI30"/>
    <mergeCell ref="AJ24:AJ30"/>
    <mergeCell ref="AY24:AY30"/>
    <mergeCell ref="AZ24:AZ30"/>
    <mergeCell ref="BA24:BA30"/>
    <mergeCell ref="BB24:BB30"/>
    <mergeCell ref="AQ24:AQ30"/>
    <mergeCell ref="AR24:AR30"/>
    <mergeCell ref="AS24:AS30"/>
    <mergeCell ref="AT24:AT30"/>
    <mergeCell ref="AU24:AU30"/>
    <mergeCell ref="AV24:AV30"/>
    <mergeCell ref="BO24:BO30"/>
    <mergeCell ref="R29:R30"/>
    <mergeCell ref="G32:G38"/>
    <mergeCell ref="H32:H38"/>
    <mergeCell ref="I32:I38"/>
    <mergeCell ref="J32:J38"/>
    <mergeCell ref="K32:K38"/>
    <mergeCell ref="L32:L44"/>
    <mergeCell ref="M32:M44"/>
    <mergeCell ref="N32:N44"/>
    <mergeCell ref="BI24:BI30"/>
    <mergeCell ref="BJ24:BJ30"/>
    <mergeCell ref="BK24:BK30"/>
    <mergeCell ref="BL24:BL30"/>
    <mergeCell ref="BM24:BM30"/>
    <mergeCell ref="BN24:BN30"/>
    <mergeCell ref="BC24:BC30"/>
    <mergeCell ref="BD24:BD30"/>
    <mergeCell ref="BE24:BE30"/>
    <mergeCell ref="BF24:BF30"/>
    <mergeCell ref="BG24:BG30"/>
    <mergeCell ref="BH24:BH30"/>
    <mergeCell ref="AW24:AW30"/>
    <mergeCell ref="AX24:AX30"/>
    <mergeCell ref="Y32:Y44"/>
    <mergeCell ref="Z32:Z44"/>
    <mergeCell ref="AA32:AA44"/>
    <mergeCell ref="AB32:AB44"/>
    <mergeCell ref="AC32:AC44"/>
    <mergeCell ref="AD32:AD44"/>
    <mergeCell ref="O32:O38"/>
    <mergeCell ref="P32:P44"/>
    <mergeCell ref="Q32:Q44"/>
    <mergeCell ref="R32:R38"/>
    <mergeCell ref="W32:W44"/>
    <mergeCell ref="X32:X44"/>
    <mergeCell ref="AK32:AK44"/>
    <mergeCell ref="AL32:AL44"/>
    <mergeCell ref="AM32:AM44"/>
    <mergeCell ref="AN32:AN44"/>
    <mergeCell ref="AO32:AO44"/>
    <mergeCell ref="AP32:AP44"/>
    <mergeCell ref="AE32:AE44"/>
    <mergeCell ref="AF32:AF44"/>
    <mergeCell ref="AG32:AG44"/>
    <mergeCell ref="AH32:AH44"/>
    <mergeCell ref="AI32:AI44"/>
    <mergeCell ref="AJ32:AJ44"/>
    <mergeCell ref="AY32:AY44"/>
    <mergeCell ref="AZ32:AZ44"/>
    <mergeCell ref="BA32:BA44"/>
    <mergeCell ref="BB32:BB44"/>
    <mergeCell ref="AQ32:AQ44"/>
    <mergeCell ref="AR32:AR44"/>
    <mergeCell ref="AS32:AS44"/>
    <mergeCell ref="AT32:AT44"/>
    <mergeCell ref="AU32:AU44"/>
    <mergeCell ref="AV32:AV44"/>
    <mergeCell ref="BO32:BO44"/>
    <mergeCell ref="G39:G41"/>
    <mergeCell ref="H39:H41"/>
    <mergeCell ref="I39:I41"/>
    <mergeCell ref="J39:J41"/>
    <mergeCell ref="K39:K41"/>
    <mergeCell ref="O39:O41"/>
    <mergeCell ref="R39:R41"/>
    <mergeCell ref="G42:G44"/>
    <mergeCell ref="H42:H44"/>
    <mergeCell ref="BI32:BI44"/>
    <mergeCell ref="BJ32:BJ44"/>
    <mergeCell ref="BK32:BK44"/>
    <mergeCell ref="BL32:BL44"/>
    <mergeCell ref="BM32:BM44"/>
    <mergeCell ref="BN32:BN44"/>
    <mergeCell ref="BC32:BC44"/>
    <mergeCell ref="BD32:BD44"/>
    <mergeCell ref="BE32:BE44"/>
    <mergeCell ref="BF32:BF44"/>
    <mergeCell ref="BG32:BG44"/>
    <mergeCell ref="BH32:BH44"/>
    <mergeCell ref="AW32:AW44"/>
    <mergeCell ref="AX32:AX44"/>
    <mergeCell ref="I42:I44"/>
    <mergeCell ref="J42:J44"/>
    <mergeCell ref="K42:K44"/>
    <mergeCell ref="O42:O44"/>
    <mergeCell ref="R42:R44"/>
    <mergeCell ref="G46:G51"/>
    <mergeCell ref="H46:H51"/>
    <mergeCell ref="I46:I51"/>
    <mergeCell ref="J46:J51"/>
    <mergeCell ref="K46:K51"/>
    <mergeCell ref="R46:R51"/>
    <mergeCell ref="W46:W57"/>
    <mergeCell ref="X46:X57"/>
    <mergeCell ref="Y46:Y57"/>
    <mergeCell ref="Z46:Z57"/>
    <mergeCell ref="AA46:AA57"/>
    <mergeCell ref="R52:R54"/>
    <mergeCell ref="R55:R57"/>
    <mergeCell ref="L46:L57"/>
    <mergeCell ref="M46:M57"/>
    <mergeCell ref="N46:N57"/>
    <mergeCell ref="O46:O51"/>
    <mergeCell ref="P46:P57"/>
    <mergeCell ref="Q46:Q57"/>
    <mergeCell ref="O55:O57"/>
    <mergeCell ref="AH46:AH57"/>
    <mergeCell ref="AI46:AI57"/>
    <mergeCell ref="AJ46:AJ57"/>
    <mergeCell ref="AK46:AK57"/>
    <mergeCell ref="AL46:AL57"/>
    <mergeCell ref="AM46:AM57"/>
    <mergeCell ref="AB46:AB57"/>
    <mergeCell ref="AC46:AC57"/>
    <mergeCell ref="AD46:AD57"/>
    <mergeCell ref="AE46:AE57"/>
    <mergeCell ref="AF46:AF57"/>
    <mergeCell ref="AG46:AG57"/>
    <mergeCell ref="AV46:AV57"/>
    <mergeCell ref="AW46:AW57"/>
    <mergeCell ref="AX46:AX57"/>
    <mergeCell ref="AY46:AY57"/>
    <mergeCell ref="AN46:AN57"/>
    <mergeCell ref="AO46:AO57"/>
    <mergeCell ref="AP46:AP57"/>
    <mergeCell ref="AQ46:AQ57"/>
    <mergeCell ref="AR46:AR57"/>
    <mergeCell ref="AS46:AS57"/>
    <mergeCell ref="BL46:BL57"/>
    <mergeCell ref="BM46:BM57"/>
    <mergeCell ref="BN46:BN57"/>
    <mergeCell ref="BO46:BO57"/>
    <mergeCell ref="G52:G54"/>
    <mergeCell ref="H52:H54"/>
    <mergeCell ref="I52:I54"/>
    <mergeCell ref="J52:J54"/>
    <mergeCell ref="K52:K54"/>
    <mergeCell ref="O52:O54"/>
    <mergeCell ref="BF46:BF57"/>
    <mergeCell ref="BG46:BG57"/>
    <mergeCell ref="BH46:BH57"/>
    <mergeCell ref="BI46:BI57"/>
    <mergeCell ref="BJ46:BJ57"/>
    <mergeCell ref="BK46:BK57"/>
    <mergeCell ref="AZ46:AZ57"/>
    <mergeCell ref="BA46:BA57"/>
    <mergeCell ref="BB46:BB57"/>
    <mergeCell ref="BC46:BC57"/>
    <mergeCell ref="BD46:BD57"/>
    <mergeCell ref="BE46:BE57"/>
    <mergeCell ref="AT46:AT57"/>
    <mergeCell ref="AU46:AU57"/>
    <mergeCell ref="G59:G75"/>
    <mergeCell ref="H59:H75"/>
    <mergeCell ref="I59:I75"/>
    <mergeCell ref="J59:J75"/>
    <mergeCell ref="K59:K75"/>
    <mergeCell ref="L59:L75"/>
    <mergeCell ref="G55:G57"/>
    <mergeCell ref="H55:H57"/>
    <mergeCell ref="I55:I57"/>
    <mergeCell ref="J55:J57"/>
    <mergeCell ref="K55:K57"/>
    <mergeCell ref="W59:W75"/>
    <mergeCell ref="X59:X75"/>
    <mergeCell ref="Y59:Y75"/>
    <mergeCell ref="Z59:Z75"/>
    <mergeCell ref="AA59:AA75"/>
    <mergeCell ref="AB59:AB75"/>
    <mergeCell ref="M59:M75"/>
    <mergeCell ref="N59:N75"/>
    <mergeCell ref="O59:O75"/>
    <mergeCell ref="P59:P75"/>
    <mergeCell ref="Q59:Q75"/>
    <mergeCell ref="R59:R62"/>
    <mergeCell ref="AI59:AI75"/>
    <mergeCell ref="AJ59:AJ75"/>
    <mergeCell ref="AK59:AK75"/>
    <mergeCell ref="AL59:AL75"/>
    <mergeCell ref="AM59:AM75"/>
    <mergeCell ref="AN59:AN75"/>
    <mergeCell ref="AC59:AC75"/>
    <mergeCell ref="AD59:AD75"/>
    <mergeCell ref="AE59:AE75"/>
    <mergeCell ref="AF59:AF75"/>
    <mergeCell ref="AG59:AG75"/>
    <mergeCell ref="AH59:AH75"/>
    <mergeCell ref="AW59:AW75"/>
    <mergeCell ref="AX59:AX75"/>
    <mergeCell ref="AY59:AY75"/>
    <mergeCell ref="AZ59:AZ75"/>
    <mergeCell ref="AO59:AO75"/>
    <mergeCell ref="AP59:AP75"/>
    <mergeCell ref="AQ59:AQ75"/>
    <mergeCell ref="AR59:AR75"/>
    <mergeCell ref="AS59:AS75"/>
    <mergeCell ref="AT59:AT75"/>
    <mergeCell ref="BM59:BM75"/>
    <mergeCell ref="BN59:BN75"/>
    <mergeCell ref="BO59:BO75"/>
    <mergeCell ref="R63:R75"/>
    <mergeCell ref="G78:G94"/>
    <mergeCell ref="H78:H94"/>
    <mergeCell ref="I78:I94"/>
    <mergeCell ref="J78:J94"/>
    <mergeCell ref="K78:K94"/>
    <mergeCell ref="L78:L94"/>
    <mergeCell ref="BG59:BG75"/>
    <mergeCell ref="BH59:BH75"/>
    <mergeCell ref="BI59:BI75"/>
    <mergeCell ref="BJ59:BJ75"/>
    <mergeCell ref="BK59:BK75"/>
    <mergeCell ref="BL59:BL75"/>
    <mergeCell ref="BA59:BA75"/>
    <mergeCell ref="BB59:BB75"/>
    <mergeCell ref="BC59:BC75"/>
    <mergeCell ref="BD59:BD75"/>
    <mergeCell ref="BE59:BE75"/>
    <mergeCell ref="BF59:BF75"/>
    <mergeCell ref="AU59:AU75"/>
    <mergeCell ref="AV59:AV75"/>
    <mergeCell ref="W78:W94"/>
    <mergeCell ref="X78:X94"/>
    <mergeCell ref="Y78:Y94"/>
    <mergeCell ref="Z78:Z94"/>
    <mergeCell ref="AA78:AA94"/>
    <mergeCell ref="AB78:AB94"/>
    <mergeCell ref="M78:M94"/>
    <mergeCell ref="N78:N94"/>
    <mergeCell ref="O78:O94"/>
    <mergeCell ref="P78:P94"/>
    <mergeCell ref="Q78:Q94"/>
    <mergeCell ref="R78:R88"/>
    <mergeCell ref="AI78:AI94"/>
    <mergeCell ref="AJ78:AJ94"/>
    <mergeCell ref="AK78:AK94"/>
    <mergeCell ref="AL78:AL94"/>
    <mergeCell ref="AM78:AM94"/>
    <mergeCell ref="AN78:AN94"/>
    <mergeCell ref="AC78:AC94"/>
    <mergeCell ref="AD78:AD94"/>
    <mergeCell ref="AE78:AE94"/>
    <mergeCell ref="AF78:AF94"/>
    <mergeCell ref="AG78:AG94"/>
    <mergeCell ref="AH78:AH94"/>
    <mergeCell ref="AW78:AW94"/>
    <mergeCell ref="AX78:AX94"/>
    <mergeCell ref="AY78:AY94"/>
    <mergeCell ref="AZ78:AZ94"/>
    <mergeCell ref="AO78:AO94"/>
    <mergeCell ref="AP78:AP94"/>
    <mergeCell ref="AQ78:AQ94"/>
    <mergeCell ref="AR78:AR94"/>
    <mergeCell ref="AS78:AS94"/>
    <mergeCell ref="AT78:AT94"/>
    <mergeCell ref="BM78:BM94"/>
    <mergeCell ref="BN78:BN94"/>
    <mergeCell ref="BO78:BO94"/>
    <mergeCell ref="R89:R94"/>
    <mergeCell ref="G95:G98"/>
    <mergeCell ref="H95:H98"/>
    <mergeCell ref="I95:I98"/>
    <mergeCell ref="J95:J98"/>
    <mergeCell ref="K95:K98"/>
    <mergeCell ref="L95:L98"/>
    <mergeCell ref="BG78:BG94"/>
    <mergeCell ref="BH78:BH94"/>
    <mergeCell ref="BI78:BI94"/>
    <mergeCell ref="BJ78:BJ94"/>
    <mergeCell ref="BK78:BK94"/>
    <mergeCell ref="BL78:BL94"/>
    <mergeCell ref="BA78:BA94"/>
    <mergeCell ref="BB78:BB94"/>
    <mergeCell ref="BC78:BC94"/>
    <mergeCell ref="BD78:BD94"/>
    <mergeCell ref="BE78:BE94"/>
    <mergeCell ref="BF78:BF94"/>
    <mergeCell ref="AU78:AU94"/>
    <mergeCell ref="AV78:AV94"/>
    <mergeCell ref="W95:W98"/>
    <mergeCell ref="X95:X98"/>
    <mergeCell ref="Y95:Y96"/>
    <mergeCell ref="Z95:Z96"/>
    <mergeCell ref="AA95:AA96"/>
    <mergeCell ref="AB95:AB96"/>
    <mergeCell ref="M95:M98"/>
    <mergeCell ref="N95:N98"/>
    <mergeCell ref="O95:O98"/>
    <mergeCell ref="P95:P98"/>
    <mergeCell ref="Q95:Q98"/>
    <mergeCell ref="R95:R98"/>
    <mergeCell ref="AI95:AI96"/>
    <mergeCell ref="AJ95:AJ96"/>
    <mergeCell ref="AK95:AK96"/>
    <mergeCell ref="AL95:AL96"/>
    <mergeCell ref="AM95:AM96"/>
    <mergeCell ref="AN95:AN96"/>
    <mergeCell ref="AC95:AC96"/>
    <mergeCell ref="AD95:AD96"/>
    <mergeCell ref="AE95:AE96"/>
    <mergeCell ref="AF95:AF96"/>
    <mergeCell ref="AG95:AG96"/>
    <mergeCell ref="AH95:AH96"/>
    <mergeCell ref="BE95:BE96"/>
    <mergeCell ref="BF95:BF96"/>
    <mergeCell ref="AU95:AU96"/>
    <mergeCell ref="AV95:AV96"/>
    <mergeCell ref="AW95:AW96"/>
    <mergeCell ref="AX95:AX96"/>
    <mergeCell ref="AY95:AY96"/>
    <mergeCell ref="AZ95:AZ96"/>
    <mergeCell ref="AO95:AO96"/>
    <mergeCell ref="AP95:AP96"/>
    <mergeCell ref="AQ95:AQ96"/>
    <mergeCell ref="AR95:AR96"/>
    <mergeCell ref="AS95:AS96"/>
    <mergeCell ref="AT95:AT96"/>
    <mergeCell ref="AI97:AI98"/>
    <mergeCell ref="AJ97:AJ98"/>
    <mergeCell ref="AK97:AK98"/>
    <mergeCell ref="BM95:BM98"/>
    <mergeCell ref="BN95:BN98"/>
    <mergeCell ref="BO95:BO98"/>
    <mergeCell ref="Y97:Y98"/>
    <mergeCell ref="Z97:Z98"/>
    <mergeCell ref="AA97:AA98"/>
    <mergeCell ref="AB97:AB98"/>
    <mergeCell ref="AC97:AC98"/>
    <mergeCell ref="AD97:AD98"/>
    <mergeCell ref="AE97:AE98"/>
    <mergeCell ref="BG95:BG96"/>
    <mergeCell ref="BH95:BH96"/>
    <mergeCell ref="BI95:BI96"/>
    <mergeCell ref="BJ95:BJ96"/>
    <mergeCell ref="BK95:BK98"/>
    <mergeCell ref="BL95:BL98"/>
    <mergeCell ref="BJ97:BJ98"/>
    <mergeCell ref="BA95:BA96"/>
    <mergeCell ref="BB95:BB96"/>
    <mergeCell ref="BC95:BC96"/>
    <mergeCell ref="BD95:BD96"/>
    <mergeCell ref="BG97:BG98"/>
    <mergeCell ref="BH97:BH98"/>
    <mergeCell ref="BI97:BI98"/>
    <mergeCell ref="AX97:AX98"/>
    <mergeCell ref="AY97:AY98"/>
    <mergeCell ref="AZ97:AZ98"/>
    <mergeCell ref="BA97:BA98"/>
    <mergeCell ref="BB97:BB98"/>
    <mergeCell ref="BC97:BC98"/>
    <mergeCell ref="G100:G102"/>
    <mergeCell ref="H100:H102"/>
    <mergeCell ref="I100:I102"/>
    <mergeCell ref="J100:J102"/>
    <mergeCell ref="K100:K102"/>
    <mergeCell ref="L100:L102"/>
    <mergeCell ref="BD97:BD98"/>
    <mergeCell ref="BE97:BE98"/>
    <mergeCell ref="BF97:BF98"/>
    <mergeCell ref="AR97:AR98"/>
    <mergeCell ref="AS97:AS98"/>
    <mergeCell ref="AT97:AT98"/>
    <mergeCell ref="AU97:AU98"/>
    <mergeCell ref="AV97:AV98"/>
    <mergeCell ref="AW97:AW98"/>
    <mergeCell ref="AL97:AL98"/>
    <mergeCell ref="AM97:AM98"/>
    <mergeCell ref="AN97:AN98"/>
    <mergeCell ref="AO97:AO98"/>
    <mergeCell ref="AP97:AP98"/>
    <mergeCell ref="AQ97:AQ98"/>
    <mergeCell ref="AF97:AF98"/>
    <mergeCell ref="AG97:AG98"/>
    <mergeCell ref="AH97:AH98"/>
    <mergeCell ref="W100:W102"/>
    <mergeCell ref="X100:X102"/>
    <mergeCell ref="Y100:Y102"/>
    <mergeCell ref="Z100:Z102"/>
    <mergeCell ref="AA100:AA102"/>
    <mergeCell ref="AB100:AB102"/>
    <mergeCell ref="M100:M102"/>
    <mergeCell ref="N100:N102"/>
    <mergeCell ref="O100:O102"/>
    <mergeCell ref="P100:P102"/>
    <mergeCell ref="Q100:Q102"/>
    <mergeCell ref="R100:R101"/>
    <mergeCell ref="AI100:AI102"/>
    <mergeCell ref="AJ100:AJ102"/>
    <mergeCell ref="AK100:AK102"/>
    <mergeCell ref="AL100:AL102"/>
    <mergeCell ref="AM100:AM102"/>
    <mergeCell ref="AN100:AN102"/>
    <mergeCell ref="AC100:AC102"/>
    <mergeCell ref="AD100:AD102"/>
    <mergeCell ref="AE100:AE102"/>
    <mergeCell ref="AF100:AF102"/>
    <mergeCell ref="AG100:AG102"/>
    <mergeCell ref="AH100:AH102"/>
    <mergeCell ref="AW100:AW102"/>
    <mergeCell ref="AX100:AX102"/>
    <mergeCell ref="AY100:AY102"/>
    <mergeCell ref="AZ100:AZ102"/>
    <mergeCell ref="AO100:AO102"/>
    <mergeCell ref="AP100:AP102"/>
    <mergeCell ref="AQ100:AQ102"/>
    <mergeCell ref="AR100:AR102"/>
    <mergeCell ref="AS100:AS102"/>
    <mergeCell ref="AT100:AT102"/>
    <mergeCell ref="BM100:BM102"/>
    <mergeCell ref="BN100:BN102"/>
    <mergeCell ref="BO100:BO102"/>
    <mergeCell ref="G103:G104"/>
    <mergeCell ref="H103:H104"/>
    <mergeCell ref="I103:I104"/>
    <mergeCell ref="J103:J104"/>
    <mergeCell ref="K103:K104"/>
    <mergeCell ref="L103:L104"/>
    <mergeCell ref="M103:M104"/>
    <mergeCell ref="BG100:BG102"/>
    <mergeCell ref="BH100:BH102"/>
    <mergeCell ref="BI100:BI102"/>
    <mergeCell ref="BJ100:BJ102"/>
    <mergeCell ref="BK100:BK102"/>
    <mergeCell ref="BL100:BL102"/>
    <mergeCell ref="BA100:BA102"/>
    <mergeCell ref="BB100:BB102"/>
    <mergeCell ref="BC100:BC102"/>
    <mergeCell ref="BD100:BD102"/>
    <mergeCell ref="BE100:BE102"/>
    <mergeCell ref="BF100:BF102"/>
    <mergeCell ref="AU100:AU102"/>
    <mergeCell ref="AV100:AV102"/>
    <mergeCell ref="Y103:Y104"/>
    <mergeCell ref="Z103:Z104"/>
    <mergeCell ref="AA103:AA104"/>
    <mergeCell ref="AB103:AB104"/>
    <mergeCell ref="AC103:AC104"/>
    <mergeCell ref="AD103:AD104"/>
    <mergeCell ref="N103:N104"/>
    <mergeCell ref="O103:O104"/>
    <mergeCell ref="P103:P104"/>
    <mergeCell ref="Q103:Q104"/>
    <mergeCell ref="W103:W104"/>
    <mergeCell ref="X103:X104"/>
    <mergeCell ref="AK103:AK104"/>
    <mergeCell ref="AL103:AL104"/>
    <mergeCell ref="AM103:AM104"/>
    <mergeCell ref="AN103:AN104"/>
    <mergeCell ref="AO103:AO104"/>
    <mergeCell ref="AP103:AP104"/>
    <mergeCell ref="AE103:AE104"/>
    <mergeCell ref="AF103:AF104"/>
    <mergeCell ref="AG103:AG104"/>
    <mergeCell ref="AH103:AH104"/>
    <mergeCell ref="AI103:AI104"/>
    <mergeCell ref="AJ103:AJ104"/>
    <mergeCell ref="AY103:AY104"/>
    <mergeCell ref="AZ103:AZ104"/>
    <mergeCell ref="BA103:BA104"/>
    <mergeCell ref="BB103:BB104"/>
    <mergeCell ref="AQ103:AQ104"/>
    <mergeCell ref="AR103:AR104"/>
    <mergeCell ref="AS103:AS104"/>
    <mergeCell ref="AT103:AT104"/>
    <mergeCell ref="AU103:AU104"/>
    <mergeCell ref="AV103:AV104"/>
    <mergeCell ref="BO103:BO104"/>
    <mergeCell ref="G106:G108"/>
    <mergeCell ref="H106:H108"/>
    <mergeCell ref="I106:I108"/>
    <mergeCell ref="J106:J108"/>
    <mergeCell ref="K106:K108"/>
    <mergeCell ref="L106:L108"/>
    <mergeCell ref="M106:M108"/>
    <mergeCell ref="N106:N108"/>
    <mergeCell ref="O106:O108"/>
    <mergeCell ref="BI103:BI104"/>
    <mergeCell ref="BJ103:BJ104"/>
    <mergeCell ref="BK103:BK104"/>
    <mergeCell ref="BL103:BL104"/>
    <mergeCell ref="BM103:BM104"/>
    <mergeCell ref="BN103:BN104"/>
    <mergeCell ref="BC103:BC104"/>
    <mergeCell ref="BD103:BD104"/>
    <mergeCell ref="BE103:BE104"/>
    <mergeCell ref="BF103:BF104"/>
    <mergeCell ref="BG103:BG104"/>
    <mergeCell ref="BH103:BH104"/>
    <mergeCell ref="AW103:AW104"/>
    <mergeCell ref="AX103:AX104"/>
    <mergeCell ref="Z106:Z108"/>
    <mergeCell ref="AA106:AA108"/>
    <mergeCell ref="AB106:AB108"/>
    <mergeCell ref="AC106:AC108"/>
    <mergeCell ref="AD106:AD108"/>
    <mergeCell ref="AE106:AE108"/>
    <mergeCell ref="P106:P108"/>
    <mergeCell ref="Q106:Q108"/>
    <mergeCell ref="R106:R107"/>
    <mergeCell ref="W106:W108"/>
    <mergeCell ref="X106:X108"/>
    <mergeCell ref="Y106:Y108"/>
    <mergeCell ref="AO106:AO108"/>
    <mergeCell ref="AP106:AP108"/>
    <mergeCell ref="AQ106:AQ108"/>
    <mergeCell ref="AF106:AF108"/>
    <mergeCell ref="AG106:AG108"/>
    <mergeCell ref="AH106:AH108"/>
    <mergeCell ref="AI106:AI108"/>
    <mergeCell ref="AJ106:AJ108"/>
    <mergeCell ref="AK106:AK108"/>
    <mergeCell ref="BM106:BM108"/>
    <mergeCell ref="BN106:BN108"/>
    <mergeCell ref="BO106:BO108"/>
    <mergeCell ref="BD106:BD108"/>
    <mergeCell ref="BE106:BE108"/>
    <mergeCell ref="BF106:BF108"/>
    <mergeCell ref="BG106:BG108"/>
    <mergeCell ref="BH106:BH108"/>
    <mergeCell ref="BI106:BI108"/>
    <mergeCell ref="G110:G113"/>
    <mergeCell ref="H110:H113"/>
    <mergeCell ref="I110:I113"/>
    <mergeCell ref="J110:J113"/>
    <mergeCell ref="K110:K113"/>
    <mergeCell ref="L110:L113"/>
    <mergeCell ref="BJ106:BJ108"/>
    <mergeCell ref="BK106:BK108"/>
    <mergeCell ref="BL106:BL108"/>
    <mergeCell ref="AX106:AX108"/>
    <mergeCell ref="AY106:AY108"/>
    <mergeCell ref="AZ106:AZ108"/>
    <mergeCell ref="BA106:BA108"/>
    <mergeCell ref="BB106:BB108"/>
    <mergeCell ref="BC106:BC108"/>
    <mergeCell ref="AR106:AR108"/>
    <mergeCell ref="AS106:AS108"/>
    <mergeCell ref="AT106:AT108"/>
    <mergeCell ref="AU106:AU108"/>
    <mergeCell ref="AV106:AV108"/>
    <mergeCell ref="AW106:AW108"/>
    <mergeCell ref="AL106:AL108"/>
    <mergeCell ref="AM106:AM108"/>
    <mergeCell ref="AN106:AN108"/>
    <mergeCell ref="W110:W113"/>
    <mergeCell ref="X110:X113"/>
    <mergeCell ref="Y110:Y113"/>
    <mergeCell ref="Z110:Z113"/>
    <mergeCell ref="AA110:AA113"/>
    <mergeCell ref="AB110:AB113"/>
    <mergeCell ref="M110:M113"/>
    <mergeCell ref="N110:N113"/>
    <mergeCell ref="O110:O113"/>
    <mergeCell ref="P110:P113"/>
    <mergeCell ref="Q110:Q113"/>
    <mergeCell ref="R110:R111"/>
    <mergeCell ref="AI110:AI113"/>
    <mergeCell ref="AJ110:AJ113"/>
    <mergeCell ref="AK110:AK113"/>
    <mergeCell ref="AL110:AL113"/>
    <mergeCell ref="AM110:AM113"/>
    <mergeCell ref="AN110:AN113"/>
    <mergeCell ref="AC110:AC113"/>
    <mergeCell ref="AD110:AD113"/>
    <mergeCell ref="AE110:AE113"/>
    <mergeCell ref="AF110:AF113"/>
    <mergeCell ref="AG110:AG113"/>
    <mergeCell ref="AH110:AH113"/>
    <mergeCell ref="AW110:AW113"/>
    <mergeCell ref="AX110:AX113"/>
    <mergeCell ref="AY110:AY113"/>
    <mergeCell ref="AZ110:AZ113"/>
    <mergeCell ref="AO110:AO113"/>
    <mergeCell ref="AP110:AP113"/>
    <mergeCell ref="AQ110:AQ113"/>
    <mergeCell ref="AR110:AR113"/>
    <mergeCell ref="AS110:AS113"/>
    <mergeCell ref="AT110:AT113"/>
    <mergeCell ref="BM110:BM113"/>
    <mergeCell ref="BN110:BN113"/>
    <mergeCell ref="BO110:BO113"/>
    <mergeCell ref="R112:R113"/>
    <mergeCell ref="G115:G121"/>
    <mergeCell ref="H115:H121"/>
    <mergeCell ref="I115:I121"/>
    <mergeCell ref="J115:J121"/>
    <mergeCell ref="K115:K121"/>
    <mergeCell ref="M115:M121"/>
    <mergeCell ref="BG110:BG113"/>
    <mergeCell ref="BH110:BH113"/>
    <mergeCell ref="BI110:BI113"/>
    <mergeCell ref="BJ110:BJ113"/>
    <mergeCell ref="BK110:BK113"/>
    <mergeCell ref="BL110:BL113"/>
    <mergeCell ref="BA110:BA113"/>
    <mergeCell ref="BB110:BB113"/>
    <mergeCell ref="BC110:BC113"/>
    <mergeCell ref="BD110:BD113"/>
    <mergeCell ref="BE110:BE113"/>
    <mergeCell ref="BF110:BF113"/>
    <mergeCell ref="AU110:AU113"/>
    <mergeCell ref="AV110:AV113"/>
    <mergeCell ref="X115:X121"/>
    <mergeCell ref="Y115:Y121"/>
    <mergeCell ref="Z115:Z121"/>
    <mergeCell ref="AA115:AA121"/>
    <mergeCell ref="AB115:AB121"/>
    <mergeCell ref="AC115:AC121"/>
    <mergeCell ref="N115:N121"/>
    <mergeCell ref="O115:O121"/>
    <mergeCell ref="P115:P121"/>
    <mergeCell ref="Q115:Q121"/>
    <mergeCell ref="R115:R117"/>
    <mergeCell ref="W115:W121"/>
    <mergeCell ref="AJ115:AJ121"/>
    <mergeCell ref="AK115:AK121"/>
    <mergeCell ref="AL115:AL121"/>
    <mergeCell ref="AM115:AM121"/>
    <mergeCell ref="AN115:AN121"/>
    <mergeCell ref="AO115:AO121"/>
    <mergeCell ref="AD115:AD121"/>
    <mergeCell ref="AE115:AE121"/>
    <mergeCell ref="AF115:AF121"/>
    <mergeCell ref="AG115:AG121"/>
    <mergeCell ref="AH115:AH121"/>
    <mergeCell ref="AI115:AI121"/>
    <mergeCell ref="AX115:AX121"/>
    <mergeCell ref="AY115:AY121"/>
    <mergeCell ref="AZ115:AZ121"/>
    <mergeCell ref="BA115:BA121"/>
    <mergeCell ref="AP115:AP121"/>
    <mergeCell ref="AQ115:AQ121"/>
    <mergeCell ref="AR115:AR121"/>
    <mergeCell ref="AS115:AS121"/>
    <mergeCell ref="AT115:AT121"/>
    <mergeCell ref="AU115:AU121"/>
    <mergeCell ref="BN115:BN121"/>
    <mergeCell ref="BO115:BO121"/>
    <mergeCell ref="R118:R121"/>
    <mergeCell ref="C123:D135"/>
    <mergeCell ref="G124:G130"/>
    <mergeCell ref="H124:H130"/>
    <mergeCell ref="I124:I130"/>
    <mergeCell ref="J124:J130"/>
    <mergeCell ref="K124:K130"/>
    <mergeCell ref="L124:L130"/>
    <mergeCell ref="BH115:BH121"/>
    <mergeCell ref="BI115:BI121"/>
    <mergeCell ref="BJ115:BJ121"/>
    <mergeCell ref="BK115:BK121"/>
    <mergeCell ref="BL115:BL121"/>
    <mergeCell ref="BM115:BM121"/>
    <mergeCell ref="BB115:BB121"/>
    <mergeCell ref="BC115:BC121"/>
    <mergeCell ref="BD115:BD121"/>
    <mergeCell ref="BE115:BE121"/>
    <mergeCell ref="BF115:BF121"/>
    <mergeCell ref="BG115:BG121"/>
    <mergeCell ref="AV115:AV121"/>
    <mergeCell ref="AW115:AW121"/>
    <mergeCell ref="Y124:Y135"/>
    <mergeCell ref="Z124:Z135"/>
    <mergeCell ref="AA124:AA135"/>
    <mergeCell ref="AB124:AB135"/>
    <mergeCell ref="AC124:AC135"/>
    <mergeCell ref="AD124:AD135"/>
    <mergeCell ref="M124:M135"/>
    <mergeCell ref="N124:N135"/>
    <mergeCell ref="O124:O130"/>
    <mergeCell ref="P124:P135"/>
    <mergeCell ref="Q124:Q135"/>
    <mergeCell ref="R124:R131"/>
    <mergeCell ref="S134:S135"/>
    <mergeCell ref="AK124:AK135"/>
    <mergeCell ref="AL124:AL135"/>
    <mergeCell ref="AM124:AM135"/>
    <mergeCell ref="AN124:AN135"/>
    <mergeCell ref="AO124:AO135"/>
    <mergeCell ref="AP124:AP135"/>
    <mergeCell ref="AE124:AE135"/>
    <mergeCell ref="AF124:AF135"/>
    <mergeCell ref="AG124:AG135"/>
    <mergeCell ref="AH124:AH135"/>
    <mergeCell ref="AI124:AI135"/>
    <mergeCell ref="AJ124:AJ135"/>
    <mergeCell ref="AY124:AY135"/>
    <mergeCell ref="AZ124:AZ135"/>
    <mergeCell ref="BA124:BA135"/>
    <mergeCell ref="BB124:BB135"/>
    <mergeCell ref="AQ124:AQ135"/>
    <mergeCell ref="AR124:AR135"/>
    <mergeCell ref="AS124:AS135"/>
    <mergeCell ref="AT124:AT135"/>
    <mergeCell ref="AU124:AU135"/>
    <mergeCell ref="AV124:AV135"/>
    <mergeCell ref="BO124:BO135"/>
    <mergeCell ref="G132:G133"/>
    <mergeCell ref="H132:H133"/>
    <mergeCell ref="I132:I133"/>
    <mergeCell ref="J132:J133"/>
    <mergeCell ref="K132:K133"/>
    <mergeCell ref="L132:L135"/>
    <mergeCell ref="O132:O133"/>
    <mergeCell ref="R132:R135"/>
    <mergeCell ref="S132:S133"/>
    <mergeCell ref="BI124:BI135"/>
    <mergeCell ref="BJ124:BJ135"/>
    <mergeCell ref="BK124:BK135"/>
    <mergeCell ref="BL124:BL135"/>
    <mergeCell ref="BM124:BM135"/>
    <mergeCell ref="BN124:BN135"/>
    <mergeCell ref="BC124:BC135"/>
    <mergeCell ref="BD124:BD135"/>
    <mergeCell ref="BE124:BE135"/>
    <mergeCell ref="BF124:BF135"/>
    <mergeCell ref="BG124:BG135"/>
    <mergeCell ref="BH124:BH135"/>
    <mergeCell ref="AW124:AW135"/>
    <mergeCell ref="AX124:AX135"/>
    <mergeCell ref="A136:O136"/>
    <mergeCell ref="A141:I141"/>
    <mergeCell ref="E142:H142"/>
    <mergeCell ref="C143:I143"/>
    <mergeCell ref="G134:G135"/>
    <mergeCell ref="H134:H135"/>
    <mergeCell ref="I134:I135"/>
    <mergeCell ref="J134:J135"/>
    <mergeCell ref="K134:K135"/>
    <mergeCell ref="O134:O135"/>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BR29"/>
  <sheetViews>
    <sheetView showGridLines="0" zoomScale="60" zoomScaleNormal="60" workbookViewId="0">
      <selection sqref="A1:BP4"/>
    </sheetView>
  </sheetViews>
  <sheetFormatPr baseColWidth="10" defaultColWidth="11.42578125" defaultRowHeight="14.25" x14ac:dyDescent="0.2"/>
  <cols>
    <col min="1" max="1" width="16.140625" style="657" customWidth="1"/>
    <col min="2" max="2" width="8.42578125" style="657" customWidth="1"/>
    <col min="3" max="3" width="15.85546875" style="657" customWidth="1"/>
    <col min="4" max="4" width="15.7109375" style="657" customWidth="1"/>
    <col min="5" max="5" width="15.140625" style="657" customWidth="1"/>
    <col min="6" max="6" width="3.28515625" style="657" customWidth="1"/>
    <col min="7" max="7" width="13.85546875" style="657" customWidth="1"/>
    <col min="8" max="8" width="11.140625" style="657" customWidth="1"/>
    <col min="9" max="9" width="14.42578125" style="657" customWidth="1"/>
    <col min="10" max="10" width="12.42578125" style="657" customWidth="1"/>
    <col min="11" max="11" width="24.5703125" style="657" customWidth="1"/>
    <col min="12" max="12" width="21.5703125" style="657" customWidth="1"/>
    <col min="13" max="14" width="11.140625" style="657" customWidth="1"/>
    <col min="15" max="15" width="32.7109375" style="657" customWidth="1"/>
    <col min="16" max="16" width="25.28515625" style="657" customWidth="1"/>
    <col min="17" max="17" width="24.42578125" style="657" customWidth="1"/>
    <col min="18" max="18" width="17" style="657" customWidth="1"/>
    <col min="19" max="19" width="25.7109375" style="657" customWidth="1"/>
    <col min="20" max="20" width="27" style="657" customWidth="1"/>
    <col min="21" max="21" width="40.85546875" style="657" customWidth="1"/>
    <col min="22" max="22" width="53.7109375" style="657" customWidth="1"/>
    <col min="23" max="23" width="23" style="657" customWidth="1"/>
    <col min="24" max="24" width="27.140625" style="657" customWidth="1"/>
    <col min="25" max="25" width="26.140625" style="657" customWidth="1"/>
    <col min="26" max="26" width="13.5703125" style="657" customWidth="1"/>
    <col min="27" max="27" width="24.85546875" style="657" customWidth="1"/>
    <col min="28" max="28" width="10.28515625" style="657" customWidth="1"/>
    <col min="29" max="29" width="8.85546875" style="657" customWidth="1"/>
    <col min="30" max="30" width="10.28515625" style="657" customWidth="1"/>
    <col min="31" max="31" width="9.5703125" style="657" customWidth="1"/>
    <col min="32" max="32" width="9" style="657" customWidth="1"/>
    <col min="33" max="59" width="8.5703125" style="657" customWidth="1"/>
    <col min="60" max="60" width="11.140625" style="657" customWidth="1"/>
    <col min="61" max="61" width="25.7109375" style="657" customWidth="1"/>
    <col min="62" max="62" width="26.140625" style="657" customWidth="1"/>
    <col min="63" max="63" width="19" style="657" customWidth="1"/>
    <col min="64" max="64" width="17.140625" style="657" customWidth="1"/>
    <col min="65" max="65" width="18.7109375" style="657" customWidth="1"/>
    <col min="66" max="66" width="17.42578125" style="657" customWidth="1"/>
    <col min="67" max="67" width="16.7109375" style="657" customWidth="1"/>
    <col min="68" max="69" width="17" style="657" customWidth="1"/>
    <col min="70" max="70" width="19.85546875" style="657" customWidth="1"/>
    <col min="71" max="83" width="14.85546875" style="657" customWidth="1"/>
    <col min="84" max="16384" width="11.42578125" style="657"/>
  </cols>
  <sheetData>
    <row r="1" spans="1:70" ht="15" customHeight="1" x14ac:dyDescent="0.25">
      <c r="A1" s="4453" t="s">
        <v>2537</v>
      </c>
      <c r="B1" s="4453"/>
      <c r="C1" s="4453"/>
      <c r="D1" s="4453"/>
      <c r="E1" s="4453"/>
      <c r="F1" s="4453"/>
      <c r="G1" s="4453"/>
      <c r="H1" s="4453"/>
      <c r="I1" s="4453"/>
      <c r="J1" s="4453"/>
      <c r="K1" s="4453"/>
      <c r="L1" s="4453"/>
      <c r="M1" s="4453"/>
      <c r="N1" s="4453"/>
      <c r="O1" s="4453"/>
      <c r="P1" s="4453"/>
      <c r="Q1" s="4453"/>
      <c r="R1" s="4453"/>
      <c r="S1" s="4453"/>
      <c r="T1" s="4453"/>
      <c r="U1" s="4453"/>
      <c r="V1" s="4453"/>
      <c r="W1" s="4453"/>
      <c r="X1" s="4453"/>
      <c r="Y1" s="4453"/>
      <c r="Z1" s="4453"/>
      <c r="AA1" s="4453"/>
      <c r="AB1" s="4453"/>
      <c r="AC1" s="4453"/>
      <c r="AD1" s="4453"/>
      <c r="AE1" s="4453"/>
      <c r="AF1" s="4453"/>
      <c r="AG1" s="4453"/>
      <c r="AH1" s="4453"/>
      <c r="AI1" s="4453"/>
      <c r="AJ1" s="4453"/>
      <c r="AK1" s="4453"/>
      <c r="AL1" s="4453"/>
      <c r="AM1" s="4453"/>
      <c r="AN1" s="4453"/>
      <c r="AO1" s="4453"/>
      <c r="AP1" s="4453"/>
      <c r="AQ1" s="4453"/>
      <c r="AR1" s="4453"/>
      <c r="AS1" s="4453"/>
      <c r="AT1" s="4453"/>
      <c r="AU1" s="4453"/>
      <c r="AV1" s="4453"/>
      <c r="AW1" s="4453"/>
      <c r="AX1" s="4453"/>
      <c r="AY1" s="4453"/>
      <c r="AZ1" s="4453"/>
      <c r="BA1" s="4453"/>
      <c r="BB1" s="4453"/>
      <c r="BC1" s="4453"/>
      <c r="BD1" s="4453"/>
      <c r="BE1" s="4453"/>
      <c r="BF1" s="4453"/>
      <c r="BG1" s="4453"/>
      <c r="BH1" s="4453"/>
      <c r="BI1" s="4453"/>
      <c r="BJ1" s="4453"/>
      <c r="BK1" s="4453"/>
      <c r="BL1" s="4453"/>
      <c r="BM1" s="4453"/>
      <c r="BN1" s="4453"/>
      <c r="BO1" s="4453"/>
      <c r="BP1" s="3214"/>
      <c r="BQ1" s="4" t="s">
        <v>1</v>
      </c>
      <c r="BR1" s="4" t="s">
        <v>2</v>
      </c>
    </row>
    <row r="2" spans="1:70" ht="15" x14ac:dyDescent="0.25">
      <c r="A2" s="4453"/>
      <c r="B2" s="4453"/>
      <c r="C2" s="4453"/>
      <c r="D2" s="4453"/>
      <c r="E2" s="4453"/>
      <c r="F2" s="4453"/>
      <c r="G2" s="4453"/>
      <c r="H2" s="4453"/>
      <c r="I2" s="4453"/>
      <c r="J2" s="4453"/>
      <c r="K2" s="4453"/>
      <c r="L2" s="4453"/>
      <c r="M2" s="4453"/>
      <c r="N2" s="4453"/>
      <c r="O2" s="4453"/>
      <c r="P2" s="4453"/>
      <c r="Q2" s="4453"/>
      <c r="R2" s="4453"/>
      <c r="S2" s="4453"/>
      <c r="T2" s="4453"/>
      <c r="U2" s="4453"/>
      <c r="V2" s="4453"/>
      <c r="W2" s="4453"/>
      <c r="X2" s="4453"/>
      <c r="Y2" s="4453"/>
      <c r="Z2" s="4453"/>
      <c r="AA2" s="4453"/>
      <c r="AB2" s="4453"/>
      <c r="AC2" s="4453"/>
      <c r="AD2" s="4453"/>
      <c r="AE2" s="4453"/>
      <c r="AF2" s="4453"/>
      <c r="AG2" s="4453"/>
      <c r="AH2" s="4453"/>
      <c r="AI2" s="4453"/>
      <c r="AJ2" s="4453"/>
      <c r="AK2" s="4453"/>
      <c r="AL2" s="4453"/>
      <c r="AM2" s="4453"/>
      <c r="AN2" s="4453"/>
      <c r="AO2" s="4453"/>
      <c r="AP2" s="4453"/>
      <c r="AQ2" s="4453"/>
      <c r="AR2" s="4453"/>
      <c r="AS2" s="4453"/>
      <c r="AT2" s="4453"/>
      <c r="AU2" s="4453"/>
      <c r="AV2" s="4453"/>
      <c r="AW2" s="4453"/>
      <c r="AX2" s="4453"/>
      <c r="AY2" s="4453"/>
      <c r="AZ2" s="4453"/>
      <c r="BA2" s="4453"/>
      <c r="BB2" s="4453"/>
      <c r="BC2" s="4453"/>
      <c r="BD2" s="4453"/>
      <c r="BE2" s="4453"/>
      <c r="BF2" s="4453"/>
      <c r="BG2" s="4453"/>
      <c r="BH2" s="4453"/>
      <c r="BI2" s="4453"/>
      <c r="BJ2" s="4453"/>
      <c r="BK2" s="4453"/>
      <c r="BL2" s="4453"/>
      <c r="BM2" s="4453"/>
      <c r="BN2" s="4453"/>
      <c r="BO2" s="4453"/>
      <c r="BP2" s="3214"/>
      <c r="BQ2" s="1173" t="s">
        <v>3</v>
      </c>
      <c r="BR2" s="6">
        <v>6</v>
      </c>
    </row>
    <row r="3" spans="1:70" ht="15" x14ac:dyDescent="0.25">
      <c r="A3" s="4453"/>
      <c r="B3" s="4453"/>
      <c r="C3" s="4453"/>
      <c r="D3" s="4453"/>
      <c r="E3" s="4453"/>
      <c r="F3" s="4453"/>
      <c r="G3" s="4453"/>
      <c r="H3" s="4453"/>
      <c r="I3" s="4453"/>
      <c r="J3" s="4453"/>
      <c r="K3" s="4453"/>
      <c r="L3" s="4453"/>
      <c r="M3" s="4453"/>
      <c r="N3" s="4453"/>
      <c r="O3" s="4453"/>
      <c r="P3" s="4453"/>
      <c r="Q3" s="4453"/>
      <c r="R3" s="4453"/>
      <c r="S3" s="4453"/>
      <c r="T3" s="4453"/>
      <c r="U3" s="4453"/>
      <c r="V3" s="4453"/>
      <c r="W3" s="4453"/>
      <c r="X3" s="4453"/>
      <c r="Y3" s="4453"/>
      <c r="Z3" s="4453"/>
      <c r="AA3" s="4453"/>
      <c r="AB3" s="4453"/>
      <c r="AC3" s="4453"/>
      <c r="AD3" s="4453"/>
      <c r="AE3" s="4453"/>
      <c r="AF3" s="4453"/>
      <c r="AG3" s="4453"/>
      <c r="AH3" s="4453"/>
      <c r="AI3" s="4453"/>
      <c r="AJ3" s="4453"/>
      <c r="AK3" s="4453"/>
      <c r="AL3" s="4453"/>
      <c r="AM3" s="4453"/>
      <c r="AN3" s="4453"/>
      <c r="AO3" s="4453"/>
      <c r="AP3" s="4453"/>
      <c r="AQ3" s="4453"/>
      <c r="AR3" s="4453"/>
      <c r="AS3" s="4453"/>
      <c r="AT3" s="4453"/>
      <c r="AU3" s="4453"/>
      <c r="AV3" s="4453"/>
      <c r="AW3" s="4453"/>
      <c r="AX3" s="4453"/>
      <c r="AY3" s="4453"/>
      <c r="AZ3" s="4453"/>
      <c r="BA3" s="4453"/>
      <c r="BB3" s="4453"/>
      <c r="BC3" s="4453"/>
      <c r="BD3" s="4453"/>
      <c r="BE3" s="4453"/>
      <c r="BF3" s="4453"/>
      <c r="BG3" s="4453"/>
      <c r="BH3" s="4453"/>
      <c r="BI3" s="4453"/>
      <c r="BJ3" s="4453"/>
      <c r="BK3" s="4453"/>
      <c r="BL3" s="4453"/>
      <c r="BM3" s="4453"/>
      <c r="BN3" s="4453"/>
      <c r="BO3" s="4453"/>
      <c r="BP3" s="3214"/>
      <c r="BQ3" s="4" t="s">
        <v>4</v>
      </c>
      <c r="BR3" s="7" t="s">
        <v>5</v>
      </c>
    </row>
    <row r="4" spans="1:70" s="928" customFormat="1" ht="15" x14ac:dyDescent="0.2">
      <c r="A4" s="3216"/>
      <c r="B4" s="3216"/>
      <c r="C4" s="3216"/>
      <c r="D4" s="3216"/>
      <c r="E4" s="3216"/>
      <c r="F4" s="3216"/>
      <c r="G4" s="3216"/>
      <c r="H4" s="3216"/>
      <c r="I4" s="3216"/>
      <c r="J4" s="3216"/>
      <c r="K4" s="3216"/>
      <c r="L4" s="3216"/>
      <c r="M4" s="3216"/>
      <c r="N4" s="3216"/>
      <c r="O4" s="3216"/>
      <c r="P4" s="3216"/>
      <c r="Q4" s="3216"/>
      <c r="R4" s="3216"/>
      <c r="S4" s="3216"/>
      <c r="T4" s="3216"/>
      <c r="U4" s="3216"/>
      <c r="V4" s="3216"/>
      <c r="W4" s="3216"/>
      <c r="X4" s="3216"/>
      <c r="Y4" s="3216"/>
      <c r="Z4" s="3216"/>
      <c r="AA4" s="3216"/>
      <c r="AB4" s="3216"/>
      <c r="AC4" s="3216"/>
      <c r="AD4" s="3216"/>
      <c r="AE4" s="3216"/>
      <c r="AF4" s="3216"/>
      <c r="AG4" s="3216"/>
      <c r="AH4" s="3216"/>
      <c r="AI4" s="3216"/>
      <c r="AJ4" s="3216"/>
      <c r="AK4" s="3216"/>
      <c r="AL4" s="3216"/>
      <c r="AM4" s="3216"/>
      <c r="AN4" s="3216"/>
      <c r="AO4" s="3216"/>
      <c r="AP4" s="3216"/>
      <c r="AQ4" s="3216"/>
      <c r="AR4" s="3216"/>
      <c r="AS4" s="3216"/>
      <c r="AT4" s="3216"/>
      <c r="AU4" s="3216"/>
      <c r="AV4" s="3216"/>
      <c r="AW4" s="3216"/>
      <c r="AX4" s="3216"/>
      <c r="AY4" s="3216"/>
      <c r="AZ4" s="3216"/>
      <c r="BA4" s="3216"/>
      <c r="BB4" s="3216"/>
      <c r="BC4" s="3216"/>
      <c r="BD4" s="3216"/>
      <c r="BE4" s="3216"/>
      <c r="BF4" s="3216"/>
      <c r="BG4" s="3216"/>
      <c r="BH4" s="3216"/>
      <c r="BI4" s="3216"/>
      <c r="BJ4" s="3216"/>
      <c r="BK4" s="3216"/>
      <c r="BL4" s="3216"/>
      <c r="BM4" s="3216"/>
      <c r="BN4" s="3216"/>
      <c r="BO4" s="3216"/>
      <c r="BP4" s="3217"/>
      <c r="BQ4" s="1176" t="s">
        <v>6</v>
      </c>
      <c r="BR4" s="10" t="s">
        <v>7</v>
      </c>
    </row>
    <row r="5" spans="1:70" ht="15" customHeight="1" x14ac:dyDescent="0.2">
      <c r="A5" s="3846" t="s">
        <v>8</v>
      </c>
      <c r="B5" s="3779"/>
      <c r="C5" s="3779"/>
      <c r="D5" s="3779"/>
      <c r="E5" s="3779"/>
      <c r="F5" s="3779"/>
      <c r="G5" s="3779"/>
      <c r="H5" s="3779"/>
      <c r="I5" s="3779"/>
      <c r="J5" s="3779"/>
      <c r="K5" s="3779"/>
      <c r="L5" s="3779"/>
      <c r="M5" s="3779"/>
      <c r="N5" s="3779"/>
      <c r="O5" s="3847"/>
      <c r="P5" s="3846" t="s">
        <v>9</v>
      </c>
      <c r="Q5" s="3779"/>
      <c r="R5" s="3779"/>
      <c r="S5" s="3779"/>
      <c r="T5" s="3779"/>
      <c r="U5" s="3779"/>
      <c r="V5" s="3779"/>
      <c r="W5" s="3779"/>
      <c r="X5" s="3779"/>
      <c r="Y5" s="3779"/>
      <c r="Z5" s="3779"/>
      <c r="AA5" s="3779"/>
      <c r="AB5" s="3779"/>
      <c r="AC5" s="3779"/>
      <c r="AD5" s="3779"/>
      <c r="AE5" s="3779"/>
      <c r="AF5" s="3779"/>
      <c r="AG5" s="3779"/>
      <c r="AH5" s="3779"/>
      <c r="AI5" s="3779"/>
      <c r="AJ5" s="3779"/>
      <c r="AK5" s="3779"/>
      <c r="AL5" s="3779"/>
      <c r="AM5" s="3779"/>
      <c r="AN5" s="3779"/>
      <c r="AO5" s="3779"/>
      <c r="AP5" s="3779"/>
      <c r="AQ5" s="3779"/>
      <c r="AR5" s="3779"/>
      <c r="AS5" s="3779"/>
      <c r="AT5" s="3779"/>
      <c r="AU5" s="3779"/>
      <c r="AV5" s="3779"/>
      <c r="AW5" s="3779"/>
      <c r="AX5" s="3779"/>
      <c r="AY5" s="3779"/>
      <c r="AZ5" s="3779"/>
      <c r="BA5" s="3779"/>
      <c r="BB5" s="3779"/>
      <c r="BC5" s="3779"/>
      <c r="BD5" s="3779"/>
      <c r="BE5" s="3779"/>
      <c r="BF5" s="3779"/>
      <c r="BG5" s="3779"/>
      <c r="BH5" s="3779"/>
      <c r="BI5" s="3779"/>
      <c r="BJ5" s="3779"/>
      <c r="BK5" s="3779"/>
      <c r="BL5" s="3779"/>
      <c r="BM5" s="3779"/>
      <c r="BN5" s="3779"/>
      <c r="BO5" s="3779"/>
      <c r="BP5" s="3779"/>
      <c r="BQ5" s="3779"/>
      <c r="BR5" s="3847"/>
    </row>
    <row r="6" spans="1:70" ht="15.75" customHeight="1" thickBot="1" x14ac:dyDescent="0.25">
      <c r="A6" s="3782"/>
      <c r="B6" s="3780"/>
      <c r="C6" s="3780"/>
      <c r="D6" s="3780"/>
      <c r="E6" s="3780"/>
      <c r="F6" s="3780"/>
      <c r="G6" s="3780"/>
      <c r="H6" s="3780"/>
      <c r="I6" s="3780"/>
      <c r="J6" s="3780"/>
      <c r="K6" s="3780"/>
      <c r="L6" s="3780"/>
      <c r="M6" s="3780"/>
      <c r="N6" s="3780"/>
      <c r="O6" s="3783"/>
      <c r="P6" s="3848"/>
      <c r="Q6" s="4477"/>
      <c r="R6" s="4477"/>
      <c r="S6" s="4477"/>
      <c r="T6" s="4477"/>
      <c r="U6" s="4477"/>
      <c r="V6" s="4477"/>
      <c r="W6" s="4477"/>
      <c r="X6" s="4477"/>
      <c r="Y6" s="4477"/>
      <c r="Z6" s="4477"/>
      <c r="AA6" s="4477"/>
      <c r="AB6" s="4477"/>
      <c r="AC6" s="4477"/>
      <c r="AD6" s="4477"/>
      <c r="AE6" s="4477"/>
      <c r="AF6" s="4477"/>
      <c r="AG6" s="4477"/>
      <c r="AH6" s="4477"/>
      <c r="AI6" s="4477"/>
      <c r="AJ6" s="4477"/>
      <c r="AK6" s="4477"/>
      <c r="AL6" s="4477"/>
      <c r="AM6" s="4477"/>
      <c r="AN6" s="4477"/>
      <c r="AO6" s="4477"/>
      <c r="AP6" s="4477"/>
      <c r="AQ6" s="4477"/>
      <c r="AR6" s="4477"/>
      <c r="AS6" s="4477"/>
      <c r="AT6" s="4477"/>
      <c r="AU6" s="4477"/>
      <c r="AV6" s="4477"/>
      <c r="AW6" s="4477"/>
      <c r="AX6" s="4477"/>
      <c r="AY6" s="4477"/>
      <c r="AZ6" s="4477"/>
      <c r="BA6" s="4477"/>
      <c r="BB6" s="4477"/>
      <c r="BC6" s="4477"/>
      <c r="BD6" s="4477"/>
      <c r="BE6" s="4477"/>
      <c r="BF6" s="4477"/>
      <c r="BG6" s="4477"/>
      <c r="BH6" s="4477"/>
      <c r="BI6" s="4477"/>
      <c r="BJ6" s="4477"/>
      <c r="BK6" s="4477"/>
      <c r="BL6" s="4477"/>
      <c r="BM6" s="4477"/>
      <c r="BN6" s="4477"/>
      <c r="BO6" s="4477"/>
      <c r="BP6" s="4477"/>
      <c r="BQ6" s="4477"/>
      <c r="BR6" s="3849"/>
    </row>
    <row r="7" spans="1:70" s="2348" customFormat="1" ht="12" x14ac:dyDescent="0.2">
      <c r="A7" s="2632" t="s">
        <v>10</v>
      </c>
      <c r="B7" s="2632" t="s">
        <v>11</v>
      </c>
      <c r="C7" s="2632"/>
      <c r="D7" s="2632" t="s">
        <v>10</v>
      </c>
      <c r="E7" s="2632" t="s">
        <v>12</v>
      </c>
      <c r="F7" s="2632"/>
      <c r="G7" s="2632" t="s">
        <v>10</v>
      </c>
      <c r="H7" s="2632" t="s">
        <v>13</v>
      </c>
      <c r="I7" s="2632"/>
      <c r="J7" s="2632" t="s">
        <v>10</v>
      </c>
      <c r="K7" s="2632" t="s">
        <v>14</v>
      </c>
      <c r="L7" s="2632" t="s">
        <v>15</v>
      </c>
      <c r="M7" s="2661" t="s">
        <v>16</v>
      </c>
      <c r="N7" s="2663"/>
      <c r="O7" s="2632" t="s">
        <v>17</v>
      </c>
      <c r="P7" s="2690" t="s">
        <v>18</v>
      </c>
      <c r="Q7" s="2632" t="s">
        <v>9</v>
      </c>
      <c r="R7" s="2632" t="s">
        <v>19</v>
      </c>
      <c r="S7" s="2632" t="s">
        <v>20</v>
      </c>
      <c r="T7" s="2632" t="s">
        <v>21</v>
      </c>
      <c r="U7" s="2632" t="s">
        <v>22</v>
      </c>
      <c r="V7" s="2632" t="s">
        <v>23</v>
      </c>
      <c r="W7" s="2661" t="s">
        <v>20</v>
      </c>
      <c r="X7" s="2662"/>
      <c r="Y7" s="2663"/>
      <c r="Z7" s="2690" t="s">
        <v>10</v>
      </c>
      <c r="AA7" s="2632" t="s">
        <v>24</v>
      </c>
      <c r="AB7" s="3201" t="s">
        <v>25</v>
      </c>
      <c r="AC7" s="3202"/>
      <c r="AD7" s="3202"/>
      <c r="AE7" s="3203"/>
      <c r="AF7" s="3209" t="s">
        <v>26</v>
      </c>
      <c r="AG7" s="3210"/>
      <c r="AH7" s="3210"/>
      <c r="AI7" s="3210"/>
      <c r="AJ7" s="3210"/>
      <c r="AK7" s="3210"/>
      <c r="AL7" s="3210"/>
      <c r="AM7" s="3211"/>
      <c r="AN7" s="3204" t="s">
        <v>27</v>
      </c>
      <c r="AO7" s="3205"/>
      <c r="AP7" s="3205"/>
      <c r="AQ7" s="3205"/>
      <c r="AR7" s="3205"/>
      <c r="AS7" s="3205"/>
      <c r="AT7" s="3205"/>
      <c r="AU7" s="3205"/>
      <c r="AV7" s="3205"/>
      <c r="AW7" s="3205"/>
      <c r="AX7" s="3205"/>
      <c r="AY7" s="3206"/>
      <c r="AZ7" s="3209" t="s">
        <v>28</v>
      </c>
      <c r="BA7" s="3210"/>
      <c r="BB7" s="3210"/>
      <c r="BC7" s="3210"/>
      <c r="BD7" s="3210"/>
      <c r="BE7" s="3211"/>
      <c r="BF7" s="3197" t="s">
        <v>29</v>
      </c>
      <c r="BG7" s="3198"/>
      <c r="BH7" s="2673" t="s">
        <v>30</v>
      </c>
      <c r="BI7" s="2674"/>
      <c r="BJ7" s="2674"/>
      <c r="BK7" s="2674"/>
      <c r="BL7" s="2674"/>
      <c r="BM7" s="2675"/>
      <c r="BN7" s="2676" t="s">
        <v>31</v>
      </c>
      <c r="BO7" s="2677"/>
      <c r="BP7" s="2676" t="s">
        <v>32</v>
      </c>
      <c r="BQ7" s="2677"/>
      <c r="BR7" s="4478" t="s">
        <v>33</v>
      </c>
    </row>
    <row r="8" spans="1:70" s="2348" customFormat="1" ht="107.25" customHeight="1" x14ac:dyDescent="0.2">
      <c r="A8" s="2632"/>
      <c r="B8" s="2632"/>
      <c r="C8" s="2632"/>
      <c r="D8" s="2632"/>
      <c r="E8" s="2632"/>
      <c r="F8" s="2632"/>
      <c r="G8" s="2632"/>
      <c r="H8" s="2632"/>
      <c r="I8" s="2632"/>
      <c r="J8" s="2632"/>
      <c r="K8" s="2632"/>
      <c r="L8" s="2632"/>
      <c r="M8" s="3191"/>
      <c r="N8" s="3192"/>
      <c r="O8" s="2632"/>
      <c r="P8" s="2691"/>
      <c r="Q8" s="2632"/>
      <c r="R8" s="2632"/>
      <c r="S8" s="2632"/>
      <c r="T8" s="2632"/>
      <c r="U8" s="2632"/>
      <c r="V8" s="2632"/>
      <c r="W8" s="2664"/>
      <c r="X8" s="4475"/>
      <c r="Y8" s="2666"/>
      <c r="Z8" s="2691"/>
      <c r="AA8" s="2632"/>
      <c r="AB8" s="4476" t="s">
        <v>37</v>
      </c>
      <c r="AC8" s="4476"/>
      <c r="AD8" s="4479" t="s">
        <v>38</v>
      </c>
      <c r="AE8" s="4479"/>
      <c r="AF8" s="4476" t="s">
        <v>39</v>
      </c>
      <c r="AG8" s="4476"/>
      <c r="AH8" s="4476" t="s">
        <v>40</v>
      </c>
      <c r="AI8" s="4476"/>
      <c r="AJ8" s="4476" t="s">
        <v>754</v>
      </c>
      <c r="AK8" s="4476"/>
      <c r="AL8" s="4476" t="s">
        <v>42</v>
      </c>
      <c r="AM8" s="4476"/>
      <c r="AN8" s="4476" t="s">
        <v>43</v>
      </c>
      <c r="AO8" s="4476"/>
      <c r="AP8" s="4476" t="s">
        <v>44</v>
      </c>
      <c r="AQ8" s="4476"/>
      <c r="AR8" s="4476" t="s">
        <v>45</v>
      </c>
      <c r="AS8" s="4476"/>
      <c r="AT8" s="4476" t="s">
        <v>46</v>
      </c>
      <c r="AU8" s="4476"/>
      <c r="AV8" s="4476" t="s">
        <v>47</v>
      </c>
      <c r="AW8" s="4476"/>
      <c r="AX8" s="4476" t="s">
        <v>48</v>
      </c>
      <c r="AY8" s="4476"/>
      <c r="AZ8" s="4476" t="s">
        <v>49</v>
      </c>
      <c r="BA8" s="4476"/>
      <c r="BB8" s="4476" t="s">
        <v>50</v>
      </c>
      <c r="BC8" s="4476"/>
      <c r="BD8" s="4476" t="s">
        <v>51</v>
      </c>
      <c r="BE8" s="4476"/>
      <c r="BF8" s="3199"/>
      <c r="BG8" s="3200"/>
      <c r="BH8" s="2700" t="s">
        <v>52</v>
      </c>
      <c r="BI8" s="2701" t="s">
        <v>53</v>
      </c>
      <c r="BJ8" s="2700" t="s">
        <v>54</v>
      </c>
      <c r="BK8" s="2778" t="s">
        <v>55</v>
      </c>
      <c r="BL8" s="2700" t="s">
        <v>56</v>
      </c>
      <c r="BM8" s="2698" t="s">
        <v>57</v>
      </c>
      <c r="BN8" s="2678"/>
      <c r="BO8" s="2679"/>
      <c r="BP8" s="2678"/>
      <c r="BQ8" s="2679"/>
      <c r="BR8" s="4478"/>
    </row>
    <row r="9" spans="1:70" s="1305" customFormat="1" ht="29.25" customHeight="1" x14ac:dyDescent="0.2">
      <c r="A9" s="2632"/>
      <c r="B9" s="2632"/>
      <c r="C9" s="2632"/>
      <c r="D9" s="2632"/>
      <c r="E9" s="2632"/>
      <c r="F9" s="2632"/>
      <c r="G9" s="2632"/>
      <c r="H9" s="2632"/>
      <c r="I9" s="2632"/>
      <c r="J9" s="2632"/>
      <c r="K9" s="2632"/>
      <c r="L9" s="2632"/>
      <c r="M9" s="660" t="s">
        <v>58</v>
      </c>
      <c r="N9" s="660" t="s">
        <v>59</v>
      </c>
      <c r="O9" s="2632"/>
      <c r="P9" s="2692"/>
      <c r="Q9" s="2632"/>
      <c r="R9" s="2632"/>
      <c r="S9" s="2632"/>
      <c r="T9" s="2632"/>
      <c r="U9" s="2632"/>
      <c r="V9" s="2632"/>
      <c r="W9" s="660" t="s">
        <v>34</v>
      </c>
      <c r="X9" s="660" t="s">
        <v>35</v>
      </c>
      <c r="Y9" s="660" t="s">
        <v>36</v>
      </c>
      <c r="Z9" s="2692"/>
      <c r="AA9" s="2632"/>
      <c r="AB9" s="660" t="s">
        <v>58</v>
      </c>
      <c r="AC9" s="660" t="s">
        <v>59</v>
      </c>
      <c r="AD9" s="660" t="s">
        <v>58</v>
      </c>
      <c r="AE9" s="660" t="s">
        <v>59</v>
      </c>
      <c r="AF9" s="660" t="s">
        <v>58</v>
      </c>
      <c r="AG9" s="660" t="s">
        <v>59</v>
      </c>
      <c r="AH9" s="660" t="s">
        <v>58</v>
      </c>
      <c r="AI9" s="660" t="s">
        <v>59</v>
      </c>
      <c r="AJ9" s="660" t="s">
        <v>58</v>
      </c>
      <c r="AK9" s="660" t="s">
        <v>59</v>
      </c>
      <c r="AL9" s="660" t="s">
        <v>58</v>
      </c>
      <c r="AM9" s="660" t="s">
        <v>59</v>
      </c>
      <c r="AN9" s="660" t="s">
        <v>58</v>
      </c>
      <c r="AO9" s="660" t="s">
        <v>59</v>
      </c>
      <c r="AP9" s="660" t="s">
        <v>58</v>
      </c>
      <c r="AQ9" s="660" t="s">
        <v>59</v>
      </c>
      <c r="AR9" s="660" t="s">
        <v>58</v>
      </c>
      <c r="AS9" s="660" t="s">
        <v>59</v>
      </c>
      <c r="AT9" s="660" t="s">
        <v>58</v>
      </c>
      <c r="AU9" s="660" t="s">
        <v>59</v>
      </c>
      <c r="AV9" s="660" t="s">
        <v>58</v>
      </c>
      <c r="AW9" s="660" t="s">
        <v>59</v>
      </c>
      <c r="AX9" s="660" t="s">
        <v>58</v>
      </c>
      <c r="AY9" s="660" t="s">
        <v>59</v>
      </c>
      <c r="AZ9" s="660" t="s">
        <v>58</v>
      </c>
      <c r="BA9" s="660" t="s">
        <v>59</v>
      </c>
      <c r="BB9" s="660" t="s">
        <v>58</v>
      </c>
      <c r="BC9" s="660" t="s">
        <v>59</v>
      </c>
      <c r="BD9" s="660" t="s">
        <v>58</v>
      </c>
      <c r="BE9" s="660" t="s">
        <v>59</v>
      </c>
      <c r="BF9" s="660" t="s">
        <v>58</v>
      </c>
      <c r="BG9" s="660" t="s">
        <v>59</v>
      </c>
      <c r="BH9" s="2700"/>
      <c r="BI9" s="2701"/>
      <c r="BJ9" s="2700"/>
      <c r="BK9" s="2778"/>
      <c r="BL9" s="2700"/>
      <c r="BM9" s="2699"/>
      <c r="BN9" s="1581" t="s">
        <v>58</v>
      </c>
      <c r="BO9" s="1581" t="s">
        <v>59</v>
      </c>
      <c r="BP9" s="1581" t="s">
        <v>58</v>
      </c>
      <c r="BQ9" s="1581" t="s">
        <v>59</v>
      </c>
      <c r="BR9" s="4478"/>
    </row>
    <row r="10" spans="1:70" ht="15" hidden="1" x14ac:dyDescent="0.2">
      <c r="A10" s="2632"/>
      <c r="B10" s="2632"/>
      <c r="C10" s="2632"/>
      <c r="D10" s="2632"/>
      <c r="E10" s="2632"/>
      <c r="F10" s="2632"/>
      <c r="G10" s="2632"/>
      <c r="H10" s="2632"/>
      <c r="I10" s="2632"/>
      <c r="J10" s="2632"/>
      <c r="K10" s="2632"/>
      <c r="L10" s="2632"/>
      <c r="M10" s="523"/>
      <c r="N10" s="524"/>
      <c r="O10" s="2632"/>
      <c r="P10" s="529"/>
      <c r="Q10" s="2632"/>
      <c r="R10" s="2632"/>
      <c r="S10" s="2632"/>
      <c r="T10" s="2632"/>
      <c r="U10" s="2632"/>
      <c r="V10" s="2632"/>
      <c r="W10" s="507"/>
      <c r="X10" s="507"/>
      <c r="Y10" s="529"/>
      <c r="Z10" s="529"/>
      <c r="AA10" s="2632"/>
      <c r="AB10" s="529"/>
      <c r="AC10" s="529"/>
      <c r="AD10" s="529"/>
      <c r="AE10" s="529"/>
      <c r="AF10" s="529"/>
      <c r="AG10" s="529"/>
      <c r="AH10" s="529"/>
      <c r="AI10" s="529"/>
      <c r="AJ10" s="529"/>
      <c r="AK10" s="529"/>
      <c r="AL10" s="529"/>
      <c r="AM10" s="529"/>
      <c r="AN10" s="529"/>
      <c r="AO10" s="529"/>
      <c r="AP10" s="529"/>
      <c r="AQ10" s="529"/>
      <c r="AR10" s="529"/>
      <c r="AS10" s="529"/>
      <c r="AT10" s="529"/>
      <c r="AU10" s="529"/>
      <c r="AV10" s="529"/>
      <c r="AW10" s="529"/>
      <c r="AX10" s="529"/>
      <c r="AY10" s="529"/>
      <c r="AZ10" s="529"/>
      <c r="BA10" s="529"/>
      <c r="BB10" s="529"/>
      <c r="BC10" s="529"/>
      <c r="BD10" s="529"/>
      <c r="BE10" s="529"/>
      <c r="BF10" s="529"/>
      <c r="BG10" s="529"/>
      <c r="BH10" s="530"/>
      <c r="BI10" s="530"/>
      <c r="BJ10" s="530"/>
      <c r="BK10" s="530"/>
      <c r="BL10" s="530"/>
      <c r="BM10" s="530"/>
      <c r="BN10" s="532"/>
      <c r="BO10" s="530"/>
      <c r="BP10" s="532"/>
      <c r="BQ10" s="530"/>
      <c r="BR10" s="4478"/>
    </row>
    <row r="11" spans="1:70" ht="15" hidden="1" x14ac:dyDescent="0.2">
      <c r="A11" s="2632"/>
      <c r="B11" s="2632"/>
      <c r="C11" s="2632"/>
      <c r="D11" s="2632"/>
      <c r="E11" s="2632"/>
      <c r="F11" s="2632"/>
      <c r="G11" s="2632"/>
      <c r="H11" s="2632"/>
      <c r="I11" s="2632"/>
      <c r="J11" s="2632"/>
      <c r="K11" s="2632"/>
      <c r="L11" s="2632"/>
      <c r="M11" s="523"/>
      <c r="N11" s="524"/>
      <c r="O11" s="2632"/>
      <c r="P11" s="529"/>
      <c r="Q11" s="2632"/>
      <c r="R11" s="2632"/>
      <c r="S11" s="2632"/>
      <c r="T11" s="2632"/>
      <c r="U11" s="2632"/>
      <c r="V11" s="2632"/>
      <c r="W11" s="507"/>
      <c r="X11" s="507"/>
      <c r="Y11" s="529"/>
      <c r="Z11" s="529"/>
      <c r="AA11" s="2632"/>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29"/>
      <c r="AY11" s="529"/>
      <c r="AZ11" s="529"/>
      <c r="BA11" s="529"/>
      <c r="BB11" s="529"/>
      <c r="BC11" s="529"/>
      <c r="BD11" s="529"/>
      <c r="BE11" s="529"/>
      <c r="BF11" s="529"/>
      <c r="BG11" s="529"/>
      <c r="BH11" s="530"/>
      <c r="BI11" s="530"/>
      <c r="BJ11" s="530"/>
      <c r="BK11" s="530"/>
      <c r="BL11" s="530"/>
      <c r="BM11" s="530"/>
      <c r="BN11" s="532"/>
      <c r="BO11" s="530"/>
      <c r="BP11" s="532"/>
      <c r="BQ11" s="530"/>
      <c r="BR11" s="4478"/>
    </row>
    <row r="12" spans="1:70" ht="15" hidden="1" x14ac:dyDescent="0.2">
      <c r="A12" s="2632"/>
      <c r="B12" s="2632"/>
      <c r="C12" s="2632"/>
      <c r="D12" s="2632"/>
      <c r="E12" s="2632"/>
      <c r="F12" s="2632"/>
      <c r="G12" s="2632"/>
      <c r="H12" s="2632"/>
      <c r="I12" s="2632"/>
      <c r="J12" s="2632"/>
      <c r="K12" s="2632"/>
      <c r="L12" s="2632"/>
      <c r="M12" s="523"/>
      <c r="N12" s="524"/>
      <c r="O12" s="2632"/>
      <c r="P12" s="529"/>
      <c r="Q12" s="2632"/>
      <c r="R12" s="2632"/>
      <c r="S12" s="2632"/>
      <c r="T12" s="2632"/>
      <c r="U12" s="2632"/>
      <c r="V12" s="2632"/>
      <c r="W12" s="507"/>
      <c r="X12" s="507"/>
      <c r="Y12" s="529"/>
      <c r="Z12" s="529"/>
      <c r="AA12" s="2632"/>
      <c r="AB12" s="529"/>
      <c r="AC12" s="529"/>
      <c r="AD12" s="529"/>
      <c r="AE12" s="529"/>
      <c r="AF12" s="529"/>
      <c r="AG12" s="529"/>
      <c r="AH12" s="529"/>
      <c r="AI12" s="529"/>
      <c r="AJ12" s="529"/>
      <c r="AK12" s="529"/>
      <c r="AL12" s="529"/>
      <c r="AM12" s="529"/>
      <c r="AN12" s="529"/>
      <c r="AO12" s="529"/>
      <c r="AP12" s="529"/>
      <c r="AQ12" s="529"/>
      <c r="AR12" s="529"/>
      <c r="AS12" s="529"/>
      <c r="AT12" s="529"/>
      <c r="AU12" s="529"/>
      <c r="AV12" s="529"/>
      <c r="AW12" s="529"/>
      <c r="AX12" s="529"/>
      <c r="AY12" s="529"/>
      <c r="AZ12" s="529"/>
      <c r="BA12" s="529"/>
      <c r="BB12" s="529"/>
      <c r="BC12" s="529"/>
      <c r="BD12" s="529"/>
      <c r="BE12" s="529"/>
      <c r="BF12" s="529"/>
      <c r="BG12" s="529"/>
      <c r="BH12" s="530"/>
      <c r="BI12" s="530"/>
      <c r="BJ12" s="530"/>
      <c r="BK12" s="530"/>
      <c r="BL12" s="530"/>
      <c r="BM12" s="530"/>
      <c r="BN12" s="532"/>
      <c r="BO12" s="530"/>
      <c r="BP12" s="532"/>
      <c r="BQ12" s="530"/>
      <c r="BR12" s="4478"/>
    </row>
    <row r="13" spans="1:70" ht="15" hidden="1" x14ac:dyDescent="0.2">
      <c r="A13" s="2632"/>
      <c r="B13" s="2632"/>
      <c r="C13" s="2632"/>
      <c r="D13" s="2632"/>
      <c r="E13" s="2632"/>
      <c r="F13" s="2632"/>
      <c r="G13" s="2632"/>
      <c r="H13" s="2632"/>
      <c r="I13" s="2632"/>
      <c r="J13" s="2632"/>
      <c r="K13" s="2632"/>
      <c r="L13" s="2632"/>
      <c r="M13" s="523"/>
      <c r="N13" s="524"/>
      <c r="O13" s="2632"/>
      <c r="P13" s="529"/>
      <c r="Q13" s="2632"/>
      <c r="R13" s="2632"/>
      <c r="S13" s="2632"/>
      <c r="T13" s="2632"/>
      <c r="U13" s="2632"/>
      <c r="V13" s="2632"/>
      <c r="W13" s="507"/>
      <c r="X13" s="507"/>
      <c r="Y13" s="529"/>
      <c r="Z13" s="529"/>
      <c r="AA13" s="2632"/>
      <c r="AB13" s="529"/>
      <c r="AC13" s="529"/>
      <c r="AD13" s="529"/>
      <c r="AE13" s="529"/>
      <c r="AF13" s="529"/>
      <c r="AG13" s="529"/>
      <c r="AH13" s="529"/>
      <c r="AI13" s="529"/>
      <c r="AJ13" s="529"/>
      <c r="AK13" s="529"/>
      <c r="AL13" s="529"/>
      <c r="AM13" s="529"/>
      <c r="AN13" s="529"/>
      <c r="AO13" s="529"/>
      <c r="AP13" s="529"/>
      <c r="AQ13" s="529"/>
      <c r="AR13" s="529"/>
      <c r="AS13" s="529"/>
      <c r="AT13" s="529"/>
      <c r="AU13" s="529"/>
      <c r="AV13" s="529"/>
      <c r="AW13" s="529"/>
      <c r="AX13" s="529"/>
      <c r="AY13" s="529"/>
      <c r="AZ13" s="529"/>
      <c r="BA13" s="529"/>
      <c r="BB13" s="529"/>
      <c r="BC13" s="529"/>
      <c r="BD13" s="529"/>
      <c r="BE13" s="529"/>
      <c r="BF13" s="529"/>
      <c r="BG13" s="529"/>
      <c r="BH13" s="530"/>
      <c r="BI13" s="530"/>
      <c r="BJ13" s="530"/>
      <c r="BK13" s="530"/>
      <c r="BL13" s="530"/>
      <c r="BM13" s="530"/>
      <c r="BN13" s="532"/>
      <c r="BO13" s="530"/>
      <c r="BP13" s="532"/>
      <c r="BQ13" s="530"/>
      <c r="BR13" s="4478"/>
    </row>
    <row r="14" spans="1:70" ht="15" hidden="1" x14ac:dyDescent="0.2">
      <c r="A14" s="2632"/>
      <c r="B14" s="2632"/>
      <c r="C14" s="2632"/>
      <c r="D14" s="2632"/>
      <c r="E14" s="2632"/>
      <c r="F14" s="2632"/>
      <c r="G14" s="2632"/>
      <c r="H14" s="2632"/>
      <c r="I14" s="2632"/>
      <c r="J14" s="2632"/>
      <c r="K14" s="2632"/>
      <c r="L14" s="2632"/>
      <c r="M14" s="523"/>
      <c r="N14" s="524"/>
      <c r="O14" s="2632"/>
      <c r="P14" s="529"/>
      <c r="Q14" s="2632"/>
      <c r="R14" s="2632"/>
      <c r="S14" s="2632"/>
      <c r="T14" s="2632"/>
      <c r="U14" s="2632"/>
      <c r="V14" s="2632"/>
      <c r="W14" s="507"/>
      <c r="X14" s="507"/>
      <c r="Y14" s="529"/>
      <c r="Z14" s="529"/>
      <c r="AA14" s="2632"/>
      <c r="AB14" s="529"/>
      <c r="AC14" s="529"/>
      <c r="AD14" s="529"/>
      <c r="AE14" s="529"/>
      <c r="AF14" s="529"/>
      <c r="AG14" s="529"/>
      <c r="AH14" s="529"/>
      <c r="AI14" s="529"/>
      <c r="AJ14" s="529"/>
      <c r="AK14" s="529"/>
      <c r="AL14" s="529"/>
      <c r="AM14" s="529"/>
      <c r="AN14" s="529"/>
      <c r="AO14" s="529"/>
      <c r="AP14" s="529"/>
      <c r="AQ14" s="529"/>
      <c r="AR14" s="529"/>
      <c r="AS14" s="529"/>
      <c r="AT14" s="529"/>
      <c r="AU14" s="529"/>
      <c r="AV14" s="529"/>
      <c r="AW14" s="529"/>
      <c r="AX14" s="529"/>
      <c r="AY14" s="529"/>
      <c r="AZ14" s="529"/>
      <c r="BA14" s="529"/>
      <c r="BB14" s="529"/>
      <c r="BC14" s="529"/>
      <c r="BD14" s="529"/>
      <c r="BE14" s="529"/>
      <c r="BF14" s="529"/>
      <c r="BG14" s="529"/>
      <c r="BH14" s="530"/>
      <c r="BI14" s="530"/>
      <c r="BJ14" s="530"/>
      <c r="BK14" s="530"/>
      <c r="BL14" s="530"/>
      <c r="BM14" s="530"/>
      <c r="BN14" s="532"/>
      <c r="BO14" s="530"/>
      <c r="BP14" s="532"/>
      <c r="BQ14" s="530"/>
      <c r="BR14" s="4478"/>
    </row>
    <row r="15" spans="1:70" ht="22.5" customHeight="1" x14ac:dyDescent="0.2">
      <c r="A15" s="2349">
        <v>5</v>
      </c>
      <c r="B15" s="4472" t="s">
        <v>2522</v>
      </c>
      <c r="C15" s="4473"/>
      <c r="D15" s="663"/>
      <c r="E15" s="663"/>
      <c r="F15" s="1799"/>
      <c r="G15" s="1799"/>
      <c r="H15" s="1799"/>
      <c r="I15" s="1799"/>
      <c r="J15" s="1799"/>
      <c r="K15" s="1799"/>
      <c r="L15" s="1799"/>
      <c r="M15" s="1799"/>
      <c r="N15" s="1799"/>
      <c r="O15" s="1799"/>
      <c r="P15" s="1799"/>
      <c r="Q15" s="1799"/>
      <c r="R15" s="1799"/>
      <c r="S15" s="1799"/>
      <c r="T15" s="1799"/>
      <c r="U15" s="1799"/>
      <c r="V15" s="1799"/>
      <c r="W15" s="1799"/>
      <c r="X15" s="1799"/>
      <c r="Y15" s="1799"/>
      <c r="Z15" s="1799"/>
      <c r="AA15" s="1799"/>
      <c r="AB15" s="1799"/>
      <c r="AC15" s="1799"/>
      <c r="AD15" s="1799"/>
      <c r="AE15" s="1799"/>
      <c r="AF15" s="1799"/>
      <c r="AG15" s="1799"/>
      <c r="AH15" s="1799"/>
      <c r="AI15" s="1799"/>
      <c r="AJ15" s="1799"/>
      <c r="AK15" s="1799"/>
      <c r="AL15" s="1799"/>
      <c r="AM15" s="1799"/>
      <c r="AN15" s="1799"/>
      <c r="AO15" s="1799"/>
      <c r="AP15" s="1799"/>
      <c r="AQ15" s="1799"/>
      <c r="AR15" s="1799"/>
      <c r="AS15" s="1799"/>
      <c r="AT15" s="1799"/>
      <c r="AU15" s="1799"/>
      <c r="AV15" s="1799"/>
      <c r="AW15" s="1799"/>
      <c r="AX15" s="1799"/>
      <c r="AY15" s="1799"/>
      <c r="AZ15" s="1799"/>
      <c r="BA15" s="1799"/>
      <c r="BB15" s="1799"/>
      <c r="BC15" s="1799"/>
      <c r="BD15" s="1799"/>
      <c r="BE15" s="1799"/>
      <c r="BF15" s="1799"/>
      <c r="BG15" s="1799"/>
      <c r="BH15" s="1799"/>
      <c r="BI15" s="1799"/>
      <c r="BJ15" s="1799"/>
      <c r="BK15" s="1799"/>
      <c r="BL15" s="1799"/>
      <c r="BM15" s="1799"/>
      <c r="BN15" s="1799"/>
      <c r="BO15" s="1799"/>
      <c r="BP15" s="1799"/>
      <c r="BQ15" s="1799"/>
      <c r="BR15" s="1802"/>
    </row>
    <row r="16" spans="1:70" ht="24" customHeight="1" x14ac:dyDescent="0.2">
      <c r="A16" s="3165"/>
      <c r="B16" s="3164"/>
      <c r="C16" s="3164"/>
      <c r="D16" s="2350">
        <v>25</v>
      </c>
      <c r="E16" s="2281" t="s">
        <v>61</v>
      </c>
      <c r="F16" s="2131"/>
      <c r="G16" s="2351"/>
      <c r="H16" s="2131"/>
      <c r="I16" s="2131"/>
      <c r="J16" s="2131"/>
      <c r="K16" s="2131"/>
      <c r="L16" s="2131"/>
      <c r="M16" s="2131"/>
      <c r="N16" s="2131"/>
      <c r="O16" s="2131"/>
      <c r="P16" s="2131"/>
      <c r="Q16" s="2131"/>
      <c r="R16" s="2131"/>
      <c r="S16" s="2131"/>
      <c r="T16" s="2131"/>
      <c r="U16" s="2131"/>
      <c r="V16" s="2131"/>
      <c r="W16" s="2131"/>
      <c r="X16" s="2131"/>
      <c r="Y16" s="2131"/>
      <c r="Z16" s="2131"/>
      <c r="AA16" s="2131"/>
      <c r="AB16" s="2131"/>
      <c r="AC16" s="2131"/>
      <c r="AD16" s="2131"/>
      <c r="AE16" s="2131"/>
      <c r="AF16" s="2131"/>
      <c r="AG16" s="2131"/>
      <c r="AH16" s="2131"/>
      <c r="AI16" s="2131"/>
      <c r="AJ16" s="2131"/>
      <c r="AK16" s="2131"/>
      <c r="AL16" s="2131"/>
      <c r="AM16" s="2131"/>
      <c r="AN16" s="2131"/>
      <c r="AO16" s="2131"/>
      <c r="AP16" s="2131"/>
      <c r="AQ16" s="2131"/>
      <c r="AR16" s="2131"/>
      <c r="AS16" s="2131"/>
      <c r="AT16" s="2131"/>
      <c r="AU16" s="2131"/>
      <c r="AV16" s="2131"/>
      <c r="AW16" s="2131"/>
      <c r="AX16" s="2131"/>
      <c r="AY16" s="2131"/>
      <c r="AZ16" s="2131"/>
      <c r="BA16" s="2131"/>
      <c r="BB16" s="2131"/>
      <c r="BC16" s="2131"/>
      <c r="BD16" s="2131"/>
      <c r="BE16" s="2131"/>
      <c r="BF16" s="2131"/>
      <c r="BG16" s="2131"/>
      <c r="BH16" s="2131"/>
      <c r="BI16" s="2131"/>
      <c r="BJ16" s="2131"/>
      <c r="BK16" s="2131"/>
      <c r="BL16" s="2131"/>
      <c r="BM16" s="2131"/>
      <c r="BN16" s="2131"/>
      <c r="BO16" s="2131"/>
      <c r="BP16" s="2131"/>
      <c r="BQ16" s="2131"/>
      <c r="BR16" s="2352"/>
    </row>
    <row r="17" spans="1:70" ht="24.75" customHeight="1" x14ac:dyDescent="0.2">
      <c r="A17" s="3207"/>
      <c r="B17" s="3164"/>
      <c r="C17" s="3164"/>
      <c r="D17" s="3164"/>
      <c r="E17" s="3164"/>
      <c r="F17" s="3164"/>
      <c r="G17" s="2353">
        <v>83</v>
      </c>
      <c r="H17" s="2354" t="s">
        <v>523</v>
      </c>
      <c r="I17" s="2355"/>
      <c r="J17" s="2140"/>
      <c r="K17" s="2140"/>
      <c r="L17" s="2140"/>
      <c r="M17" s="2140"/>
      <c r="N17" s="2140"/>
      <c r="O17" s="2140"/>
      <c r="P17" s="2140"/>
      <c r="Q17" s="2140"/>
      <c r="R17" s="2140"/>
      <c r="S17" s="2140"/>
      <c r="T17" s="2140"/>
      <c r="U17" s="2140"/>
      <c r="V17" s="2140"/>
      <c r="W17" s="2140"/>
      <c r="X17" s="2140"/>
      <c r="Y17" s="2140"/>
      <c r="Z17" s="2140"/>
      <c r="AA17" s="2140"/>
      <c r="AB17" s="2140"/>
      <c r="AC17" s="2140"/>
      <c r="AD17" s="2140"/>
      <c r="AE17" s="2140"/>
      <c r="AF17" s="2140"/>
      <c r="AG17" s="2140"/>
      <c r="AH17" s="2140"/>
      <c r="AI17" s="2140"/>
      <c r="AJ17" s="2140"/>
      <c r="AK17" s="2140"/>
      <c r="AL17" s="2140"/>
      <c r="AM17" s="2140"/>
      <c r="AN17" s="2140"/>
      <c r="AO17" s="2140"/>
      <c r="AP17" s="2140"/>
      <c r="AQ17" s="2140"/>
      <c r="AR17" s="2140"/>
      <c r="AS17" s="2140"/>
      <c r="AT17" s="2140"/>
      <c r="AU17" s="2140"/>
      <c r="AV17" s="2140"/>
      <c r="AW17" s="2140"/>
      <c r="AX17" s="2140"/>
      <c r="AY17" s="2140"/>
      <c r="AZ17" s="2140"/>
      <c r="BA17" s="2140"/>
      <c r="BB17" s="2140"/>
      <c r="BC17" s="2140"/>
      <c r="BD17" s="2140"/>
      <c r="BE17" s="2140"/>
      <c r="BF17" s="2140"/>
      <c r="BG17" s="2140"/>
      <c r="BH17" s="2140"/>
      <c r="BI17" s="2140"/>
      <c r="BJ17" s="2140"/>
      <c r="BK17" s="2140"/>
      <c r="BL17" s="2140"/>
      <c r="BM17" s="2140"/>
      <c r="BN17" s="2140"/>
      <c r="BO17" s="2140"/>
      <c r="BP17" s="2140"/>
      <c r="BQ17" s="2140"/>
      <c r="BR17" s="2355"/>
    </row>
    <row r="18" spans="1:70" ht="131.25" customHeight="1" x14ac:dyDescent="0.2">
      <c r="A18" s="3207"/>
      <c r="B18" s="3164"/>
      <c r="C18" s="3164"/>
      <c r="D18" s="3164"/>
      <c r="E18" s="3164"/>
      <c r="F18" s="3164"/>
      <c r="G18" s="3165"/>
      <c r="H18" s="3164"/>
      <c r="I18" s="3164"/>
      <c r="J18" s="2977">
        <v>243</v>
      </c>
      <c r="K18" s="2834" t="s">
        <v>2523</v>
      </c>
      <c r="L18" s="2834" t="s">
        <v>2524</v>
      </c>
      <c r="M18" s="2977">
        <v>6</v>
      </c>
      <c r="N18" s="2977">
        <v>6</v>
      </c>
      <c r="O18" s="2977" t="s">
        <v>2525</v>
      </c>
      <c r="P18" s="2977" t="s">
        <v>2526</v>
      </c>
      <c r="Q18" s="2834" t="s">
        <v>2527</v>
      </c>
      <c r="R18" s="3160">
        <v>1</v>
      </c>
      <c r="S18" s="3167">
        <v>71548128</v>
      </c>
      <c r="T18" s="4469" t="s">
        <v>2528</v>
      </c>
      <c r="U18" s="2807" t="s">
        <v>2529</v>
      </c>
      <c r="V18" s="711" t="s">
        <v>2530</v>
      </c>
      <c r="W18" s="1831">
        <v>17887032</v>
      </c>
      <c r="X18" s="1831">
        <v>16110000</v>
      </c>
      <c r="Y18" s="1831">
        <v>16110000</v>
      </c>
      <c r="Z18" s="4464">
        <v>20</v>
      </c>
      <c r="AA18" s="2977" t="s">
        <v>1425</v>
      </c>
      <c r="AB18" s="2977">
        <v>292684</v>
      </c>
      <c r="AC18" s="2977">
        <v>292684</v>
      </c>
      <c r="AD18" s="2977">
        <v>282326</v>
      </c>
      <c r="AE18" s="2977">
        <v>282326</v>
      </c>
      <c r="AF18" s="2977">
        <v>135912</v>
      </c>
      <c r="AG18" s="2977">
        <v>135912</v>
      </c>
      <c r="AH18" s="2977">
        <v>45122</v>
      </c>
      <c r="AI18" s="2977">
        <v>45122</v>
      </c>
      <c r="AJ18" s="2977">
        <v>307101</v>
      </c>
      <c r="AK18" s="2977">
        <v>307101</v>
      </c>
      <c r="AL18" s="2977">
        <v>86875</v>
      </c>
      <c r="AM18" s="2977">
        <v>86875</v>
      </c>
      <c r="AN18" s="2977">
        <v>2145</v>
      </c>
      <c r="AO18" s="2977">
        <v>2145</v>
      </c>
      <c r="AP18" s="2977">
        <v>12718</v>
      </c>
      <c r="AQ18" s="2977">
        <v>12718</v>
      </c>
      <c r="AR18" s="2977">
        <v>26</v>
      </c>
      <c r="AS18" s="2977">
        <v>26</v>
      </c>
      <c r="AT18" s="2977">
        <v>37</v>
      </c>
      <c r="AU18" s="2977">
        <v>37</v>
      </c>
      <c r="AV18" s="2977"/>
      <c r="AW18" s="2977"/>
      <c r="AX18" s="2977"/>
      <c r="AY18" s="2977"/>
      <c r="AZ18" s="2977">
        <v>43029</v>
      </c>
      <c r="BA18" s="2977">
        <v>43029</v>
      </c>
      <c r="BB18" s="2977">
        <v>16982</v>
      </c>
      <c r="BC18" s="2977">
        <v>16982</v>
      </c>
      <c r="BD18" s="2977">
        <v>60013</v>
      </c>
      <c r="BE18" s="2977">
        <v>60013</v>
      </c>
      <c r="BF18" s="2977">
        <f>+AB18+AD18</f>
        <v>575010</v>
      </c>
      <c r="BG18" s="2977">
        <f>+AC18+AE18</f>
        <v>575010</v>
      </c>
      <c r="BH18" s="2977">
        <v>3</v>
      </c>
      <c r="BI18" s="4459">
        <v>64440000</v>
      </c>
      <c r="BJ18" s="4461">
        <f>+Y22</f>
        <v>39380000</v>
      </c>
      <c r="BK18" s="4463">
        <v>0.61109999999999998</v>
      </c>
      <c r="BL18" s="2977" t="s">
        <v>86</v>
      </c>
      <c r="BM18" s="2834" t="s">
        <v>2531</v>
      </c>
      <c r="BN18" s="4340">
        <v>43497</v>
      </c>
      <c r="BO18" s="4340">
        <v>43517</v>
      </c>
      <c r="BP18" s="4340">
        <v>43676</v>
      </c>
      <c r="BQ18" s="4340">
        <v>43697</v>
      </c>
      <c r="BR18" s="4454" t="s">
        <v>2532</v>
      </c>
    </row>
    <row r="19" spans="1:70" ht="87" customHeight="1" x14ac:dyDescent="0.2">
      <c r="A19" s="3207"/>
      <c r="B19" s="3165"/>
      <c r="C19" s="3165"/>
      <c r="D19" s="3165"/>
      <c r="E19" s="3165"/>
      <c r="F19" s="3164"/>
      <c r="G19" s="3207"/>
      <c r="H19" s="3164"/>
      <c r="I19" s="3164"/>
      <c r="J19" s="2966"/>
      <c r="K19" s="2923"/>
      <c r="L19" s="2923"/>
      <c r="M19" s="2966"/>
      <c r="N19" s="2966"/>
      <c r="O19" s="2966"/>
      <c r="P19" s="2966"/>
      <c r="Q19" s="2923"/>
      <c r="R19" s="3379"/>
      <c r="S19" s="3187"/>
      <c r="T19" s="4470"/>
      <c r="U19" s="2807"/>
      <c r="V19" s="711" t="s">
        <v>2533</v>
      </c>
      <c r="W19" s="1831">
        <v>17887032</v>
      </c>
      <c r="X19" s="1831">
        <v>16110000</v>
      </c>
      <c r="Y19" s="1823">
        <v>16110000</v>
      </c>
      <c r="Z19" s="4465"/>
      <c r="AA19" s="2966"/>
      <c r="AB19" s="2966"/>
      <c r="AC19" s="2966"/>
      <c r="AD19" s="2966"/>
      <c r="AE19" s="2966"/>
      <c r="AF19" s="2966"/>
      <c r="AG19" s="2966"/>
      <c r="AH19" s="2966"/>
      <c r="AI19" s="2966"/>
      <c r="AJ19" s="2966"/>
      <c r="AK19" s="2966"/>
      <c r="AL19" s="2966"/>
      <c r="AM19" s="2966"/>
      <c r="AN19" s="2966"/>
      <c r="AO19" s="2966"/>
      <c r="AP19" s="2966"/>
      <c r="AQ19" s="2966"/>
      <c r="AR19" s="2966"/>
      <c r="AS19" s="2966"/>
      <c r="AT19" s="2966"/>
      <c r="AU19" s="2966"/>
      <c r="AV19" s="2966"/>
      <c r="AW19" s="2966"/>
      <c r="AX19" s="2966"/>
      <c r="AY19" s="2966"/>
      <c r="AZ19" s="2966"/>
      <c r="BA19" s="2966"/>
      <c r="BB19" s="2966"/>
      <c r="BC19" s="2966"/>
      <c r="BD19" s="2966"/>
      <c r="BE19" s="2966"/>
      <c r="BF19" s="2966"/>
      <c r="BG19" s="2966"/>
      <c r="BH19" s="2966"/>
      <c r="BI19" s="4460"/>
      <c r="BJ19" s="4462"/>
      <c r="BK19" s="2966"/>
      <c r="BL19" s="2966"/>
      <c r="BM19" s="2923"/>
      <c r="BN19" s="4341"/>
      <c r="BO19" s="4341"/>
      <c r="BP19" s="4341"/>
      <c r="BQ19" s="4341"/>
      <c r="BR19" s="4455"/>
    </row>
    <row r="20" spans="1:70" ht="101.25" customHeight="1" x14ac:dyDescent="0.2">
      <c r="A20" s="3207"/>
      <c r="B20" s="3165"/>
      <c r="C20" s="3165"/>
      <c r="D20" s="3165"/>
      <c r="E20" s="3165"/>
      <c r="F20" s="3164"/>
      <c r="G20" s="3207"/>
      <c r="H20" s="3164"/>
      <c r="I20" s="3164"/>
      <c r="J20" s="2966"/>
      <c r="K20" s="2923"/>
      <c r="L20" s="2923"/>
      <c r="M20" s="2966"/>
      <c r="N20" s="2966"/>
      <c r="O20" s="2966"/>
      <c r="P20" s="2966"/>
      <c r="Q20" s="2923"/>
      <c r="R20" s="3379"/>
      <c r="S20" s="3187"/>
      <c r="T20" s="4470"/>
      <c r="U20" s="2807" t="s">
        <v>2534</v>
      </c>
      <c r="V20" s="711" t="s">
        <v>2535</v>
      </c>
      <c r="W20" s="1831">
        <v>17887032</v>
      </c>
      <c r="X20" s="1831">
        <v>16110000</v>
      </c>
      <c r="Y20" s="1823">
        <v>7160000</v>
      </c>
      <c r="Z20" s="4465"/>
      <c r="AA20" s="2966"/>
      <c r="AB20" s="2966"/>
      <c r="AC20" s="2966"/>
      <c r="AD20" s="2966"/>
      <c r="AE20" s="2966"/>
      <c r="AF20" s="2966"/>
      <c r="AG20" s="2966"/>
      <c r="AH20" s="2966"/>
      <c r="AI20" s="2966"/>
      <c r="AJ20" s="2966"/>
      <c r="AK20" s="2966"/>
      <c r="AL20" s="2966"/>
      <c r="AM20" s="2966"/>
      <c r="AN20" s="2966"/>
      <c r="AO20" s="2966"/>
      <c r="AP20" s="2966"/>
      <c r="AQ20" s="2966"/>
      <c r="AR20" s="2966"/>
      <c r="AS20" s="2966"/>
      <c r="AT20" s="2966"/>
      <c r="AU20" s="2966"/>
      <c r="AV20" s="2966"/>
      <c r="AW20" s="2966"/>
      <c r="AX20" s="2966"/>
      <c r="AY20" s="2966"/>
      <c r="AZ20" s="2966"/>
      <c r="BA20" s="2966"/>
      <c r="BB20" s="2966"/>
      <c r="BC20" s="2966"/>
      <c r="BD20" s="2966"/>
      <c r="BE20" s="2966"/>
      <c r="BF20" s="2966"/>
      <c r="BG20" s="2966"/>
      <c r="BH20" s="2966"/>
      <c r="BI20" s="4460"/>
      <c r="BJ20" s="4462"/>
      <c r="BK20" s="2966"/>
      <c r="BL20" s="2966"/>
      <c r="BM20" s="2923"/>
      <c r="BN20" s="4341"/>
      <c r="BO20" s="4341"/>
      <c r="BP20" s="4341"/>
      <c r="BQ20" s="4341"/>
      <c r="BR20" s="4455"/>
    </row>
    <row r="21" spans="1:70" ht="82.5" customHeight="1" thickBot="1" x14ac:dyDescent="0.25">
      <c r="A21" s="3207"/>
      <c r="B21" s="3165"/>
      <c r="C21" s="3165"/>
      <c r="D21" s="3165"/>
      <c r="E21" s="3165"/>
      <c r="F21" s="3164"/>
      <c r="G21" s="4474"/>
      <c r="H21" s="3164"/>
      <c r="I21" s="3164"/>
      <c r="J21" s="2980"/>
      <c r="K21" s="2981"/>
      <c r="L21" s="2981"/>
      <c r="M21" s="2980"/>
      <c r="N21" s="2980"/>
      <c r="O21" s="2980"/>
      <c r="P21" s="2980"/>
      <c r="Q21" s="2981"/>
      <c r="R21" s="4467"/>
      <c r="S21" s="4468"/>
      <c r="T21" s="4471"/>
      <c r="U21" s="2834"/>
      <c r="V21" s="711" t="s">
        <v>2536</v>
      </c>
      <c r="W21" s="1831">
        <v>17887032</v>
      </c>
      <c r="X21" s="1831">
        <v>16110000</v>
      </c>
      <c r="Y21" s="1823"/>
      <c r="Z21" s="4466"/>
      <c r="AA21" s="2980"/>
      <c r="AB21" s="2980"/>
      <c r="AC21" s="2980"/>
      <c r="AD21" s="2980"/>
      <c r="AE21" s="2980"/>
      <c r="AF21" s="2980"/>
      <c r="AG21" s="2980"/>
      <c r="AH21" s="2980"/>
      <c r="AI21" s="2980"/>
      <c r="AJ21" s="2980"/>
      <c r="AK21" s="2980"/>
      <c r="AL21" s="2980"/>
      <c r="AM21" s="2980"/>
      <c r="AN21" s="2980"/>
      <c r="AO21" s="2980"/>
      <c r="AP21" s="2980"/>
      <c r="AQ21" s="2980"/>
      <c r="AR21" s="2980"/>
      <c r="AS21" s="2980"/>
      <c r="AT21" s="2980"/>
      <c r="AU21" s="2980"/>
      <c r="AV21" s="2980"/>
      <c r="AW21" s="2980"/>
      <c r="AX21" s="2980"/>
      <c r="AY21" s="2980"/>
      <c r="AZ21" s="2980"/>
      <c r="BA21" s="2980"/>
      <c r="BB21" s="2980"/>
      <c r="BC21" s="2980"/>
      <c r="BD21" s="2980"/>
      <c r="BE21" s="2980"/>
      <c r="BF21" s="2980"/>
      <c r="BG21" s="2980"/>
      <c r="BH21" s="2966"/>
      <c r="BI21" s="4460"/>
      <c r="BJ21" s="4462"/>
      <c r="BK21" s="2966"/>
      <c r="BL21" s="2966"/>
      <c r="BM21" s="2923"/>
      <c r="BN21" s="4341"/>
      <c r="BO21" s="4341"/>
      <c r="BP21" s="4341"/>
      <c r="BQ21" s="4341"/>
      <c r="BR21" s="4455"/>
    </row>
    <row r="22" spans="1:70" s="2243" customFormat="1" ht="15.75" thickBot="1" x14ac:dyDescent="0.3">
      <c r="A22" s="2356"/>
      <c r="B22" s="2357"/>
      <c r="C22" s="2357"/>
      <c r="D22" s="2357"/>
      <c r="E22" s="2358"/>
      <c r="G22" s="4456" t="s">
        <v>104</v>
      </c>
      <c r="H22" s="4457"/>
      <c r="I22" s="4457"/>
      <c r="J22" s="4457"/>
      <c r="K22" s="4457"/>
      <c r="L22" s="4457"/>
      <c r="M22" s="4457"/>
      <c r="N22" s="4457"/>
      <c r="O22" s="4457"/>
      <c r="P22" s="4457"/>
      <c r="Q22" s="4457"/>
      <c r="R22" s="4458"/>
      <c r="S22" s="2359">
        <v>71548128</v>
      </c>
      <c r="T22" s="2356"/>
      <c r="U22" s="2360"/>
      <c r="V22" s="2361"/>
      <c r="W22" s="2359">
        <f>SUM(W18:W21)</f>
        <v>71548128</v>
      </c>
      <c r="X22" s="2359">
        <f>SUM(X18:X21)</f>
        <v>64440000</v>
      </c>
      <c r="Y22" s="2359">
        <f>SUM(Y18:Y21)</f>
        <v>39380000</v>
      </c>
      <c r="Z22" s="2362"/>
      <c r="AA22" s="2363"/>
      <c r="AB22" s="2363"/>
      <c r="AC22" s="2363"/>
      <c r="AD22" s="2363"/>
      <c r="AE22" s="2363"/>
      <c r="AF22" s="2363"/>
      <c r="AG22" s="2363"/>
      <c r="AH22" s="2363"/>
      <c r="AI22" s="2363"/>
      <c r="AJ22" s="2363"/>
      <c r="AK22" s="2363"/>
      <c r="AL22" s="2363"/>
      <c r="AM22" s="2363"/>
      <c r="AN22" s="2363"/>
      <c r="AO22" s="2363"/>
      <c r="AP22" s="2363"/>
      <c r="AQ22" s="2363"/>
      <c r="AR22" s="2363"/>
      <c r="AS22" s="2363"/>
      <c r="AT22" s="2363"/>
      <c r="AU22" s="2363"/>
      <c r="AV22" s="2363"/>
      <c r="AW22" s="2363"/>
      <c r="AX22" s="2363"/>
      <c r="AY22" s="2363"/>
      <c r="AZ22" s="2363"/>
      <c r="BA22" s="2363"/>
      <c r="BB22" s="2363"/>
      <c r="BC22" s="2363"/>
      <c r="BD22" s="2363"/>
      <c r="BE22" s="2363"/>
      <c r="BF22" s="2363"/>
      <c r="BG22" s="2363"/>
      <c r="BH22" s="2364">
        <v>3</v>
      </c>
      <c r="BI22" s="2365">
        <v>64440000</v>
      </c>
      <c r="BJ22" s="2365">
        <f>+BJ18</f>
        <v>39380000</v>
      </c>
      <c r="BK22" s="2366">
        <v>0.61109999999999998</v>
      </c>
      <c r="BL22" s="2367"/>
      <c r="BM22" s="2367"/>
      <c r="BN22" s="2368"/>
      <c r="BO22" s="2368"/>
      <c r="BP22" s="2369"/>
      <c r="BQ22" s="2369"/>
      <c r="BR22" s="2370"/>
    </row>
    <row r="23" spans="1:70" x14ac:dyDescent="0.2">
      <c r="S23" s="2371"/>
    </row>
    <row r="24" spans="1:70" ht="15" x14ac:dyDescent="0.25">
      <c r="S24" s="2196"/>
      <c r="W24" s="934"/>
      <c r="X24" s="2372"/>
    </row>
    <row r="25" spans="1:70" x14ac:dyDescent="0.2">
      <c r="W25" s="2196"/>
    </row>
    <row r="28" spans="1:70" ht="15" x14ac:dyDescent="0.25">
      <c r="M28" s="2373"/>
      <c r="N28" s="2373"/>
      <c r="O28" s="2374"/>
      <c r="P28" s="2374"/>
    </row>
    <row r="29" spans="1:70" ht="15" x14ac:dyDescent="0.25">
      <c r="M29" s="1848" t="s">
        <v>106</v>
      </c>
      <c r="N29" s="1848"/>
      <c r="O29" s="1848"/>
    </row>
  </sheetData>
  <sheetProtection password="CBEB" sheet="1" objects="1" scenarios="1"/>
  <mergeCells count="120">
    <mergeCell ref="A1:BP4"/>
    <mergeCell ref="A5:O6"/>
    <mergeCell ref="P5:BR6"/>
    <mergeCell ref="A7:A14"/>
    <mergeCell ref="B7:C14"/>
    <mergeCell ref="D7:D14"/>
    <mergeCell ref="E7:F14"/>
    <mergeCell ref="G7:G14"/>
    <mergeCell ref="H7:I14"/>
    <mergeCell ref="J7:J14"/>
    <mergeCell ref="BN7:BO8"/>
    <mergeCell ref="BP7:BQ8"/>
    <mergeCell ref="BR7:BR14"/>
    <mergeCell ref="AB8:AC8"/>
    <mergeCell ref="AD8:AE8"/>
    <mergeCell ref="AF8:AG8"/>
    <mergeCell ref="AH8:AI8"/>
    <mergeCell ref="AJ8:AK8"/>
    <mergeCell ref="Z7:Z9"/>
    <mergeCell ref="AA7:AA14"/>
    <mergeCell ref="AB7:AE7"/>
    <mergeCell ref="AF7:AM7"/>
    <mergeCell ref="AN7:AY7"/>
    <mergeCell ref="AZ7:BE7"/>
    <mergeCell ref="AL8:AM8"/>
    <mergeCell ref="AN8:AO8"/>
    <mergeCell ref="AP8:AQ8"/>
    <mergeCell ref="AR8:AS8"/>
    <mergeCell ref="BK8:BK9"/>
    <mergeCell ref="BL8:BL9"/>
    <mergeCell ref="BM8:BM9"/>
    <mergeCell ref="AT8:AU8"/>
    <mergeCell ref="AV8:AW8"/>
    <mergeCell ref="AX8:AY8"/>
    <mergeCell ref="AZ8:BA8"/>
    <mergeCell ref="BB8:BC8"/>
    <mergeCell ref="BD8:BE8"/>
    <mergeCell ref="BF7:BG8"/>
    <mergeCell ref="BH7:BM7"/>
    <mergeCell ref="B15:C15"/>
    <mergeCell ref="A16:A21"/>
    <mergeCell ref="B16:C21"/>
    <mergeCell ref="D17:D21"/>
    <mergeCell ref="E17:F21"/>
    <mergeCell ref="G18:G21"/>
    <mergeCell ref="BH8:BH9"/>
    <mergeCell ref="BI8:BI9"/>
    <mergeCell ref="BJ8:BJ9"/>
    <mergeCell ref="R7:R14"/>
    <mergeCell ref="S7:S14"/>
    <mergeCell ref="T7:T14"/>
    <mergeCell ref="U7:U14"/>
    <mergeCell ref="V7:V14"/>
    <mergeCell ref="W7:Y8"/>
    <mergeCell ref="K7:K14"/>
    <mergeCell ref="L7:L14"/>
    <mergeCell ref="M7:N8"/>
    <mergeCell ref="O7:O14"/>
    <mergeCell ref="P7:P9"/>
    <mergeCell ref="Q7:Q14"/>
    <mergeCell ref="O18:O21"/>
    <mergeCell ref="P18:P21"/>
    <mergeCell ref="Q18:Q21"/>
    <mergeCell ref="R18:R21"/>
    <mergeCell ref="S18:S21"/>
    <mergeCell ref="T18:T21"/>
    <mergeCell ref="H18:I21"/>
    <mergeCell ref="J18:J21"/>
    <mergeCell ref="K18:K21"/>
    <mergeCell ref="L18:L21"/>
    <mergeCell ref="M18:M21"/>
    <mergeCell ref="N18:N21"/>
    <mergeCell ref="AE18:AE21"/>
    <mergeCell ref="AF18:AF21"/>
    <mergeCell ref="AG18:AG21"/>
    <mergeCell ref="AH18:AH21"/>
    <mergeCell ref="AI18:AI21"/>
    <mergeCell ref="AJ18:AJ21"/>
    <mergeCell ref="U18:U19"/>
    <mergeCell ref="Z18:Z21"/>
    <mergeCell ref="AA18:AA21"/>
    <mergeCell ref="AB18:AB21"/>
    <mergeCell ref="AC18:AC21"/>
    <mergeCell ref="AD18:AD21"/>
    <mergeCell ref="AQ18:AQ21"/>
    <mergeCell ref="AR18:AR21"/>
    <mergeCell ref="AS18:AS21"/>
    <mergeCell ref="AT18:AT21"/>
    <mergeCell ref="AU18:AU21"/>
    <mergeCell ref="AV18:AV21"/>
    <mergeCell ref="AK18:AK21"/>
    <mergeCell ref="AL18:AL21"/>
    <mergeCell ref="AM18:AM21"/>
    <mergeCell ref="AN18:AN21"/>
    <mergeCell ref="AO18:AO21"/>
    <mergeCell ref="AP18:AP21"/>
    <mergeCell ref="BO18:BO21"/>
    <mergeCell ref="BP18:BP21"/>
    <mergeCell ref="BQ18:BQ21"/>
    <mergeCell ref="BR18:BR21"/>
    <mergeCell ref="U20:U21"/>
    <mergeCell ref="G22:R22"/>
    <mergeCell ref="BI18:BI21"/>
    <mergeCell ref="BJ18:BJ21"/>
    <mergeCell ref="BK18:BK21"/>
    <mergeCell ref="BL18:BL21"/>
    <mergeCell ref="BM18:BM21"/>
    <mergeCell ref="BN18:BN21"/>
    <mergeCell ref="BC18:BC21"/>
    <mergeCell ref="BD18:BD21"/>
    <mergeCell ref="BE18:BE21"/>
    <mergeCell ref="BF18:BF21"/>
    <mergeCell ref="BG18:BG21"/>
    <mergeCell ref="BH18:BH21"/>
    <mergeCell ref="AW18:AW21"/>
    <mergeCell ref="AX18:AX21"/>
    <mergeCell ref="AY18:AY21"/>
    <mergeCell ref="AZ18:AZ21"/>
    <mergeCell ref="BA18:BA21"/>
    <mergeCell ref="BB18:BB2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LT365"/>
  <sheetViews>
    <sheetView showGridLines="0" topLeftCell="V201" zoomScale="60" zoomScaleNormal="60" workbookViewId="0">
      <selection activeCell="Y300" sqref="Y300"/>
    </sheetView>
  </sheetViews>
  <sheetFormatPr baseColWidth="10" defaultColWidth="30" defaultRowHeight="14.25" x14ac:dyDescent="0.2"/>
  <cols>
    <col min="1" max="1" width="13" style="946" customWidth="1"/>
    <col min="2" max="2" width="7.140625" style="946" customWidth="1"/>
    <col min="3" max="3" width="12.5703125" style="946" customWidth="1"/>
    <col min="4" max="4" width="17" style="946" customWidth="1"/>
    <col min="5" max="5" width="8.5703125" style="946" customWidth="1"/>
    <col min="6" max="6" width="9.42578125" style="946" customWidth="1"/>
    <col min="7" max="7" width="16.7109375" style="946" customWidth="1"/>
    <col min="8" max="8" width="4.7109375" style="946" customWidth="1"/>
    <col min="9" max="9" width="20" style="946" customWidth="1"/>
    <col min="10" max="10" width="16.42578125" style="946" customWidth="1"/>
    <col min="11" max="11" width="38.7109375" style="1159" customWidth="1"/>
    <col min="12" max="12" width="19.140625" style="978" customWidth="1"/>
    <col min="13" max="13" width="10" style="978" customWidth="1"/>
    <col min="14" max="14" width="15" style="978" customWidth="1"/>
    <col min="15" max="15" width="39.42578125" style="1060" bestFit="1" customWidth="1"/>
    <col min="16" max="16" width="20.7109375" style="978" customWidth="1"/>
    <col min="17" max="17" width="30.5703125" style="1159" customWidth="1"/>
    <col min="18" max="18" width="18.7109375" style="1160" customWidth="1"/>
    <col min="19" max="19" width="26.42578125" style="1060" customWidth="1"/>
    <col min="20" max="20" width="22.7109375" style="978" customWidth="1"/>
    <col min="21" max="21" width="37.42578125" style="1159" customWidth="1"/>
    <col min="22" max="22" width="47.140625" style="1161" customWidth="1"/>
    <col min="23" max="23" width="27.7109375" style="1161" customWidth="1"/>
    <col min="24" max="24" width="27.140625" style="1161" customWidth="1"/>
    <col min="25" max="25" width="26.140625" style="1161" customWidth="1"/>
    <col min="26" max="26" width="18.7109375" style="1160" customWidth="1"/>
    <col min="27" max="27" width="30" style="1160"/>
    <col min="28" max="31" width="14.7109375" style="1163" customWidth="1"/>
    <col min="32" max="33" width="14.7109375" style="1164" customWidth="1"/>
    <col min="34" max="41" width="14.7109375" style="1163" customWidth="1"/>
    <col min="42" max="43" width="14.7109375" style="1165" customWidth="1"/>
    <col min="44" max="45" width="14.7109375" style="1163" customWidth="1"/>
    <col min="46" max="47" width="14.7109375" style="1164" customWidth="1"/>
    <col min="48" max="51" width="14.7109375" style="1163" customWidth="1"/>
    <col min="52" max="59" width="14.7109375" style="1164" customWidth="1"/>
    <col min="60" max="60" width="25" style="1164" customWidth="1"/>
    <col min="61" max="61" width="28.5703125" style="1164" customWidth="1"/>
    <col min="62" max="63" width="25" style="1164" customWidth="1"/>
    <col min="64" max="64" width="20.7109375" style="1164" customWidth="1"/>
    <col min="65" max="65" width="22.42578125" style="1164" customWidth="1"/>
    <col min="66" max="66" width="16.7109375" style="946" customWidth="1"/>
    <col min="67" max="67" width="16.85546875" style="946" customWidth="1"/>
    <col min="68" max="68" width="17.7109375" style="946" customWidth="1"/>
    <col min="69" max="69" width="18.28515625" style="946" customWidth="1"/>
    <col min="70" max="70" width="30.140625" style="946" bestFit="1" customWidth="1"/>
    <col min="71" max="16384" width="30" style="946"/>
  </cols>
  <sheetData>
    <row r="1" spans="1:70" s="657" customFormat="1" ht="15" x14ac:dyDescent="0.25">
      <c r="A1" s="3646" t="s">
        <v>753</v>
      </c>
      <c r="B1" s="3647"/>
      <c r="C1" s="3647"/>
      <c r="D1" s="3647"/>
      <c r="E1" s="3647"/>
      <c r="F1" s="3647"/>
      <c r="G1" s="3647"/>
      <c r="H1" s="3647"/>
      <c r="I1" s="3647"/>
      <c r="J1" s="3647"/>
      <c r="K1" s="3647"/>
      <c r="L1" s="3647"/>
      <c r="M1" s="3647"/>
      <c r="N1" s="3647"/>
      <c r="O1" s="3647"/>
      <c r="P1" s="3647"/>
      <c r="Q1" s="3647"/>
      <c r="R1" s="3647"/>
      <c r="S1" s="3647"/>
      <c r="T1" s="3647"/>
      <c r="U1" s="3647"/>
      <c r="V1" s="3647"/>
      <c r="W1" s="3647"/>
      <c r="X1" s="3647"/>
      <c r="Y1" s="3647"/>
      <c r="Z1" s="3647"/>
      <c r="AA1" s="3647"/>
      <c r="AB1" s="3647"/>
      <c r="AC1" s="3647"/>
      <c r="AD1" s="3647"/>
      <c r="AE1" s="3647"/>
      <c r="AF1" s="3647"/>
      <c r="AG1" s="3647"/>
      <c r="AH1" s="3647"/>
      <c r="AI1" s="3647"/>
      <c r="AJ1" s="3647"/>
      <c r="AK1" s="3647"/>
      <c r="AL1" s="3647"/>
      <c r="AM1" s="3647"/>
      <c r="AN1" s="3647"/>
      <c r="AO1" s="3647"/>
      <c r="AP1" s="3647"/>
      <c r="AQ1" s="3647"/>
      <c r="AR1" s="3647"/>
      <c r="AS1" s="3647"/>
      <c r="AT1" s="3647"/>
      <c r="AU1" s="3647"/>
      <c r="AV1" s="3647"/>
      <c r="AW1" s="3647"/>
      <c r="AX1" s="3647"/>
      <c r="AY1" s="3647"/>
      <c r="AZ1" s="3647"/>
      <c r="BA1" s="3647"/>
      <c r="BB1" s="3647"/>
      <c r="BC1" s="3647"/>
      <c r="BD1" s="3647"/>
      <c r="BE1" s="3647"/>
      <c r="BF1" s="3647"/>
      <c r="BG1" s="3647"/>
      <c r="BH1" s="3647"/>
      <c r="BI1" s="3647"/>
      <c r="BJ1" s="3647"/>
      <c r="BK1" s="3647"/>
      <c r="BL1" s="3647"/>
      <c r="BM1" s="3647"/>
      <c r="BN1" s="3647"/>
      <c r="BO1" s="925"/>
      <c r="BQ1" s="926" t="s">
        <v>1</v>
      </c>
      <c r="BR1" s="4" t="s">
        <v>2</v>
      </c>
    </row>
    <row r="2" spans="1:70" s="657" customFormat="1" ht="15" x14ac:dyDescent="0.25">
      <c r="A2" s="3648"/>
      <c r="B2" s="4453"/>
      <c r="C2" s="4453"/>
      <c r="D2" s="4453"/>
      <c r="E2" s="4453"/>
      <c r="F2" s="4453"/>
      <c r="G2" s="4453"/>
      <c r="H2" s="4453"/>
      <c r="I2" s="4453"/>
      <c r="J2" s="4453"/>
      <c r="K2" s="4453"/>
      <c r="L2" s="4453"/>
      <c r="M2" s="4453"/>
      <c r="N2" s="4453"/>
      <c r="O2" s="4453"/>
      <c r="P2" s="4453"/>
      <c r="Q2" s="4453"/>
      <c r="R2" s="4453"/>
      <c r="S2" s="4453"/>
      <c r="T2" s="4453"/>
      <c r="U2" s="4453"/>
      <c r="V2" s="4453"/>
      <c r="W2" s="4453"/>
      <c r="X2" s="4453"/>
      <c r="Y2" s="4453"/>
      <c r="Z2" s="4453"/>
      <c r="AA2" s="4453"/>
      <c r="AB2" s="4453"/>
      <c r="AC2" s="4453"/>
      <c r="AD2" s="4453"/>
      <c r="AE2" s="4453"/>
      <c r="AF2" s="4453"/>
      <c r="AG2" s="4453"/>
      <c r="AH2" s="4453"/>
      <c r="AI2" s="4453"/>
      <c r="AJ2" s="4453"/>
      <c r="AK2" s="4453"/>
      <c r="AL2" s="4453"/>
      <c r="AM2" s="4453"/>
      <c r="AN2" s="4453"/>
      <c r="AO2" s="4453"/>
      <c r="AP2" s="4453"/>
      <c r="AQ2" s="4453"/>
      <c r="AR2" s="4453"/>
      <c r="AS2" s="4453"/>
      <c r="AT2" s="4453"/>
      <c r="AU2" s="4453"/>
      <c r="AV2" s="4453"/>
      <c r="AW2" s="4453"/>
      <c r="AX2" s="4453"/>
      <c r="AY2" s="4453"/>
      <c r="AZ2" s="4453"/>
      <c r="BA2" s="4453"/>
      <c r="BB2" s="4453"/>
      <c r="BC2" s="4453"/>
      <c r="BD2" s="4453"/>
      <c r="BE2" s="4453"/>
      <c r="BF2" s="4453"/>
      <c r="BG2" s="4453"/>
      <c r="BH2" s="4453"/>
      <c r="BI2" s="4453"/>
      <c r="BJ2" s="4453"/>
      <c r="BK2" s="4453"/>
      <c r="BL2" s="4453"/>
      <c r="BM2" s="4453"/>
      <c r="BN2" s="4453"/>
      <c r="BO2" s="925"/>
      <c r="BQ2" s="926" t="s">
        <v>3</v>
      </c>
      <c r="BR2" s="6">
        <v>6</v>
      </c>
    </row>
    <row r="3" spans="1:70" s="657" customFormat="1" ht="15" x14ac:dyDescent="0.25">
      <c r="A3" s="3648"/>
      <c r="B3" s="4453"/>
      <c r="C3" s="4453"/>
      <c r="D3" s="4453"/>
      <c r="E3" s="4453"/>
      <c r="F3" s="4453"/>
      <c r="G3" s="4453"/>
      <c r="H3" s="4453"/>
      <c r="I3" s="4453"/>
      <c r="J3" s="4453"/>
      <c r="K3" s="4453"/>
      <c r="L3" s="4453"/>
      <c r="M3" s="4453"/>
      <c r="N3" s="4453"/>
      <c r="O3" s="4453"/>
      <c r="P3" s="4453"/>
      <c r="Q3" s="4453"/>
      <c r="R3" s="4453"/>
      <c r="S3" s="4453"/>
      <c r="T3" s="4453"/>
      <c r="U3" s="4453"/>
      <c r="V3" s="4453"/>
      <c r="W3" s="4453"/>
      <c r="X3" s="4453"/>
      <c r="Y3" s="4453"/>
      <c r="Z3" s="4453"/>
      <c r="AA3" s="4453"/>
      <c r="AB3" s="4453"/>
      <c r="AC3" s="4453"/>
      <c r="AD3" s="4453"/>
      <c r="AE3" s="4453"/>
      <c r="AF3" s="4453"/>
      <c r="AG3" s="4453"/>
      <c r="AH3" s="4453"/>
      <c r="AI3" s="4453"/>
      <c r="AJ3" s="4453"/>
      <c r="AK3" s="4453"/>
      <c r="AL3" s="4453"/>
      <c r="AM3" s="4453"/>
      <c r="AN3" s="4453"/>
      <c r="AO3" s="4453"/>
      <c r="AP3" s="4453"/>
      <c r="AQ3" s="4453"/>
      <c r="AR3" s="4453"/>
      <c r="AS3" s="4453"/>
      <c r="AT3" s="4453"/>
      <c r="AU3" s="4453"/>
      <c r="AV3" s="4453"/>
      <c r="AW3" s="4453"/>
      <c r="AX3" s="4453"/>
      <c r="AY3" s="4453"/>
      <c r="AZ3" s="4453"/>
      <c r="BA3" s="4453"/>
      <c r="BB3" s="4453"/>
      <c r="BC3" s="4453"/>
      <c r="BD3" s="4453"/>
      <c r="BE3" s="4453"/>
      <c r="BF3" s="4453"/>
      <c r="BG3" s="4453"/>
      <c r="BH3" s="4453"/>
      <c r="BI3" s="4453"/>
      <c r="BJ3" s="4453"/>
      <c r="BK3" s="4453"/>
      <c r="BL3" s="4453"/>
      <c r="BM3" s="4453"/>
      <c r="BN3" s="4453"/>
      <c r="BO3" s="925"/>
      <c r="BQ3" s="926" t="s">
        <v>4</v>
      </c>
      <c r="BR3" s="7" t="s">
        <v>5</v>
      </c>
    </row>
    <row r="4" spans="1:70" s="928" customFormat="1" ht="15" x14ac:dyDescent="0.2">
      <c r="A4" s="3649"/>
      <c r="B4" s="3216"/>
      <c r="C4" s="3216"/>
      <c r="D4" s="3216"/>
      <c r="E4" s="3216"/>
      <c r="F4" s="3216"/>
      <c r="G4" s="3216"/>
      <c r="H4" s="3216"/>
      <c r="I4" s="3216"/>
      <c r="J4" s="3216"/>
      <c r="K4" s="3216"/>
      <c r="L4" s="3216"/>
      <c r="M4" s="3216"/>
      <c r="N4" s="3216"/>
      <c r="O4" s="3216"/>
      <c r="P4" s="3216"/>
      <c r="Q4" s="3216"/>
      <c r="R4" s="3216"/>
      <c r="S4" s="3216"/>
      <c r="T4" s="3216"/>
      <c r="U4" s="3216"/>
      <c r="V4" s="3216"/>
      <c r="W4" s="3216"/>
      <c r="X4" s="3216"/>
      <c r="Y4" s="3216"/>
      <c r="Z4" s="3216"/>
      <c r="AA4" s="3216"/>
      <c r="AB4" s="3216"/>
      <c r="AC4" s="3216"/>
      <c r="AD4" s="3216"/>
      <c r="AE4" s="3216"/>
      <c r="AF4" s="3216"/>
      <c r="AG4" s="3216"/>
      <c r="AH4" s="3216"/>
      <c r="AI4" s="3216"/>
      <c r="AJ4" s="3216"/>
      <c r="AK4" s="3216"/>
      <c r="AL4" s="3216"/>
      <c r="AM4" s="3216"/>
      <c r="AN4" s="3216"/>
      <c r="AO4" s="3216"/>
      <c r="AP4" s="3216"/>
      <c r="AQ4" s="3216"/>
      <c r="AR4" s="3216"/>
      <c r="AS4" s="3216"/>
      <c r="AT4" s="3216"/>
      <c r="AU4" s="3216"/>
      <c r="AV4" s="3216"/>
      <c r="AW4" s="3216"/>
      <c r="AX4" s="3216"/>
      <c r="AY4" s="3216"/>
      <c r="AZ4" s="3216"/>
      <c r="BA4" s="3216"/>
      <c r="BB4" s="3216"/>
      <c r="BC4" s="3216"/>
      <c r="BD4" s="3216"/>
      <c r="BE4" s="3216"/>
      <c r="BF4" s="3216"/>
      <c r="BG4" s="3216"/>
      <c r="BH4" s="3216"/>
      <c r="BI4" s="3216"/>
      <c r="BJ4" s="3216"/>
      <c r="BK4" s="3216"/>
      <c r="BL4" s="3216"/>
      <c r="BM4" s="3216"/>
      <c r="BN4" s="3216"/>
      <c r="BO4" s="927"/>
      <c r="BQ4" s="929" t="s">
        <v>6</v>
      </c>
      <c r="BR4" s="10" t="s">
        <v>7</v>
      </c>
    </row>
    <row r="5" spans="1:70" s="657" customFormat="1" x14ac:dyDescent="0.2">
      <c r="A5" s="4480" t="s">
        <v>8</v>
      </c>
      <c r="B5" s="3779"/>
      <c r="C5" s="3779"/>
      <c r="D5" s="3779"/>
      <c r="E5" s="3779"/>
      <c r="F5" s="3779"/>
      <c r="G5" s="3779"/>
      <c r="H5" s="3779"/>
      <c r="I5" s="3779"/>
      <c r="J5" s="3779"/>
      <c r="K5" s="3779"/>
      <c r="L5" s="3779"/>
      <c r="M5" s="3779"/>
      <c r="N5" s="3779"/>
      <c r="O5" s="3779"/>
      <c r="P5" s="3847"/>
      <c r="Q5" s="3846" t="s">
        <v>9</v>
      </c>
      <c r="R5" s="3779"/>
      <c r="S5" s="3779"/>
      <c r="T5" s="3779"/>
      <c r="U5" s="3779"/>
      <c r="V5" s="3779"/>
      <c r="W5" s="3779"/>
      <c r="X5" s="3779"/>
      <c r="Y5" s="3779"/>
      <c r="Z5" s="3779"/>
      <c r="AA5" s="3779"/>
      <c r="AB5" s="3779"/>
      <c r="AC5" s="3779"/>
      <c r="AD5" s="3779"/>
      <c r="AE5" s="3779"/>
      <c r="AF5" s="3779"/>
      <c r="AG5" s="3779"/>
      <c r="AH5" s="3779"/>
      <c r="AI5" s="3779"/>
      <c r="AJ5" s="3779"/>
      <c r="AK5" s="3779"/>
      <c r="AL5" s="3779"/>
      <c r="AM5" s="3779"/>
      <c r="AN5" s="3779"/>
      <c r="AO5" s="3779"/>
      <c r="AP5" s="3779"/>
      <c r="AQ5" s="3779"/>
      <c r="AR5" s="3779"/>
      <c r="AS5" s="3779"/>
      <c r="AT5" s="3779"/>
      <c r="AU5" s="3779"/>
      <c r="AV5" s="3779"/>
      <c r="AW5" s="3779"/>
      <c r="AX5" s="3779"/>
      <c r="AY5" s="3779"/>
      <c r="AZ5" s="3779"/>
      <c r="BA5" s="3779"/>
      <c r="BB5" s="3779"/>
      <c r="BC5" s="3779"/>
      <c r="BD5" s="3779"/>
      <c r="BE5" s="3779"/>
      <c r="BF5" s="3779"/>
      <c r="BG5" s="3779"/>
      <c r="BH5" s="3779"/>
      <c r="BI5" s="3779"/>
      <c r="BJ5" s="3779"/>
      <c r="BK5" s="3779"/>
      <c r="BL5" s="3779"/>
      <c r="BM5" s="3779"/>
      <c r="BN5" s="3779"/>
      <c r="BO5" s="3779"/>
      <c r="BP5" s="3779"/>
      <c r="BQ5" s="3779"/>
      <c r="BR5" s="4482"/>
    </row>
    <row r="6" spans="1:70" s="657" customFormat="1" ht="15" thickBot="1" x14ac:dyDescent="0.25">
      <c r="A6" s="4481"/>
      <c r="B6" s="3780"/>
      <c r="C6" s="3780"/>
      <c r="D6" s="3780"/>
      <c r="E6" s="3780"/>
      <c r="F6" s="3780"/>
      <c r="G6" s="3780"/>
      <c r="H6" s="3780"/>
      <c r="I6" s="3780"/>
      <c r="J6" s="3780"/>
      <c r="K6" s="3780"/>
      <c r="L6" s="3780"/>
      <c r="M6" s="3780"/>
      <c r="N6" s="3780"/>
      <c r="O6" s="3780"/>
      <c r="P6" s="3783"/>
      <c r="Q6" s="3848"/>
      <c r="R6" s="4483"/>
      <c r="S6" s="4483"/>
      <c r="T6" s="4483"/>
      <c r="U6" s="4483"/>
      <c r="V6" s="4483"/>
      <c r="W6" s="4483"/>
      <c r="X6" s="4483"/>
      <c r="Y6" s="4483"/>
      <c r="Z6" s="4483"/>
      <c r="AA6" s="4483"/>
      <c r="AB6" s="4483"/>
      <c r="AC6" s="4483"/>
      <c r="AD6" s="4483"/>
      <c r="AE6" s="4483"/>
      <c r="AF6" s="4483"/>
      <c r="AG6" s="4483"/>
      <c r="AH6" s="4483"/>
      <c r="AI6" s="4483"/>
      <c r="AJ6" s="4483"/>
      <c r="AK6" s="4483"/>
      <c r="AL6" s="4483"/>
      <c r="AM6" s="4483"/>
      <c r="AN6" s="4483"/>
      <c r="AO6" s="4483"/>
      <c r="AP6" s="4483"/>
      <c r="AQ6" s="4483"/>
      <c r="AR6" s="4483"/>
      <c r="AS6" s="4483"/>
      <c r="AT6" s="4483"/>
      <c r="AU6" s="4483"/>
      <c r="AV6" s="4483"/>
      <c r="AW6" s="4483"/>
      <c r="AX6" s="4483"/>
      <c r="AY6" s="4483"/>
      <c r="AZ6" s="4483"/>
      <c r="BA6" s="4483"/>
      <c r="BB6" s="4483"/>
      <c r="BC6" s="4483"/>
      <c r="BD6" s="4483"/>
      <c r="BE6" s="4483"/>
      <c r="BF6" s="4483"/>
      <c r="BG6" s="4483"/>
      <c r="BH6" s="4483"/>
      <c r="BI6" s="4483"/>
      <c r="BJ6" s="4483"/>
      <c r="BK6" s="4483"/>
      <c r="BL6" s="4483"/>
      <c r="BM6" s="4483"/>
      <c r="BN6" s="4483"/>
      <c r="BO6" s="4483"/>
      <c r="BP6" s="4483"/>
      <c r="BQ6" s="4483"/>
      <c r="BR6" s="4484"/>
    </row>
    <row r="7" spans="1:70" s="934" customFormat="1" ht="32.25" customHeight="1" x14ac:dyDescent="0.25">
      <c r="A7" s="2632" t="s">
        <v>10</v>
      </c>
      <c r="B7" s="2632" t="s">
        <v>11</v>
      </c>
      <c r="C7" s="2632"/>
      <c r="D7" s="2632" t="s">
        <v>10</v>
      </c>
      <c r="E7" s="2632" t="s">
        <v>12</v>
      </c>
      <c r="F7" s="2632"/>
      <c r="G7" s="2632" t="s">
        <v>10</v>
      </c>
      <c r="H7" s="2632" t="s">
        <v>13</v>
      </c>
      <c r="I7" s="2632"/>
      <c r="J7" s="2633" t="s">
        <v>10</v>
      </c>
      <c r="K7" s="2632" t="s">
        <v>14</v>
      </c>
      <c r="L7" s="2632" t="s">
        <v>15</v>
      </c>
      <c r="M7" s="4508" t="s">
        <v>16</v>
      </c>
      <c r="N7" s="4510"/>
      <c r="O7" s="2761" t="s">
        <v>17</v>
      </c>
      <c r="P7" s="2632" t="s">
        <v>18</v>
      </c>
      <c r="Q7" s="2761" t="s">
        <v>9</v>
      </c>
      <c r="R7" s="2632" t="s">
        <v>19</v>
      </c>
      <c r="S7" s="2761" t="s">
        <v>20</v>
      </c>
      <c r="T7" s="2632" t="s">
        <v>21</v>
      </c>
      <c r="U7" s="2761" t="s">
        <v>22</v>
      </c>
      <c r="V7" s="2632" t="s">
        <v>23</v>
      </c>
      <c r="W7" s="4508" t="s">
        <v>20</v>
      </c>
      <c r="X7" s="4509"/>
      <c r="Y7" s="4510"/>
      <c r="Z7" s="2761" t="s">
        <v>10</v>
      </c>
      <c r="AA7" s="2632" t="s">
        <v>24</v>
      </c>
      <c r="AB7" s="4495" t="s">
        <v>25</v>
      </c>
      <c r="AC7" s="4496"/>
      <c r="AD7" s="4496"/>
      <c r="AE7" s="4497"/>
      <c r="AF7" s="4498" t="s">
        <v>26</v>
      </c>
      <c r="AG7" s="4499"/>
      <c r="AH7" s="4499"/>
      <c r="AI7" s="4499"/>
      <c r="AJ7" s="4499"/>
      <c r="AK7" s="4499"/>
      <c r="AL7" s="4499"/>
      <c r="AM7" s="931"/>
      <c r="AN7" s="4500" t="s">
        <v>27</v>
      </c>
      <c r="AO7" s="4501"/>
      <c r="AP7" s="4501"/>
      <c r="AQ7" s="4501"/>
      <c r="AR7" s="4501"/>
      <c r="AS7" s="4501"/>
      <c r="AT7" s="4501"/>
      <c r="AU7" s="4501"/>
      <c r="AV7" s="4501"/>
      <c r="AW7" s="4501"/>
      <c r="AX7" s="4501"/>
      <c r="AY7" s="932"/>
      <c r="AZ7" s="4498" t="s">
        <v>28</v>
      </c>
      <c r="BA7" s="4499"/>
      <c r="BB7" s="4499"/>
      <c r="BC7" s="4499"/>
      <c r="BD7" s="4502"/>
      <c r="BE7" s="933"/>
      <c r="BF7" s="4504" t="s">
        <v>29</v>
      </c>
      <c r="BG7" s="4505"/>
      <c r="BH7" s="2673" t="s">
        <v>30</v>
      </c>
      <c r="BI7" s="2674"/>
      <c r="BJ7" s="2674"/>
      <c r="BK7" s="2674"/>
      <c r="BL7" s="2674"/>
      <c r="BM7" s="2675"/>
      <c r="BN7" s="4485" t="s">
        <v>31</v>
      </c>
      <c r="BO7" s="4486"/>
      <c r="BP7" s="4485" t="s">
        <v>32</v>
      </c>
      <c r="BQ7" s="4486"/>
      <c r="BR7" s="4491" t="s">
        <v>33</v>
      </c>
    </row>
    <row r="8" spans="1:70" s="934" customFormat="1" ht="117.75" customHeight="1" x14ac:dyDescent="0.25">
      <c r="A8" s="2632"/>
      <c r="B8" s="2632"/>
      <c r="C8" s="2632"/>
      <c r="D8" s="2632"/>
      <c r="E8" s="2632"/>
      <c r="F8" s="2632"/>
      <c r="G8" s="2632"/>
      <c r="H8" s="2632"/>
      <c r="I8" s="2632"/>
      <c r="J8" s="2634"/>
      <c r="K8" s="2632"/>
      <c r="L8" s="2632"/>
      <c r="M8" s="4536"/>
      <c r="N8" s="4537"/>
      <c r="O8" s="3221"/>
      <c r="P8" s="2632"/>
      <c r="Q8" s="3221"/>
      <c r="R8" s="2632"/>
      <c r="S8" s="3221"/>
      <c r="T8" s="2632"/>
      <c r="U8" s="3221"/>
      <c r="V8" s="2632"/>
      <c r="W8" s="4511"/>
      <c r="X8" s="4512"/>
      <c r="Y8" s="4513"/>
      <c r="Z8" s="3221"/>
      <c r="AA8" s="2632"/>
      <c r="AB8" s="4493" t="s">
        <v>37</v>
      </c>
      <c r="AC8" s="4494"/>
      <c r="AD8" s="4493" t="s">
        <v>38</v>
      </c>
      <c r="AE8" s="4494"/>
      <c r="AF8" s="4493" t="s">
        <v>39</v>
      </c>
      <c r="AG8" s="4494"/>
      <c r="AH8" s="4493" t="s">
        <v>40</v>
      </c>
      <c r="AI8" s="4494"/>
      <c r="AJ8" s="4493" t="s">
        <v>754</v>
      </c>
      <c r="AK8" s="4494"/>
      <c r="AL8" s="4493" t="s">
        <v>42</v>
      </c>
      <c r="AM8" s="4494"/>
      <c r="AN8" s="4493" t="s">
        <v>43</v>
      </c>
      <c r="AO8" s="4494"/>
      <c r="AP8" s="4493" t="s">
        <v>44</v>
      </c>
      <c r="AQ8" s="4494"/>
      <c r="AR8" s="4493" t="s">
        <v>45</v>
      </c>
      <c r="AS8" s="4494"/>
      <c r="AT8" s="4493" t="s">
        <v>46</v>
      </c>
      <c r="AU8" s="4494"/>
      <c r="AV8" s="4493" t="s">
        <v>47</v>
      </c>
      <c r="AW8" s="4494"/>
      <c r="AX8" s="4493" t="s">
        <v>48</v>
      </c>
      <c r="AY8" s="4494"/>
      <c r="AZ8" s="4493" t="s">
        <v>49</v>
      </c>
      <c r="BA8" s="4494"/>
      <c r="BB8" s="4493" t="s">
        <v>50</v>
      </c>
      <c r="BC8" s="4494"/>
      <c r="BD8" s="4503" t="s">
        <v>51</v>
      </c>
      <c r="BE8" s="4503"/>
      <c r="BF8" s="4506"/>
      <c r="BG8" s="4507"/>
      <c r="BH8" s="2700" t="s">
        <v>52</v>
      </c>
      <c r="BI8" s="2701" t="s">
        <v>53</v>
      </c>
      <c r="BJ8" s="2700" t="s">
        <v>54</v>
      </c>
      <c r="BK8" s="2778" t="s">
        <v>55</v>
      </c>
      <c r="BL8" s="2700" t="s">
        <v>56</v>
      </c>
      <c r="BM8" s="2698" t="s">
        <v>57</v>
      </c>
      <c r="BN8" s="4487"/>
      <c r="BO8" s="4488"/>
      <c r="BP8" s="4489"/>
      <c r="BQ8" s="4490"/>
      <c r="BR8" s="4492"/>
    </row>
    <row r="9" spans="1:70" s="934" customFormat="1" ht="39" customHeight="1" x14ac:dyDescent="0.25">
      <c r="A9" s="2632"/>
      <c r="B9" s="2632"/>
      <c r="C9" s="2632"/>
      <c r="D9" s="2632"/>
      <c r="E9" s="2632"/>
      <c r="F9" s="2632"/>
      <c r="G9" s="2632"/>
      <c r="H9" s="2632"/>
      <c r="I9" s="2632"/>
      <c r="J9" s="2635"/>
      <c r="K9" s="2632"/>
      <c r="L9" s="2632"/>
      <c r="M9" s="935" t="s">
        <v>58</v>
      </c>
      <c r="N9" s="935" t="s">
        <v>59</v>
      </c>
      <c r="O9" s="2763"/>
      <c r="P9" s="2632"/>
      <c r="Q9" s="2763"/>
      <c r="R9" s="2632"/>
      <c r="S9" s="2763"/>
      <c r="T9" s="2632"/>
      <c r="U9" s="2763"/>
      <c r="V9" s="2632"/>
      <c r="W9" s="935" t="s">
        <v>34</v>
      </c>
      <c r="X9" s="935" t="s">
        <v>35</v>
      </c>
      <c r="Y9" s="935" t="s">
        <v>36</v>
      </c>
      <c r="Z9" s="2763"/>
      <c r="AA9" s="2632"/>
      <c r="AB9" s="935" t="s">
        <v>58</v>
      </c>
      <c r="AC9" s="935" t="s">
        <v>59</v>
      </c>
      <c r="AD9" s="935" t="s">
        <v>58</v>
      </c>
      <c r="AE9" s="935" t="s">
        <v>59</v>
      </c>
      <c r="AF9" s="935" t="s">
        <v>58</v>
      </c>
      <c r="AG9" s="935" t="s">
        <v>59</v>
      </c>
      <c r="AH9" s="935" t="s">
        <v>58</v>
      </c>
      <c r="AI9" s="935" t="s">
        <v>59</v>
      </c>
      <c r="AJ9" s="935" t="s">
        <v>58</v>
      </c>
      <c r="AK9" s="935" t="s">
        <v>59</v>
      </c>
      <c r="AL9" s="935" t="s">
        <v>58</v>
      </c>
      <c r="AM9" s="935" t="s">
        <v>59</v>
      </c>
      <c r="AN9" s="935" t="s">
        <v>58</v>
      </c>
      <c r="AO9" s="935" t="s">
        <v>59</v>
      </c>
      <c r="AP9" s="935" t="s">
        <v>58</v>
      </c>
      <c r="AQ9" s="935" t="s">
        <v>59</v>
      </c>
      <c r="AR9" s="935" t="s">
        <v>58</v>
      </c>
      <c r="AS9" s="935" t="s">
        <v>59</v>
      </c>
      <c r="AT9" s="935" t="s">
        <v>58</v>
      </c>
      <c r="AU9" s="935" t="s">
        <v>59</v>
      </c>
      <c r="AV9" s="935" t="s">
        <v>58</v>
      </c>
      <c r="AW9" s="935" t="s">
        <v>59</v>
      </c>
      <c r="AX9" s="935" t="s">
        <v>58</v>
      </c>
      <c r="AY9" s="935" t="s">
        <v>59</v>
      </c>
      <c r="AZ9" s="935" t="s">
        <v>58</v>
      </c>
      <c r="BA9" s="935" t="s">
        <v>59</v>
      </c>
      <c r="BB9" s="935" t="s">
        <v>58</v>
      </c>
      <c r="BC9" s="935" t="s">
        <v>59</v>
      </c>
      <c r="BD9" s="935" t="s">
        <v>58</v>
      </c>
      <c r="BE9" s="935" t="s">
        <v>59</v>
      </c>
      <c r="BF9" s="935" t="s">
        <v>58</v>
      </c>
      <c r="BG9" s="935" t="s">
        <v>59</v>
      </c>
      <c r="BH9" s="2700"/>
      <c r="BI9" s="2701"/>
      <c r="BJ9" s="2700"/>
      <c r="BK9" s="2778"/>
      <c r="BL9" s="2700"/>
      <c r="BM9" s="2699"/>
      <c r="BN9" s="935" t="s">
        <v>58</v>
      </c>
      <c r="BO9" s="935" t="s">
        <v>59</v>
      </c>
      <c r="BP9" s="935" t="s">
        <v>58</v>
      </c>
      <c r="BQ9" s="935" t="s">
        <v>59</v>
      </c>
      <c r="BR9" s="936"/>
    </row>
    <row r="10" spans="1:70" ht="15" x14ac:dyDescent="0.2">
      <c r="A10" s="937">
        <v>3</v>
      </c>
      <c r="B10" s="938" t="s">
        <v>755</v>
      </c>
      <c r="C10" s="938"/>
      <c r="D10" s="938"/>
      <c r="E10" s="938"/>
      <c r="F10" s="938"/>
      <c r="G10" s="938"/>
      <c r="H10" s="938"/>
      <c r="I10" s="938"/>
      <c r="J10" s="938"/>
      <c r="K10" s="939"/>
      <c r="L10" s="938"/>
      <c r="M10" s="938"/>
      <c r="N10" s="938"/>
      <c r="O10" s="940"/>
      <c r="P10" s="938"/>
      <c r="Q10" s="939"/>
      <c r="R10" s="938"/>
      <c r="S10" s="940"/>
      <c r="T10" s="938"/>
      <c r="U10" s="939"/>
      <c r="V10" s="939"/>
      <c r="W10" s="941"/>
      <c r="X10" s="941"/>
      <c r="Y10" s="941"/>
      <c r="Z10" s="940"/>
      <c r="AA10" s="940"/>
      <c r="AB10" s="942"/>
      <c r="AC10" s="942"/>
      <c r="AD10" s="942"/>
      <c r="AE10" s="942"/>
      <c r="AF10" s="943"/>
      <c r="AG10" s="943"/>
      <c r="AH10" s="942"/>
      <c r="AI10" s="942"/>
      <c r="AJ10" s="942"/>
      <c r="AK10" s="942"/>
      <c r="AL10" s="942"/>
      <c r="AM10" s="942"/>
      <c r="AN10" s="942"/>
      <c r="AO10" s="942"/>
      <c r="AP10" s="944"/>
      <c r="AQ10" s="944"/>
      <c r="AR10" s="942"/>
      <c r="AS10" s="942"/>
      <c r="AT10" s="943"/>
      <c r="AU10" s="943"/>
      <c r="AV10" s="942"/>
      <c r="AW10" s="942"/>
      <c r="AX10" s="942"/>
      <c r="AY10" s="942"/>
      <c r="AZ10" s="943"/>
      <c r="BA10" s="943"/>
      <c r="BB10" s="943"/>
      <c r="BC10" s="943"/>
      <c r="BD10" s="943"/>
      <c r="BE10" s="943"/>
      <c r="BF10" s="943"/>
      <c r="BG10" s="943"/>
      <c r="BH10" s="943"/>
      <c r="BI10" s="943"/>
      <c r="BJ10" s="943"/>
      <c r="BK10" s="943"/>
      <c r="BL10" s="943"/>
      <c r="BM10" s="943"/>
      <c r="BN10" s="938"/>
      <c r="BO10" s="938"/>
      <c r="BP10" s="938"/>
      <c r="BQ10" s="938"/>
      <c r="BR10" s="945"/>
    </row>
    <row r="11" spans="1:70" ht="13.5" customHeight="1" x14ac:dyDescent="0.2">
      <c r="A11" s="4514"/>
      <c r="B11" s="4515"/>
      <c r="C11" s="4516"/>
      <c r="D11" s="947">
        <v>11</v>
      </c>
      <c r="E11" s="948" t="s">
        <v>756</v>
      </c>
      <c r="F11" s="948"/>
      <c r="G11" s="949"/>
      <c r="H11" s="949"/>
      <c r="I11" s="949"/>
      <c r="J11" s="949"/>
      <c r="K11" s="950"/>
      <c r="L11" s="949"/>
      <c r="M11" s="949"/>
      <c r="N11" s="949"/>
      <c r="O11" s="951"/>
      <c r="P11" s="949"/>
      <c r="Q11" s="950"/>
      <c r="R11" s="949"/>
      <c r="S11" s="951"/>
      <c r="T11" s="949"/>
      <c r="U11" s="950"/>
      <c r="V11" s="950"/>
      <c r="W11" s="952"/>
      <c r="X11" s="952"/>
      <c r="Y11" s="952"/>
      <c r="Z11" s="951"/>
      <c r="AA11" s="951"/>
      <c r="AB11" s="953"/>
      <c r="AC11" s="953"/>
      <c r="AD11" s="953"/>
      <c r="AE11" s="953"/>
      <c r="AF11" s="954"/>
      <c r="AG11" s="954"/>
      <c r="AH11" s="953"/>
      <c r="AI11" s="953"/>
      <c r="AJ11" s="953"/>
      <c r="AK11" s="953"/>
      <c r="AL11" s="953"/>
      <c r="AM11" s="953"/>
      <c r="AN11" s="953"/>
      <c r="AO11" s="953"/>
      <c r="AP11" s="955"/>
      <c r="AQ11" s="955"/>
      <c r="AR11" s="953"/>
      <c r="AS11" s="953"/>
      <c r="AT11" s="954"/>
      <c r="AU11" s="954"/>
      <c r="AV11" s="953"/>
      <c r="AW11" s="953"/>
      <c r="AX11" s="953"/>
      <c r="AY11" s="953"/>
      <c r="AZ11" s="954"/>
      <c r="BA11" s="954"/>
      <c r="BB11" s="954"/>
      <c r="BC11" s="954"/>
      <c r="BD11" s="954"/>
      <c r="BE11" s="954"/>
      <c r="BF11" s="954"/>
      <c r="BG11" s="954"/>
      <c r="BH11" s="954"/>
      <c r="BI11" s="954"/>
      <c r="BJ11" s="954"/>
      <c r="BK11" s="954"/>
      <c r="BL11" s="954"/>
      <c r="BM11" s="954"/>
      <c r="BN11" s="949"/>
      <c r="BO11" s="949"/>
      <c r="BP11" s="949"/>
      <c r="BQ11" s="949"/>
      <c r="BR11" s="956"/>
    </row>
    <row r="12" spans="1:70" ht="27.75" customHeight="1" x14ac:dyDescent="0.2">
      <c r="A12" s="957"/>
      <c r="B12" s="958"/>
      <c r="C12" s="959"/>
      <c r="D12" s="960"/>
      <c r="E12" s="960"/>
      <c r="F12" s="961"/>
      <c r="G12" s="962">
        <v>35</v>
      </c>
      <c r="H12" s="963" t="s">
        <v>757</v>
      </c>
      <c r="I12" s="963"/>
      <c r="J12" s="963"/>
      <c r="K12" s="964"/>
      <c r="L12" s="963"/>
      <c r="M12" s="963"/>
      <c r="N12" s="963"/>
      <c r="O12" s="965"/>
      <c r="P12" s="963"/>
      <c r="Q12" s="964"/>
      <c r="R12" s="963"/>
      <c r="S12" s="965"/>
      <c r="T12" s="963"/>
      <c r="U12" s="964"/>
      <c r="V12" s="964"/>
      <c r="W12" s="966"/>
      <c r="X12" s="966"/>
      <c r="Y12" s="966"/>
      <c r="Z12" s="965"/>
      <c r="AA12" s="965"/>
      <c r="AB12" s="967"/>
      <c r="AC12" s="967"/>
      <c r="AD12" s="967"/>
      <c r="AE12" s="967"/>
      <c r="AF12" s="968"/>
      <c r="AG12" s="968"/>
      <c r="AH12" s="967"/>
      <c r="AI12" s="967"/>
      <c r="AJ12" s="967"/>
      <c r="AK12" s="967"/>
      <c r="AL12" s="967"/>
      <c r="AM12" s="967"/>
      <c r="AN12" s="967"/>
      <c r="AO12" s="967"/>
      <c r="AP12" s="969"/>
      <c r="AQ12" s="969"/>
      <c r="AR12" s="967"/>
      <c r="AS12" s="967"/>
      <c r="AT12" s="968"/>
      <c r="AU12" s="968"/>
      <c r="AV12" s="967"/>
      <c r="AW12" s="967"/>
      <c r="AX12" s="967"/>
      <c r="AY12" s="967"/>
      <c r="AZ12" s="968"/>
      <c r="BA12" s="968"/>
      <c r="BB12" s="968"/>
      <c r="BC12" s="968"/>
      <c r="BD12" s="968"/>
      <c r="BE12" s="968"/>
      <c r="BF12" s="968"/>
      <c r="BG12" s="968"/>
      <c r="BH12" s="968"/>
      <c r="BI12" s="968"/>
      <c r="BJ12" s="968"/>
      <c r="BK12" s="968"/>
      <c r="BL12" s="968"/>
      <c r="BM12" s="968"/>
      <c r="BN12" s="963"/>
      <c r="BO12" s="963"/>
      <c r="BP12" s="963"/>
      <c r="BQ12" s="963"/>
      <c r="BR12" s="970"/>
    </row>
    <row r="13" spans="1:70" s="978" customFormat="1" ht="29.25" customHeight="1" x14ac:dyDescent="0.2">
      <c r="A13" s="971"/>
      <c r="B13" s="972"/>
      <c r="C13" s="973"/>
      <c r="D13" s="972"/>
      <c r="E13" s="972"/>
      <c r="F13" s="973"/>
      <c r="G13" s="974"/>
      <c r="H13" s="975"/>
      <c r="I13" s="976"/>
      <c r="J13" s="4517">
        <v>127</v>
      </c>
      <c r="K13" s="4520" t="s">
        <v>758</v>
      </c>
      <c r="L13" s="4523" t="s">
        <v>759</v>
      </c>
      <c r="M13" s="4523">
        <v>1</v>
      </c>
      <c r="N13" s="4526">
        <v>0.5</v>
      </c>
      <c r="O13" s="4523" t="s">
        <v>760</v>
      </c>
      <c r="P13" s="4527" t="s">
        <v>761</v>
      </c>
      <c r="Q13" s="4520" t="s">
        <v>762</v>
      </c>
      <c r="R13" s="4530">
        <f>SUM(W13:W22)/S13</f>
        <v>0.32142857142857145</v>
      </c>
      <c r="S13" s="4533">
        <f>SUM(W13:W46)</f>
        <v>196000000</v>
      </c>
      <c r="T13" s="4520" t="s">
        <v>763</v>
      </c>
      <c r="U13" s="4548" t="s">
        <v>764</v>
      </c>
      <c r="V13" s="4551" t="s">
        <v>765</v>
      </c>
      <c r="W13" s="2601">
        <v>4000000</v>
      </c>
      <c r="X13" s="2595">
        <v>4000000</v>
      </c>
      <c r="Y13" s="2595">
        <v>3500000</v>
      </c>
      <c r="Z13" s="977">
        <v>61</v>
      </c>
      <c r="AA13" s="4523" t="s">
        <v>766</v>
      </c>
      <c r="AB13" s="4523" t="s">
        <v>767</v>
      </c>
      <c r="AC13" s="4526" t="s">
        <v>767</v>
      </c>
      <c r="AD13" s="4523" t="s">
        <v>767</v>
      </c>
      <c r="AE13" s="4526" t="s">
        <v>767</v>
      </c>
      <c r="AF13" s="4538">
        <v>64149</v>
      </c>
      <c r="AG13" s="4541">
        <v>41005</v>
      </c>
      <c r="AH13" s="4542" t="s">
        <v>767</v>
      </c>
      <c r="AI13" s="4526" t="s">
        <v>767</v>
      </c>
      <c r="AJ13" s="4545" t="s">
        <v>767</v>
      </c>
      <c r="AK13" s="4526" t="s">
        <v>767</v>
      </c>
      <c r="AL13" s="4542" t="s">
        <v>767</v>
      </c>
      <c r="AM13" s="4526" t="s">
        <v>767</v>
      </c>
      <c r="AN13" s="4542" t="s">
        <v>767</v>
      </c>
      <c r="AO13" s="4526" t="s">
        <v>767</v>
      </c>
      <c r="AP13" s="4542" t="s">
        <v>767</v>
      </c>
      <c r="AQ13" s="4526" t="s">
        <v>767</v>
      </c>
      <c r="AR13" s="4542" t="s">
        <v>767</v>
      </c>
      <c r="AS13" s="4526" t="s">
        <v>767</v>
      </c>
      <c r="AT13" s="4542" t="s">
        <v>767</v>
      </c>
      <c r="AU13" s="4526" t="s">
        <v>767</v>
      </c>
      <c r="AV13" s="4542" t="s">
        <v>767</v>
      </c>
      <c r="AW13" s="4526" t="s">
        <v>767</v>
      </c>
      <c r="AX13" s="4545" t="s">
        <v>767</v>
      </c>
      <c r="AY13" s="4526" t="s">
        <v>767</v>
      </c>
      <c r="AZ13" s="4542" t="s">
        <v>767</v>
      </c>
      <c r="BA13" s="4526" t="s">
        <v>767</v>
      </c>
      <c r="BB13" s="4542" t="s">
        <v>767</v>
      </c>
      <c r="BC13" s="4526" t="s">
        <v>767</v>
      </c>
      <c r="BD13" s="4545" t="s">
        <v>767</v>
      </c>
      <c r="BE13" s="4526" t="s">
        <v>767</v>
      </c>
      <c r="BF13" s="4545" t="s">
        <v>767</v>
      </c>
      <c r="BG13" s="4526" t="s">
        <v>767</v>
      </c>
      <c r="BH13" s="4545">
        <v>45</v>
      </c>
      <c r="BI13" s="4545">
        <f>SUM(X13:X46)</f>
        <v>114996666</v>
      </c>
      <c r="BJ13" s="4545">
        <f>SUM(Y13:Y46)</f>
        <v>85214000</v>
      </c>
      <c r="BK13" s="3184">
        <f>+BJ13/BI13</f>
        <v>0.74101278727506759</v>
      </c>
      <c r="BL13" s="4545" t="s">
        <v>768</v>
      </c>
      <c r="BM13" s="4545" t="s">
        <v>769</v>
      </c>
      <c r="BN13" s="4553">
        <v>43467</v>
      </c>
      <c r="BO13" s="4553">
        <v>43830</v>
      </c>
      <c r="BP13" s="4553">
        <v>43830</v>
      </c>
      <c r="BQ13" s="4553">
        <v>43830</v>
      </c>
      <c r="BR13" s="4556" t="s">
        <v>770</v>
      </c>
    </row>
    <row r="14" spans="1:70" s="978" customFormat="1" ht="30.75" customHeight="1" x14ac:dyDescent="0.2">
      <c r="A14" s="971"/>
      <c r="B14" s="972"/>
      <c r="C14" s="973"/>
      <c r="D14" s="972"/>
      <c r="E14" s="972"/>
      <c r="F14" s="973"/>
      <c r="G14" s="979"/>
      <c r="H14" s="972"/>
      <c r="I14" s="973"/>
      <c r="J14" s="4518"/>
      <c r="K14" s="4521"/>
      <c r="L14" s="4524"/>
      <c r="M14" s="4524"/>
      <c r="N14" s="4526"/>
      <c r="O14" s="4524"/>
      <c r="P14" s="4528"/>
      <c r="Q14" s="4521"/>
      <c r="R14" s="4531"/>
      <c r="S14" s="4534"/>
      <c r="T14" s="4521"/>
      <c r="U14" s="4549"/>
      <c r="V14" s="4552"/>
      <c r="W14" s="2601">
        <v>15000000</v>
      </c>
      <c r="X14" s="2595">
        <v>0</v>
      </c>
      <c r="Y14" s="2595">
        <v>0</v>
      </c>
      <c r="Z14" s="977">
        <v>98</v>
      </c>
      <c r="AA14" s="4524"/>
      <c r="AB14" s="4524"/>
      <c r="AC14" s="4526"/>
      <c r="AD14" s="4524"/>
      <c r="AE14" s="4526"/>
      <c r="AF14" s="4539"/>
      <c r="AG14" s="4541"/>
      <c r="AH14" s="4543"/>
      <c r="AI14" s="4526"/>
      <c r="AJ14" s="4546"/>
      <c r="AK14" s="4526"/>
      <c r="AL14" s="4543"/>
      <c r="AM14" s="4526"/>
      <c r="AN14" s="4543"/>
      <c r="AO14" s="4526"/>
      <c r="AP14" s="4543"/>
      <c r="AQ14" s="4526"/>
      <c r="AR14" s="4543"/>
      <c r="AS14" s="4526"/>
      <c r="AT14" s="4543"/>
      <c r="AU14" s="4526"/>
      <c r="AV14" s="4543"/>
      <c r="AW14" s="4526"/>
      <c r="AX14" s="4546"/>
      <c r="AY14" s="4526"/>
      <c r="AZ14" s="4543"/>
      <c r="BA14" s="4526"/>
      <c r="BB14" s="4543"/>
      <c r="BC14" s="4526"/>
      <c r="BD14" s="4546"/>
      <c r="BE14" s="4526"/>
      <c r="BF14" s="4546"/>
      <c r="BG14" s="4526"/>
      <c r="BH14" s="4546"/>
      <c r="BI14" s="4546"/>
      <c r="BJ14" s="4546"/>
      <c r="BK14" s="3185"/>
      <c r="BL14" s="4546"/>
      <c r="BM14" s="4546"/>
      <c r="BN14" s="4554"/>
      <c r="BO14" s="4554"/>
      <c r="BP14" s="4554"/>
      <c r="BQ14" s="4554"/>
      <c r="BR14" s="4557"/>
    </row>
    <row r="15" spans="1:70" s="978" customFormat="1" ht="92.25" customHeight="1" x14ac:dyDescent="0.2">
      <c r="A15" s="971"/>
      <c r="B15" s="972"/>
      <c r="C15" s="973"/>
      <c r="D15" s="972"/>
      <c r="E15" s="972"/>
      <c r="F15" s="973"/>
      <c r="G15" s="979"/>
      <c r="H15" s="972"/>
      <c r="I15" s="973"/>
      <c r="J15" s="4518"/>
      <c r="K15" s="4521"/>
      <c r="L15" s="4524"/>
      <c r="M15" s="4524"/>
      <c r="N15" s="4526"/>
      <c r="O15" s="4524"/>
      <c r="P15" s="4528"/>
      <c r="Q15" s="4521"/>
      <c r="R15" s="4531"/>
      <c r="S15" s="4534"/>
      <c r="T15" s="4521"/>
      <c r="U15" s="4549"/>
      <c r="V15" s="980" t="s">
        <v>771</v>
      </c>
      <c r="W15" s="2601">
        <v>4000000</v>
      </c>
      <c r="X15" s="2595">
        <v>4000000</v>
      </c>
      <c r="Y15" s="2595">
        <v>3500000</v>
      </c>
      <c r="Z15" s="977">
        <v>61</v>
      </c>
      <c r="AA15" s="4524"/>
      <c r="AB15" s="4524"/>
      <c r="AC15" s="4526"/>
      <c r="AD15" s="4524"/>
      <c r="AE15" s="4526"/>
      <c r="AF15" s="4539"/>
      <c r="AG15" s="4541"/>
      <c r="AH15" s="4543"/>
      <c r="AI15" s="4526"/>
      <c r="AJ15" s="4546"/>
      <c r="AK15" s="4526"/>
      <c r="AL15" s="4543"/>
      <c r="AM15" s="4526"/>
      <c r="AN15" s="4543"/>
      <c r="AO15" s="4526"/>
      <c r="AP15" s="4543"/>
      <c r="AQ15" s="4526"/>
      <c r="AR15" s="4543"/>
      <c r="AS15" s="4526"/>
      <c r="AT15" s="4543"/>
      <c r="AU15" s="4526"/>
      <c r="AV15" s="4543"/>
      <c r="AW15" s="4526"/>
      <c r="AX15" s="4546"/>
      <c r="AY15" s="4526"/>
      <c r="AZ15" s="4543"/>
      <c r="BA15" s="4526"/>
      <c r="BB15" s="4543"/>
      <c r="BC15" s="4526"/>
      <c r="BD15" s="4546"/>
      <c r="BE15" s="4526"/>
      <c r="BF15" s="4546"/>
      <c r="BG15" s="4526"/>
      <c r="BH15" s="4546"/>
      <c r="BI15" s="4546"/>
      <c r="BJ15" s="4546"/>
      <c r="BK15" s="3185"/>
      <c r="BL15" s="4546"/>
      <c r="BM15" s="4546"/>
      <c r="BN15" s="4554"/>
      <c r="BO15" s="4554"/>
      <c r="BP15" s="4554"/>
      <c r="BQ15" s="4554"/>
      <c r="BR15" s="4557"/>
    </row>
    <row r="16" spans="1:70" s="978" customFormat="1" ht="29.25" customHeight="1" x14ac:dyDescent="0.2">
      <c r="A16" s="971"/>
      <c r="B16" s="972"/>
      <c r="C16" s="973"/>
      <c r="D16" s="972"/>
      <c r="E16" s="972"/>
      <c r="F16" s="973"/>
      <c r="G16" s="979"/>
      <c r="H16" s="972"/>
      <c r="I16" s="973"/>
      <c r="J16" s="4518"/>
      <c r="K16" s="4521"/>
      <c r="L16" s="4524"/>
      <c r="M16" s="4524"/>
      <c r="N16" s="4526"/>
      <c r="O16" s="4524"/>
      <c r="P16" s="4528"/>
      <c r="Q16" s="4521"/>
      <c r="R16" s="4531"/>
      <c r="S16" s="4534"/>
      <c r="T16" s="4521"/>
      <c r="U16" s="4549"/>
      <c r="V16" s="4551" t="s">
        <v>772</v>
      </c>
      <c r="W16" s="2601">
        <v>4000000</v>
      </c>
      <c r="X16" s="2595">
        <v>4000000</v>
      </c>
      <c r="Y16" s="2595">
        <v>3500000</v>
      </c>
      <c r="Z16" s="977">
        <v>61</v>
      </c>
      <c r="AA16" s="4524"/>
      <c r="AB16" s="4524"/>
      <c r="AC16" s="4526"/>
      <c r="AD16" s="4524"/>
      <c r="AE16" s="4526"/>
      <c r="AF16" s="4539"/>
      <c r="AG16" s="4541"/>
      <c r="AH16" s="4543"/>
      <c r="AI16" s="4526"/>
      <c r="AJ16" s="4546"/>
      <c r="AK16" s="4526"/>
      <c r="AL16" s="4543"/>
      <c r="AM16" s="4526"/>
      <c r="AN16" s="4543"/>
      <c r="AO16" s="4526"/>
      <c r="AP16" s="4543"/>
      <c r="AQ16" s="4526"/>
      <c r="AR16" s="4543"/>
      <c r="AS16" s="4526"/>
      <c r="AT16" s="4543"/>
      <c r="AU16" s="4526"/>
      <c r="AV16" s="4543"/>
      <c r="AW16" s="4526"/>
      <c r="AX16" s="4546"/>
      <c r="AY16" s="4526"/>
      <c r="AZ16" s="4543"/>
      <c r="BA16" s="4526"/>
      <c r="BB16" s="4543"/>
      <c r="BC16" s="4526"/>
      <c r="BD16" s="4546"/>
      <c r="BE16" s="4526"/>
      <c r="BF16" s="4546"/>
      <c r="BG16" s="4526"/>
      <c r="BH16" s="4546"/>
      <c r="BI16" s="4546"/>
      <c r="BJ16" s="4546"/>
      <c r="BK16" s="3185"/>
      <c r="BL16" s="4546"/>
      <c r="BM16" s="4546"/>
      <c r="BN16" s="4554"/>
      <c r="BO16" s="4554"/>
      <c r="BP16" s="4554"/>
      <c r="BQ16" s="4554"/>
      <c r="BR16" s="4557"/>
    </row>
    <row r="17" spans="1:70" s="978" customFormat="1" ht="30" customHeight="1" x14ac:dyDescent="0.2">
      <c r="A17" s="971"/>
      <c r="B17" s="972"/>
      <c r="C17" s="973"/>
      <c r="D17" s="972"/>
      <c r="E17" s="972"/>
      <c r="F17" s="973"/>
      <c r="G17" s="979"/>
      <c r="H17" s="972"/>
      <c r="I17" s="973"/>
      <c r="J17" s="4518"/>
      <c r="K17" s="4521"/>
      <c r="L17" s="4524"/>
      <c r="M17" s="4524"/>
      <c r="N17" s="4526"/>
      <c r="O17" s="4524"/>
      <c r="P17" s="4528"/>
      <c r="Q17" s="4521"/>
      <c r="R17" s="4531"/>
      <c r="S17" s="4534"/>
      <c r="T17" s="4521"/>
      <c r="U17" s="4549"/>
      <c r="V17" s="4552"/>
      <c r="W17" s="2601">
        <v>10000000</v>
      </c>
      <c r="X17" s="2595">
        <v>0</v>
      </c>
      <c r="Y17" s="2595">
        <v>0</v>
      </c>
      <c r="Z17" s="977">
        <v>98</v>
      </c>
      <c r="AA17" s="4524"/>
      <c r="AB17" s="4524"/>
      <c r="AC17" s="4526"/>
      <c r="AD17" s="4524"/>
      <c r="AE17" s="4526"/>
      <c r="AF17" s="4539"/>
      <c r="AG17" s="4541"/>
      <c r="AH17" s="4543"/>
      <c r="AI17" s="4526"/>
      <c r="AJ17" s="4546"/>
      <c r="AK17" s="4526"/>
      <c r="AL17" s="4543"/>
      <c r="AM17" s="4526"/>
      <c r="AN17" s="4543"/>
      <c r="AO17" s="4526"/>
      <c r="AP17" s="4543"/>
      <c r="AQ17" s="4526"/>
      <c r="AR17" s="4543"/>
      <c r="AS17" s="4526"/>
      <c r="AT17" s="4543"/>
      <c r="AU17" s="4526"/>
      <c r="AV17" s="4543"/>
      <c r="AW17" s="4526"/>
      <c r="AX17" s="4546"/>
      <c r="AY17" s="4526"/>
      <c r="AZ17" s="4543"/>
      <c r="BA17" s="4526"/>
      <c r="BB17" s="4543"/>
      <c r="BC17" s="4526"/>
      <c r="BD17" s="4546"/>
      <c r="BE17" s="4526"/>
      <c r="BF17" s="4546"/>
      <c r="BG17" s="4526"/>
      <c r="BH17" s="4546"/>
      <c r="BI17" s="4546"/>
      <c r="BJ17" s="4546"/>
      <c r="BK17" s="3185"/>
      <c r="BL17" s="4546"/>
      <c r="BM17" s="4546"/>
      <c r="BN17" s="4554"/>
      <c r="BO17" s="4554"/>
      <c r="BP17" s="4554"/>
      <c r="BQ17" s="4554"/>
      <c r="BR17" s="4557"/>
    </row>
    <row r="18" spans="1:70" s="978" customFormat="1" ht="29.25" customHeight="1" x14ac:dyDescent="0.2">
      <c r="A18" s="971"/>
      <c r="B18" s="972"/>
      <c r="C18" s="973"/>
      <c r="D18" s="972"/>
      <c r="E18" s="972"/>
      <c r="F18" s="973"/>
      <c r="G18" s="979"/>
      <c r="H18" s="972"/>
      <c r="I18" s="973"/>
      <c r="J18" s="4518"/>
      <c r="K18" s="4521"/>
      <c r="L18" s="4524"/>
      <c r="M18" s="4524"/>
      <c r="N18" s="4526"/>
      <c r="O18" s="4524"/>
      <c r="P18" s="4528"/>
      <c r="Q18" s="4521"/>
      <c r="R18" s="4531"/>
      <c r="S18" s="4534"/>
      <c r="T18" s="4521"/>
      <c r="U18" s="4549"/>
      <c r="V18" s="4551" t="s">
        <v>773</v>
      </c>
      <c r="W18" s="2601">
        <v>1000000</v>
      </c>
      <c r="X18" s="2596">
        <v>1000000</v>
      </c>
      <c r="Y18" s="2596">
        <v>1000000</v>
      </c>
      <c r="Z18" s="977">
        <v>61</v>
      </c>
      <c r="AA18" s="4524"/>
      <c r="AB18" s="4524"/>
      <c r="AC18" s="4526"/>
      <c r="AD18" s="4524"/>
      <c r="AE18" s="4526"/>
      <c r="AF18" s="4539"/>
      <c r="AG18" s="4541"/>
      <c r="AH18" s="4543"/>
      <c r="AI18" s="4526"/>
      <c r="AJ18" s="4546"/>
      <c r="AK18" s="4526"/>
      <c r="AL18" s="4543"/>
      <c r="AM18" s="4526"/>
      <c r="AN18" s="4543"/>
      <c r="AO18" s="4526"/>
      <c r="AP18" s="4543"/>
      <c r="AQ18" s="4526"/>
      <c r="AR18" s="4543"/>
      <c r="AS18" s="4526"/>
      <c r="AT18" s="4543"/>
      <c r="AU18" s="4526"/>
      <c r="AV18" s="4543"/>
      <c r="AW18" s="4526"/>
      <c r="AX18" s="4546"/>
      <c r="AY18" s="4526"/>
      <c r="AZ18" s="4543"/>
      <c r="BA18" s="4526"/>
      <c r="BB18" s="4543"/>
      <c r="BC18" s="4526"/>
      <c r="BD18" s="4546"/>
      <c r="BE18" s="4526"/>
      <c r="BF18" s="4546"/>
      <c r="BG18" s="4526"/>
      <c r="BH18" s="4546"/>
      <c r="BI18" s="4546"/>
      <c r="BJ18" s="4546"/>
      <c r="BK18" s="3185"/>
      <c r="BL18" s="4546"/>
      <c r="BM18" s="4546"/>
      <c r="BN18" s="4554"/>
      <c r="BO18" s="4554"/>
      <c r="BP18" s="4554"/>
      <c r="BQ18" s="4554"/>
      <c r="BR18" s="4557"/>
    </row>
    <row r="19" spans="1:70" s="978" customFormat="1" ht="37.5" customHeight="1" x14ac:dyDescent="0.2">
      <c r="A19" s="971"/>
      <c r="B19" s="972"/>
      <c r="C19" s="973"/>
      <c r="D19" s="972"/>
      <c r="E19" s="972"/>
      <c r="F19" s="973"/>
      <c r="G19" s="979"/>
      <c r="H19" s="972"/>
      <c r="I19" s="973"/>
      <c r="J19" s="4518"/>
      <c r="K19" s="4521"/>
      <c r="L19" s="4524"/>
      <c r="M19" s="4524"/>
      <c r="N19" s="4526"/>
      <c r="O19" s="4524"/>
      <c r="P19" s="4528"/>
      <c r="Q19" s="4521"/>
      <c r="R19" s="4531"/>
      <c r="S19" s="4534"/>
      <c r="T19" s="4521"/>
      <c r="U19" s="4549"/>
      <c r="V19" s="4552"/>
      <c r="W19" s="2601">
        <v>10000000</v>
      </c>
      <c r="X19" s="2595">
        <v>0</v>
      </c>
      <c r="Y19" s="2595">
        <v>0</v>
      </c>
      <c r="Z19" s="977">
        <v>98</v>
      </c>
      <c r="AA19" s="4524"/>
      <c r="AB19" s="4524"/>
      <c r="AC19" s="4526"/>
      <c r="AD19" s="4524"/>
      <c r="AE19" s="4526"/>
      <c r="AF19" s="4539"/>
      <c r="AG19" s="4541"/>
      <c r="AH19" s="4543"/>
      <c r="AI19" s="4526"/>
      <c r="AJ19" s="4546"/>
      <c r="AK19" s="4526"/>
      <c r="AL19" s="4543"/>
      <c r="AM19" s="4526"/>
      <c r="AN19" s="4543"/>
      <c r="AO19" s="4526"/>
      <c r="AP19" s="4543"/>
      <c r="AQ19" s="4526"/>
      <c r="AR19" s="4543"/>
      <c r="AS19" s="4526"/>
      <c r="AT19" s="4543"/>
      <c r="AU19" s="4526"/>
      <c r="AV19" s="4543"/>
      <c r="AW19" s="4526"/>
      <c r="AX19" s="4546"/>
      <c r="AY19" s="4526"/>
      <c r="AZ19" s="4543"/>
      <c r="BA19" s="4526"/>
      <c r="BB19" s="4543"/>
      <c r="BC19" s="4526"/>
      <c r="BD19" s="4546"/>
      <c r="BE19" s="4526"/>
      <c r="BF19" s="4546"/>
      <c r="BG19" s="4526"/>
      <c r="BH19" s="4546"/>
      <c r="BI19" s="4546"/>
      <c r="BJ19" s="4546"/>
      <c r="BK19" s="3185"/>
      <c r="BL19" s="4546"/>
      <c r="BM19" s="4546"/>
      <c r="BN19" s="4554"/>
      <c r="BO19" s="4554"/>
      <c r="BP19" s="4554"/>
      <c r="BQ19" s="4554"/>
      <c r="BR19" s="4557"/>
    </row>
    <row r="20" spans="1:70" s="978" customFormat="1" ht="57" x14ac:dyDescent="0.2">
      <c r="A20" s="971"/>
      <c r="B20" s="972"/>
      <c r="C20" s="973"/>
      <c r="D20" s="972"/>
      <c r="E20" s="972"/>
      <c r="F20" s="973"/>
      <c r="G20" s="979"/>
      <c r="H20" s="972"/>
      <c r="I20" s="973"/>
      <c r="J20" s="4518"/>
      <c r="K20" s="4521"/>
      <c r="L20" s="4524"/>
      <c r="M20" s="4524"/>
      <c r="N20" s="4526"/>
      <c r="O20" s="4524"/>
      <c r="P20" s="4528"/>
      <c r="Q20" s="4521"/>
      <c r="R20" s="4531"/>
      <c r="S20" s="4534"/>
      <c r="T20" s="4521"/>
      <c r="U20" s="4549"/>
      <c r="V20" s="980" t="s">
        <v>774</v>
      </c>
      <c r="W20" s="2601">
        <v>4000000</v>
      </c>
      <c r="X20" s="2596">
        <v>4000000</v>
      </c>
      <c r="Y20" s="2596">
        <v>3500000</v>
      </c>
      <c r="Z20" s="977">
        <v>61</v>
      </c>
      <c r="AA20" s="4524"/>
      <c r="AB20" s="4524"/>
      <c r="AC20" s="4526"/>
      <c r="AD20" s="4524"/>
      <c r="AE20" s="4526"/>
      <c r="AF20" s="4539"/>
      <c r="AG20" s="4541"/>
      <c r="AH20" s="4543"/>
      <c r="AI20" s="4526"/>
      <c r="AJ20" s="4546"/>
      <c r="AK20" s="4526"/>
      <c r="AL20" s="4543"/>
      <c r="AM20" s="4526"/>
      <c r="AN20" s="4543"/>
      <c r="AO20" s="4526"/>
      <c r="AP20" s="4543"/>
      <c r="AQ20" s="4526"/>
      <c r="AR20" s="4543"/>
      <c r="AS20" s="4526"/>
      <c r="AT20" s="4543"/>
      <c r="AU20" s="4526"/>
      <c r="AV20" s="4543"/>
      <c r="AW20" s="4526"/>
      <c r="AX20" s="4546"/>
      <c r="AY20" s="4526"/>
      <c r="AZ20" s="4543"/>
      <c r="BA20" s="4526"/>
      <c r="BB20" s="4543"/>
      <c r="BC20" s="4526"/>
      <c r="BD20" s="4546"/>
      <c r="BE20" s="4526"/>
      <c r="BF20" s="4546"/>
      <c r="BG20" s="4526"/>
      <c r="BH20" s="4546"/>
      <c r="BI20" s="4546"/>
      <c r="BJ20" s="4546"/>
      <c r="BK20" s="3185"/>
      <c r="BL20" s="4546"/>
      <c r="BM20" s="4546"/>
      <c r="BN20" s="4554"/>
      <c r="BO20" s="4554"/>
      <c r="BP20" s="4554"/>
      <c r="BQ20" s="4554"/>
      <c r="BR20" s="4557"/>
    </row>
    <row r="21" spans="1:70" s="978" customFormat="1" ht="57" x14ac:dyDescent="0.2">
      <c r="A21" s="971"/>
      <c r="B21" s="972"/>
      <c r="C21" s="973"/>
      <c r="D21" s="972"/>
      <c r="E21" s="972"/>
      <c r="F21" s="973"/>
      <c r="G21" s="979"/>
      <c r="H21" s="972"/>
      <c r="I21" s="973"/>
      <c r="J21" s="4518"/>
      <c r="K21" s="4521"/>
      <c r="L21" s="4524"/>
      <c r="M21" s="4524"/>
      <c r="N21" s="4526"/>
      <c r="O21" s="4524"/>
      <c r="P21" s="4528"/>
      <c r="Q21" s="4521"/>
      <c r="R21" s="4531"/>
      <c r="S21" s="4534"/>
      <c r="T21" s="4521"/>
      <c r="U21" s="4549"/>
      <c r="V21" s="980" t="s">
        <v>775</v>
      </c>
      <c r="W21" s="2601">
        <v>7000000</v>
      </c>
      <c r="X21" s="2596">
        <v>7000000</v>
      </c>
      <c r="Y21" s="2596">
        <v>4582000</v>
      </c>
      <c r="Z21" s="977">
        <v>61</v>
      </c>
      <c r="AA21" s="4524"/>
      <c r="AB21" s="4524"/>
      <c r="AC21" s="4526"/>
      <c r="AD21" s="4524"/>
      <c r="AE21" s="4526"/>
      <c r="AF21" s="4539"/>
      <c r="AG21" s="4541"/>
      <c r="AH21" s="4543"/>
      <c r="AI21" s="4526"/>
      <c r="AJ21" s="4546"/>
      <c r="AK21" s="4526"/>
      <c r="AL21" s="4543"/>
      <c r="AM21" s="4526"/>
      <c r="AN21" s="4543"/>
      <c r="AO21" s="4526"/>
      <c r="AP21" s="4543"/>
      <c r="AQ21" s="4526"/>
      <c r="AR21" s="4543"/>
      <c r="AS21" s="4526"/>
      <c r="AT21" s="4543"/>
      <c r="AU21" s="4526"/>
      <c r="AV21" s="4543"/>
      <c r="AW21" s="4526"/>
      <c r="AX21" s="4546"/>
      <c r="AY21" s="4526"/>
      <c r="AZ21" s="4543"/>
      <c r="BA21" s="4526"/>
      <c r="BB21" s="4543"/>
      <c r="BC21" s="4526"/>
      <c r="BD21" s="4546"/>
      <c r="BE21" s="4526"/>
      <c r="BF21" s="4546"/>
      <c r="BG21" s="4526"/>
      <c r="BH21" s="4546"/>
      <c r="BI21" s="4546"/>
      <c r="BJ21" s="4546"/>
      <c r="BK21" s="3185"/>
      <c r="BL21" s="4546"/>
      <c r="BM21" s="4546"/>
      <c r="BN21" s="4554"/>
      <c r="BO21" s="4554"/>
      <c r="BP21" s="4554"/>
      <c r="BQ21" s="4554"/>
      <c r="BR21" s="4557"/>
    </row>
    <row r="22" spans="1:70" s="978" customFormat="1" ht="68.25" customHeight="1" x14ac:dyDescent="0.2">
      <c r="A22" s="971"/>
      <c r="B22" s="972"/>
      <c r="C22" s="973"/>
      <c r="D22" s="972"/>
      <c r="E22" s="972"/>
      <c r="F22" s="973"/>
      <c r="G22" s="979"/>
      <c r="H22" s="972"/>
      <c r="I22" s="973"/>
      <c r="J22" s="4519"/>
      <c r="K22" s="4522"/>
      <c r="L22" s="4525"/>
      <c r="M22" s="4525"/>
      <c r="N22" s="4526"/>
      <c r="O22" s="4524"/>
      <c r="P22" s="4528"/>
      <c r="Q22" s="4521"/>
      <c r="R22" s="4532"/>
      <c r="S22" s="4534"/>
      <c r="T22" s="4521"/>
      <c r="U22" s="4550"/>
      <c r="V22" s="980" t="s">
        <v>776</v>
      </c>
      <c r="W22" s="2601">
        <v>4000000</v>
      </c>
      <c r="X22" s="2596">
        <v>4000000</v>
      </c>
      <c r="Y22" s="2596">
        <v>3500000</v>
      </c>
      <c r="Z22" s="977">
        <v>61</v>
      </c>
      <c r="AA22" s="4524"/>
      <c r="AB22" s="4524"/>
      <c r="AC22" s="4526"/>
      <c r="AD22" s="4524"/>
      <c r="AE22" s="4526"/>
      <c r="AF22" s="4539"/>
      <c r="AG22" s="4541"/>
      <c r="AH22" s="4543"/>
      <c r="AI22" s="4526"/>
      <c r="AJ22" s="4546"/>
      <c r="AK22" s="4526"/>
      <c r="AL22" s="4543"/>
      <c r="AM22" s="4526"/>
      <c r="AN22" s="4543"/>
      <c r="AO22" s="4526"/>
      <c r="AP22" s="4543"/>
      <c r="AQ22" s="4526"/>
      <c r="AR22" s="4543"/>
      <c r="AS22" s="4526"/>
      <c r="AT22" s="4543"/>
      <c r="AU22" s="4526"/>
      <c r="AV22" s="4543"/>
      <c r="AW22" s="4526"/>
      <c r="AX22" s="4546"/>
      <c r="AY22" s="4526"/>
      <c r="AZ22" s="4543"/>
      <c r="BA22" s="4526"/>
      <c r="BB22" s="4543"/>
      <c r="BC22" s="4526"/>
      <c r="BD22" s="4546"/>
      <c r="BE22" s="4526"/>
      <c r="BF22" s="4546"/>
      <c r="BG22" s="4526"/>
      <c r="BH22" s="4546"/>
      <c r="BI22" s="4546"/>
      <c r="BJ22" s="4546"/>
      <c r="BK22" s="3185"/>
      <c r="BL22" s="4546"/>
      <c r="BM22" s="4546"/>
      <c r="BN22" s="4554"/>
      <c r="BO22" s="4554"/>
      <c r="BP22" s="4554"/>
      <c r="BQ22" s="4554"/>
      <c r="BR22" s="4557"/>
    </row>
    <row r="23" spans="1:70" s="978" customFormat="1" ht="48.75" customHeight="1" x14ac:dyDescent="0.2">
      <c r="A23" s="971"/>
      <c r="B23" s="972"/>
      <c r="C23" s="973"/>
      <c r="D23" s="972"/>
      <c r="E23" s="972"/>
      <c r="F23" s="973"/>
      <c r="G23" s="979"/>
      <c r="H23" s="972"/>
      <c r="I23" s="973"/>
      <c r="J23" s="4517">
        <v>128</v>
      </c>
      <c r="K23" s="4520" t="s">
        <v>777</v>
      </c>
      <c r="L23" s="4523" t="s">
        <v>759</v>
      </c>
      <c r="M23" s="4523">
        <v>1</v>
      </c>
      <c r="N23" s="4526">
        <v>0.5</v>
      </c>
      <c r="O23" s="4524"/>
      <c r="P23" s="4528"/>
      <c r="Q23" s="4521"/>
      <c r="R23" s="4530">
        <f>+SUM(W23:W32)/S13</f>
        <v>0.20918367346938777</v>
      </c>
      <c r="S23" s="4534"/>
      <c r="T23" s="4521"/>
      <c r="U23" s="4520" t="s">
        <v>778</v>
      </c>
      <c r="V23" s="4551" t="s">
        <v>779</v>
      </c>
      <c r="W23" s="2601">
        <v>5600000</v>
      </c>
      <c r="X23" s="2596">
        <v>4589000</v>
      </c>
      <c r="Y23" s="2596">
        <v>3671200</v>
      </c>
      <c r="Z23" s="977">
        <v>61</v>
      </c>
      <c r="AA23" s="4524"/>
      <c r="AB23" s="4524"/>
      <c r="AC23" s="4526"/>
      <c r="AD23" s="4524"/>
      <c r="AE23" s="4526"/>
      <c r="AF23" s="4539"/>
      <c r="AG23" s="4541"/>
      <c r="AH23" s="4543"/>
      <c r="AI23" s="4526"/>
      <c r="AJ23" s="4546"/>
      <c r="AK23" s="4526"/>
      <c r="AL23" s="4543"/>
      <c r="AM23" s="4526"/>
      <c r="AN23" s="4543"/>
      <c r="AO23" s="4526"/>
      <c r="AP23" s="4543"/>
      <c r="AQ23" s="4526"/>
      <c r="AR23" s="4543"/>
      <c r="AS23" s="4526"/>
      <c r="AT23" s="4543"/>
      <c r="AU23" s="4526"/>
      <c r="AV23" s="4543"/>
      <c r="AW23" s="4526"/>
      <c r="AX23" s="4546"/>
      <c r="AY23" s="4526"/>
      <c r="AZ23" s="4543"/>
      <c r="BA23" s="4526"/>
      <c r="BB23" s="4543"/>
      <c r="BC23" s="4526"/>
      <c r="BD23" s="4546"/>
      <c r="BE23" s="4526"/>
      <c r="BF23" s="4546"/>
      <c r="BG23" s="4526"/>
      <c r="BH23" s="4546"/>
      <c r="BI23" s="4546"/>
      <c r="BJ23" s="4546"/>
      <c r="BK23" s="3185"/>
      <c r="BL23" s="4546"/>
      <c r="BM23" s="4546"/>
      <c r="BN23" s="4554"/>
      <c r="BO23" s="4554"/>
      <c r="BP23" s="4554"/>
      <c r="BQ23" s="4554"/>
      <c r="BR23" s="4557"/>
    </row>
    <row r="24" spans="1:70" s="978" customFormat="1" ht="26.25" customHeight="1" x14ac:dyDescent="0.2">
      <c r="A24" s="971"/>
      <c r="B24" s="972"/>
      <c r="C24" s="973"/>
      <c r="D24" s="972"/>
      <c r="E24" s="972"/>
      <c r="F24" s="973"/>
      <c r="G24" s="979"/>
      <c r="H24" s="972"/>
      <c r="I24" s="973"/>
      <c r="J24" s="4518"/>
      <c r="K24" s="4521"/>
      <c r="L24" s="4524"/>
      <c r="M24" s="4524"/>
      <c r="N24" s="4526"/>
      <c r="O24" s="4524"/>
      <c r="P24" s="4528"/>
      <c r="Q24" s="4521"/>
      <c r="R24" s="4531"/>
      <c r="S24" s="4534"/>
      <c r="T24" s="4521"/>
      <c r="U24" s="4521"/>
      <c r="V24" s="4552"/>
      <c r="W24" s="2601">
        <v>2000000</v>
      </c>
      <c r="X24" s="2595">
        <v>0</v>
      </c>
      <c r="Y24" s="2595">
        <v>0</v>
      </c>
      <c r="Z24" s="977">
        <v>98</v>
      </c>
      <c r="AA24" s="4524"/>
      <c r="AB24" s="4524"/>
      <c r="AC24" s="4526"/>
      <c r="AD24" s="4524"/>
      <c r="AE24" s="4526"/>
      <c r="AF24" s="4539"/>
      <c r="AG24" s="4541"/>
      <c r="AH24" s="4543"/>
      <c r="AI24" s="4526"/>
      <c r="AJ24" s="4546"/>
      <c r="AK24" s="4526"/>
      <c r="AL24" s="4543"/>
      <c r="AM24" s="4526"/>
      <c r="AN24" s="4543"/>
      <c r="AO24" s="4526"/>
      <c r="AP24" s="4543"/>
      <c r="AQ24" s="4526"/>
      <c r="AR24" s="4543"/>
      <c r="AS24" s="4526"/>
      <c r="AT24" s="4543"/>
      <c r="AU24" s="4526"/>
      <c r="AV24" s="4543"/>
      <c r="AW24" s="4526"/>
      <c r="AX24" s="4546"/>
      <c r="AY24" s="4526"/>
      <c r="AZ24" s="4543"/>
      <c r="BA24" s="4526"/>
      <c r="BB24" s="4543"/>
      <c r="BC24" s="4526"/>
      <c r="BD24" s="4546"/>
      <c r="BE24" s="4526"/>
      <c r="BF24" s="4546"/>
      <c r="BG24" s="4526"/>
      <c r="BH24" s="4546"/>
      <c r="BI24" s="4546"/>
      <c r="BJ24" s="4546"/>
      <c r="BK24" s="3185"/>
      <c r="BL24" s="4546"/>
      <c r="BM24" s="4546"/>
      <c r="BN24" s="4554"/>
      <c r="BO24" s="4554"/>
      <c r="BP24" s="4554"/>
      <c r="BQ24" s="4554"/>
      <c r="BR24" s="4557"/>
    </row>
    <row r="25" spans="1:70" s="978" customFormat="1" ht="50.25" customHeight="1" x14ac:dyDescent="0.2">
      <c r="A25" s="971"/>
      <c r="B25" s="972"/>
      <c r="C25" s="973"/>
      <c r="D25" s="972"/>
      <c r="E25" s="972"/>
      <c r="F25" s="973"/>
      <c r="G25" s="979"/>
      <c r="H25" s="972"/>
      <c r="I25" s="973"/>
      <c r="J25" s="4518"/>
      <c r="K25" s="4521"/>
      <c r="L25" s="4524"/>
      <c r="M25" s="4524"/>
      <c r="N25" s="4526"/>
      <c r="O25" s="4524"/>
      <c r="P25" s="4528"/>
      <c r="Q25" s="4521"/>
      <c r="R25" s="4531"/>
      <c r="S25" s="4534"/>
      <c r="T25" s="4521"/>
      <c r="U25" s="4521"/>
      <c r="V25" s="4551" t="s">
        <v>780</v>
      </c>
      <c r="W25" s="2601">
        <v>5600000</v>
      </c>
      <c r="X25" s="2596">
        <v>4589000</v>
      </c>
      <c r="Y25" s="2596">
        <v>3671200</v>
      </c>
      <c r="Z25" s="977">
        <v>61</v>
      </c>
      <c r="AA25" s="4524"/>
      <c r="AB25" s="4524"/>
      <c r="AC25" s="4526"/>
      <c r="AD25" s="4524"/>
      <c r="AE25" s="4526"/>
      <c r="AF25" s="4539"/>
      <c r="AG25" s="4541"/>
      <c r="AH25" s="4543"/>
      <c r="AI25" s="4526"/>
      <c r="AJ25" s="4546"/>
      <c r="AK25" s="4526"/>
      <c r="AL25" s="4543"/>
      <c r="AM25" s="4526"/>
      <c r="AN25" s="4543"/>
      <c r="AO25" s="4526"/>
      <c r="AP25" s="4543"/>
      <c r="AQ25" s="4526"/>
      <c r="AR25" s="4543"/>
      <c r="AS25" s="4526"/>
      <c r="AT25" s="4543"/>
      <c r="AU25" s="4526"/>
      <c r="AV25" s="4543"/>
      <c r="AW25" s="4526"/>
      <c r="AX25" s="4546"/>
      <c r="AY25" s="4526"/>
      <c r="AZ25" s="4543"/>
      <c r="BA25" s="4526"/>
      <c r="BB25" s="4543"/>
      <c r="BC25" s="4526"/>
      <c r="BD25" s="4546"/>
      <c r="BE25" s="4526"/>
      <c r="BF25" s="4546"/>
      <c r="BG25" s="4526"/>
      <c r="BH25" s="4546"/>
      <c r="BI25" s="4546"/>
      <c r="BJ25" s="4546"/>
      <c r="BK25" s="3185"/>
      <c r="BL25" s="4546"/>
      <c r="BM25" s="4546"/>
      <c r="BN25" s="4554"/>
      <c r="BO25" s="4554"/>
      <c r="BP25" s="4554"/>
      <c r="BQ25" s="4554"/>
      <c r="BR25" s="4557"/>
    </row>
    <row r="26" spans="1:70" s="978" customFormat="1" ht="28.5" customHeight="1" x14ac:dyDescent="0.2">
      <c r="A26" s="971"/>
      <c r="B26" s="972"/>
      <c r="C26" s="973"/>
      <c r="D26" s="972"/>
      <c r="E26" s="972"/>
      <c r="F26" s="973"/>
      <c r="G26" s="979"/>
      <c r="H26" s="972"/>
      <c r="I26" s="973"/>
      <c r="J26" s="4518"/>
      <c r="K26" s="4521"/>
      <c r="L26" s="4524"/>
      <c r="M26" s="4524"/>
      <c r="N26" s="4526"/>
      <c r="O26" s="4524"/>
      <c r="P26" s="4528"/>
      <c r="Q26" s="4521"/>
      <c r="R26" s="4531"/>
      <c r="S26" s="4534"/>
      <c r="T26" s="4521"/>
      <c r="U26" s="4521"/>
      <c r="V26" s="4552"/>
      <c r="W26" s="2601">
        <v>2000000</v>
      </c>
      <c r="X26" s="2595">
        <v>0</v>
      </c>
      <c r="Y26" s="2595">
        <v>0</v>
      </c>
      <c r="Z26" s="977">
        <v>98</v>
      </c>
      <c r="AA26" s="4524"/>
      <c r="AB26" s="4524"/>
      <c r="AC26" s="4526"/>
      <c r="AD26" s="4524"/>
      <c r="AE26" s="4526"/>
      <c r="AF26" s="4539"/>
      <c r="AG26" s="4541"/>
      <c r="AH26" s="4543"/>
      <c r="AI26" s="4526"/>
      <c r="AJ26" s="4546"/>
      <c r="AK26" s="4526"/>
      <c r="AL26" s="4543"/>
      <c r="AM26" s="4526"/>
      <c r="AN26" s="4543"/>
      <c r="AO26" s="4526"/>
      <c r="AP26" s="4543"/>
      <c r="AQ26" s="4526"/>
      <c r="AR26" s="4543"/>
      <c r="AS26" s="4526"/>
      <c r="AT26" s="4543"/>
      <c r="AU26" s="4526"/>
      <c r="AV26" s="4543"/>
      <c r="AW26" s="4526"/>
      <c r="AX26" s="4546"/>
      <c r="AY26" s="4526"/>
      <c r="AZ26" s="4543"/>
      <c r="BA26" s="4526"/>
      <c r="BB26" s="4543"/>
      <c r="BC26" s="4526"/>
      <c r="BD26" s="4546"/>
      <c r="BE26" s="4526"/>
      <c r="BF26" s="4546"/>
      <c r="BG26" s="4526"/>
      <c r="BH26" s="4546"/>
      <c r="BI26" s="4546"/>
      <c r="BJ26" s="4546"/>
      <c r="BK26" s="3185"/>
      <c r="BL26" s="4546"/>
      <c r="BM26" s="4546"/>
      <c r="BN26" s="4554"/>
      <c r="BO26" s="4554"/>
      <c r="BP26" s="4554"/>
      <c r="BQ26" s="4554"/>
      <c r="BR26" s="4557"/>
    </row>
    <row r="27" spans="1:70" s="978" customFormat="1" ht="27.75" customHeight="1" x14ac:dyDescent="0.2">
      <c r="A27" s="971"/>
      <c r="B27" s="972"/>
      <c r="C27" s="973"/>
      <c r="D27" s="972"/>
      <c r="E27" s="972"/>
      <c r="F27" s="973"/>
      <c r="G27" s="979"/>
      <c r="H27" s="972"/>
      <c r="I27" s="973"/>
      <c r="J27" s="4518"/>
      <c r="K27" s="4521"/>
      <c r="L27" s="4524"/>
      <c r="M27" s="4524"/>
      <c r="N27" s="4526"/>
      <c r="O27" s="4524"/>
      <c r="P27" s="4528"/>
      <c r="Q27" s="4521"/>
      <c r="R27" s="4531"/>
      <c r="S27" s="4534"/>
      <c r="T27" s="4521"/>
      <c r="U27" s="4521"/>
      <c r="V27" s="4551" t="s">
        <v>781</v>
      </c>
      <c r="W27" s="2601">
        <v>5600000</v>
      </c>
      <c r="X27" s="2596">
        <v>4589000</v>
      </c>
      <c r="Y27" s="2596">
        <v>3671200</v>
      </c>
      <c r="Z27" s="977">
        <v>61</v>
      </c>
      <c r="AA27" s="4524"/>
      <c r="AB27" s="4524"/>
      <c r="AC27" s="4526"/>
      <c r="AD27" s="4524"/>
      <c r="AE27" s="4526"/>
      <c r="AF27" s="4539"/>
      <c r="AG27" s="4541"/>
      <c r="AH27" s="4543"/>
      <c r="AI27" s="4526"/>
      <c r="AJ27" s="4546"/>
      <c r="AK27" s="4526"/>
      <c r="AL27" s="4543"/>
      <c r="AM27" s="4526"/>
      <c r="AN27" s="4543"/>
      <c r="AO27" s="4526"/>
      <c r="AP27" s="4543"/>
      <c r="AQ27" s="4526"/>
      <c r="AR27" s="4543"/>
      <c r="AS27" s="4526"/>
      <c r="AT27" s="4543"/>
      <c r="AU27" s="4526"/>
      <c r="AV27" s="4543"/>
      <c r="AW27" s="4526"/>
      <c r="AX27" s="4546"/>
      <c r="AY27" s="4526"/>
      <c r="AZ27" s="4543"/>
      <c r="BA27" s="4526"/>
      <c r="BB27" s="4543"/>
      <c r="BC27" s="4526"/>
      <c r="BD27" s="4546"/>
      <c r="BE27" s="4526"/>
      <c r="BF27" s="4546"/>
      <c r="BG27" s="4526"/>
      <c r="BH27" s="4546"/>
      <c r="BI27" s="4546"/>
      <c r="BJ27" s="4546"/>
      <c r="BK27" s="3185"/>
      <c r="BL27" s="4546"/>
      <c r="BM27" s="4546"/>
      <c r="BN27" s="4554"/>
      <c r="BO27" s="4554"/>
      <c r="BP27" s="4554"/>
      <c r="BQ27" s="4554"/>
      <c r="BR27" s="4557"/>
    </row>
    <row r="28" spans="1:70" s="978" customFormat="1" ht="28.5" customHeight="1" x14ac:dyDescent="0.2">
      <c r="A28" s="971"/>
      <c r="B28" s="972"/>
      <c r="C28" s="973"/>
      <c r="D28" s="972"/>
      <c r="E28" s="972"/>
      <c r="F28" s="973"/>
      <c r="G28" s="979"/>
      <c r="H28" s="972"/>
      <c r="I28" s="973"/>
      <c r="J28" s="4518"/>
      <c r="K28" s="4521"/>
      <c r="L28" s="4524"/>
      <c r="M28" s="4524"/>
      <c r="N28" s="4526"/>
      <c r="O28" s="4524"/>
      <c r="P28" s="4528"/>
      <c r="Q28" s="4521"/>
      <c r="R28" s="4531"/>
      <c r="S28" s="4534"/>
      <c r="T28" s="4521"/>
      <c r="U28" s="4521"/>
      <c r="V28" s="4552"/>
      <c r="W28" s="2601">
        <v>3000000</v>
      </c>
      <c r="X28" s="2595">
        <v>0</v>
      </c>
      <c r="Y28" s="2595">
        <v>0</v>
      </c>
      <c r="Z28" s="977">
        <v>98</v>
      </c>
      <c r="AA28" s="4524"/>
      <c r="AB28" s="4524"/>
      <c r="AC28" s="4526"/>
      <c r="AD28" s="4524"/>
      <c r="AE28" s="4526"/>
      <c r="AF28" s="4539"/>
      <c r="AG28" s="4541"/>
      <c r="AH28" s="4543"/>
      <c r="AI28" s="4526"/>
      <c r="AJ28" s="4546"/>
      <c r="AK28" s="4526"/>
      <c r="AL28" s="4543"/>
      <c r="AM28" s="4526"/>
      <c r="AN28" s="4543"/>
      <c r="AO28" s="4526"/>
      <c r="AP28" s="4543"/>
      <c r="AQ28" s="4526"/>
      <c r="AR28" s="4543"/>
      <c r="AS28" s="4526"/>
      <c r="AT28" s="4543"/>
      <c r="AU28" s="4526"/>
      <c r="AV28" s="4543"/>
      <c r="AW28" s="4526"/>
      <c r="AX28" s="4546"/>
      <c r="AY28" s="4526"/>
      <c r="AZ28" s="4543"/>
      <c r="BA28" s="4526"/>
      <c r="BB28" s="4543"/>
      <c r="BC28" s="4526"/>
      <c r="BD28" s="4546"/>
      <c r="BE28" s="4526"/>
      <c r="BF28" s="4546"/>
      <c r="BG28" s="4526"/>
      <c r="BH28" s="4546"/>
      <c r="BI28" s="4546"/>
      <c r="BJ28" s="4546"/>
      <c r="BK28" s="3185"/>
      <c r="BL28" s="4546"/>
      <c r="BM28" s="4546"/>
      <c r="BN28" s="4554"/>
      <c r="BO28" s="4554"/>
      <c r="BP28" s="4554"/>
      <c r="BQ28" s="4554"/>
      <c r="BR28" s="4557"/>
    </row>
    <row r="29" spans="1:70" s="978" customFormat="1" ht="30.75" customHeight="1" x14ac:dyDescent="0.2">
      <c r="A29" s="971"/>
      <c r="B29" s="972"/>
      <c r="C29" s="973"/>
      <c r="D29" s="972"/>
      <c r="E29" s="972"/>
      <c r="F29" s="973"/>
      <c r="G29" s="979"/>
      <c r="H29" s="972"/>
      <c r="I29" s="973"/>
      <c r="J29" s="4518"/>
      <c r="K29" s="4521"/>
      <c r="L29" s="4524"/>
      <c r="M29" s="4524"/>
      <c r="N29" s="4526"/>
      <c r="O29" s="4524"/>
      <c r="P29" s="4528"/>
      <c r="Q29" s="4521"/>
      <c r="R29" s="4531"/>
      <c r="S29" s="4534"/>
      <c r="T29" s="4521"/>
      <c r="U29" s="4521"/>
      <c r="V29" s="4551" t="s">
        <v>782</v>
      </c>
      <c r="W29" s="2601">
        <v>5600000</v>
      </c>
      <c r="X29" s="2596">
        <v>4589000</v>
      </c>
      <c r="Y29" s="2596">
        <v>3671200</v>
      </c>
      <c r="Z29" s="977">
        <v>61</v>
      </c>
      <c r="AA29" s="4524"/>
      <c r="AB29" s="4524"/>
      <c r="AC29" s="4526"/>
      <c r="AD29" s="4524"/>
      <c r="AE29" s="4526"/>
      <c r="AF29" s="4539"/>
      <c r="AG29" s="4541"/>
      <c r="AH29" s="4543"/>
      <c r="AI29" s="4526"/>
      <c r="AJ29" s="4546"/>
      <c r="AK29" s="4526"/>
      <c r="AL29" s="4543"/>
      <c r="AM29" s="4526"/>
      <c r="AN29" s="4543"/>
      <c r="AO29" s="4526"/>
      <c r="AP29" s="4543"/>
      <c r="AQ29" s="4526"/>
      <c r="AR29" s="4543"/>
      <c r="AS29" s="4526"/>
      <c r="AT29" s="4543"/>
      <c r="AU29" s="4526"/>
      <c r="AV29" s="4543"/>
      <c r="AW29" s="4526"/>
      <c r="AX29" s="4546"/>
      <c r="AY29" s="4526"/>
      <c r="AZ29" s="4543"/>
      <c r="BA29" s="4526"/>
      <c r="BB29" s="4543"/>
      <c r="BC29" s="4526"/>
      <c r="BD29" s="4546"/>
      <c r="BE29" s="4526"/>
      <c r="BF29" s="4546"/>
      <c r="BG29" s="4526"/>
      <c r="BH29" s="4546"/>
      <c r="BI29" s="4546"/>
      <c r="BJ29" s="4546"/>
      <c r="BK29" s="3185"/>
      <c r="BL29" s="4546"/>
      <c r="BM29" s="4546"/>
      <c r="BN29" s="4554"/>
      <c r="BO29" s="4554"/>
      <c r="BP29" s="4554"/>
      <c r="BQ29" s="4554"/>
      <c r="BR29" s="4557"/>
    </row>
    <row r="30" spans="1:70" s="978" customFormat="1" ht="28.5" customHeight="1" x14ac:dyDescent="0.2">
      <c r="A30" s="971"/>
      <c r="B30" s="972"/>
      <c r="C30" s="973"/>
      <c r="D30" s="972"/>
      <c r="E30" s="972"/>
      <c r="F30" s="973"/>
      <c r="G30" s="979"/>
      <c r="H30" s="972"/>
      <c r="I30" s="973"/>
      <c r="J30" s="4518"/>
      <c r="K30" s="4521"/>
      <c r="L30" s="4524"/>
      <c r="M30" s="4524"/>
      <c r="N30" s="4526"/>
      <c r="O30" s="4524"/>
      <c r="P30" s="4528"/>
      <c r="Q30" s="4521"/>
      <c r="R30" s="4531"/>
      <c r="S30" s="4534"/>
      <c r="T30" s="4521"/>
      <c r="U30" s="4521"/>
      <c r="V30" s="4552"/>
      <c r="W30" s="2601">
        <v>3000000</v>
      </c>
      <c r="X30" s="2595">
        <v>0</v>
      </c>
      <c r="Y30" s="2595">
        <v>0</v>
      </c>
      <c r="Z30" s="977">
        <v>98</v>
      </c>
      <c r="AA30" s="4524"/>
      <c r="AB30" s="4524"/>
      <c r="AC30" s="4526"/>
      <c r="AD30" s="4524"/>
      <c r="AE30" s="4526"/>
      <c r="AF30" s="4539"/>
      <c r="AG30" s="4541"/>
      <c r="AH30" s="4543"/>
      <c r="AI30" s="4526"/>
      <c r="AJ30" s="4546"/>
      <c r="AK30" s="4526"/>
      <c r="AL30" s="4543"/>
      <c r="AM30" s="4526"/>
      <c r="AN30" s="4543"/>
      <c r="AO30" s="4526"/>
      <c r="AP30" s="4543"/>
      <c r="AQ30" s="4526"/>
      <c r="AR30" s="4543"/>
      <c r="AS30" s="4526"/>
      <c r="AT30" s="4543"/>
      <c r="AU30" s="4526"/>
      <c r="AV30" s="4543"/>
      <c r="AW30" s="4526"/>
      <c r="AX30" s="4546"/>
      <c r="AY30" s="4526"/>
      <c r="AZ30" s="4543"/>
      <c r="BA30" s="4526"/>
      <c r="BB30" s="4543"/>
      <c r="BC30" s="4526"/>
      <c r="BD30" s="4546"/>
      <c r="BE30" s="4526"/>
      <c r="BF30" s="4546"/>
      <c r="BG30" s="4526"/>
      <c r="BH30" s="4546"/>
      <c r="BI30" s="4546"/>
      <c r="BJ30" s="4546"/>
      <c r="BK30" s="3185"/>
      <c r="BL30" s="4546"/>
      <c r="BM30" s="4546"/>
      <c r="BN30" s="4554"/>
      <c r="BO30" s="4554"/>
      <c r="BP30" s="4554"/>
      <c r="BQ30" s="4554"/>
      <c r="BR30" s="4557"/>
    </row>
    <row r="31" spans="1:70" s="978" customFormat="1" ht="28.5" customHeight="1" x14ac:dyDescent="0.2">
      <c r="A31" s="971"/>
      <c r="B31" s="972"/>
      <c r="C31" s="973"/>
      <c r="D31" s="972"/>
      <c r="E31" s="972"/>
      <c r="F31" s="973"/>
      <c r="G31" s="979"/>
      <c r="H31" s="972"/>
      <c r="I31" s="973"/>
      <c r="J31" s="4518"/>
      <c r="K31" s="4521"/>
      <c r="L31" s="4524"/>
      <c r="M31" s="4524"/>
      <c r="N31" s="4526"/>
      <c r="O31" s="4524"/>
      <c r="P31" s="4528"/>
      <c r="Q31" s="4521"/>
      <c r="R31" s="4531"/>
      <c r="S31" s="4534"/>
      <c r="T31" s="4521"/>
      <c r="U31" s="4521"/>
      <c r="V31" s="4551" t="s">
        <v>783</v>
      </c>
      <c r="W31" s="2601">
        <v>5600000</v>
      </c>
      <c r="X31" s="2596">
        <v>4589000</v>
      </c>
      <c r="Y31" s="2596">
        <v>3671200</v>
      </c>
      <c r="Z31" s="977">
        <v>61</v>
      </c>
      <c r="AA31" s="4524"/>
      <c r="AB31" s="4524"/>
      <c r="AC31" s="4526"/>
      <c r="AD31" s="4524"/>
      <c r="AE31" s="4526"/>
      <c r="AF31" s="4539"/>
      <c r="AG31" s="4541"/>
      <c r="AH31" s="4543"/>
      <c r="AI31" s="4526"/>
      <c r="AJ31" s="4546"/>
      <c r="AK31" s="4526"/>
      <c r="AL31" s="4543"/>
      <c r="AM31" s="4526"/>
      <c r="AN31" s="4543"/>
      <c r="AO31" s="4526"/>
      <c r="AP31" s="4543"/>
      <c r="AQ31" s="4526"/>
      <c r="AR31" s="4543"/>
      <c r="AS31" s="4526"/>
      <c r="AT31" s="4543"/>
      <c r="AU31" s="4526"/>
      <c r="AV31" s="4543"/>
      <c r="AW31" s="4526"/>
      <c r="AX31" s="4546"/>
      <c r="AY31" s="4526"/>
      <c r="AZ31" s="4543"/>
      <c r="BA31" s="4526"/>
      <c r="BB31" s="4543"/>
      <c r="BC31" s="4526"/>
      <c r="BD31" s="4546"/>
      <c r="BE31" s="4526"/>
      <c r="BF31" s="4546"/>
      <c r="BG31" s="4526"/>
      <c r="BH31" s="4546"/>
      <c r="BI31" s="4546"/>
      <c r="BJ31" s="4546"/>
      <c r="BK31" s="3185"/>
      <c r="BL31" s="4546"/>
      <c r="BM31" s="4546"/>
      <c r="BN31" s="4554"/>
      <c r="BO31" s="4554"/>
      <c r="BP31" s="4554"/>
      <c r="BQ31" s="4554"/>
      <c r="BR31" s="4557"/>
    </row>
    <row r="32" spans="1:70" s="978" customFormat="1" ht="30.75" customHeight="1" x14ac:dyDescent="0.2">
      <c r="A32" s="971"/>
      <c r="B32" s="972"/>
      <c r="C32" s="973"/>
      <c r="D32" s="972"/>
      <c r="E32" s="972"/>
      <c r="F32" s="973"/>
      <c r="G32" s="979"/>
      <c r="H32" s="972"/>
      <c r="I32" s="973"/>
      <c r="J32" s="4519"/>
      <c r="K32" s="4521"/>
      <c r="L32" s="4524"/>
      <c r="M32" s="4524"/>
      <c r="N32" s="4526"/>
      <c r="O32" s="4524"/>
      <c r="P32" s="4528"/>
      <c r="Q32" s="4521"/>
      <c r="R32" s="4531"/>
      <c r="S32" s="4534"/>
      <c r="T32" s="4521"/>
      <c r="U32" s="4521"/>
      <c r="V32" s="4552"/>
      <c r="W32" s="2601">
        <v>3000000</v>
      </c>
      <c r="X32" s="2595">
        <v>0</v>
      </c>
      <c r="Y32" s="2595">
        <v>0</v>
      </c>
      <c r="Z32" s="977">
        <v>98</v>
      </c>
      <c r="AA32" s="4524"/>
      <c r="AB32" s="4524"/>
      <c r="AC32" s="4526"/>
      <c r="AD32" s="4524"/>
      <c r="AE32" s="4526"/>
      <c r="AF32" s="4539"/>
      <c r="AG32" s="4541"/>
      <c r="AH32" s="4543"/>
      <c r="AI32" s="4526"/>
      <c r="AJ32" s="4546"/>
      <c r="AK32" s="4526"/>
      <c r="AL32" s="4543"/>
      <c r="AM32" s="4526"/>
      <c r="AN32" s="4543"/>
      <c r="AO32" s="4526"/>
      <c r="AP32" s="4543"/>
      <c r="AQ32" s="4526"/>
      <c r="AR32" s="4543"/>
      <c r="AS32" s="4526"/>
      <c r="AT32" s="4543"/>
      <c r="AU32" s="4526"/>
      <c r="AV32" s="4543"/>
      <c r="AW32" s="4526"/>
      <c r="AX32" s="4546"/>
      <c r="AY32" s="4526"/>
      <c r="AZ32" s="4543"/>
      <c r="BA32" s="4526"/>
      <c r="BB32" s="4543"/>
      <c r="BC32" s="4526"/>
      <c r="BD32" s="4546"/>
      <c r="BE32" s="4526"/>
      <c r="BF32" s="4546"/>
      <c r="BG32" s="4526"/>
      <c r="BH32" s="4546"/>
      <c r="BI32" s="4546"/>
      <c r="BJ32" s="4546"/>
      <c r="BK32" s="3185"/>
      <c r="BL32" s="4546"/>
      <c r="BM32" s="4546"/>
      <c r="BN32" s="4554"/>
      <c r="BO32" s="4554"/>
      <c r="BP32" s="4554"/>
      <c r="BQ32" s="4554"/>
      <c r="BR32" s="4557"/>
    </row>
    <row r="33" spans="1:70" s="978" customFormat="1" ht="42" customHeight="1" x14ac:dyDescent="0.2">
      <c r="A33" s="971"/>
      <c r="B33" s="972"/>
      <c r="C33" s="973"/>
      <c r="D33" s="972"/>
      <c r="E33" s="972"/>
      <c r="F33" s="973"/>
      <c r="G33" s="979"/>
      <c r="H33" s="972"/>
      <c r="I33" s="973"/>
      <c r="J33" s="4517">
        <v>129</v>
      </c>
      <c r="K33" s="4520" t="s">
        <v>784</v>
      </c>
      <c r="L33" s="4523" t="s">
        <v>759</v>
      </c>
      <c r="M33" s="4523">
        <v>6</v>
      </c>
      <c r="N33" s="4526">
        <v>3</v>
      </c>
      <c r="O33" s="4524"/>
      <c r="P33" s="4528"/>
      <c r="Q33" s="4521"/>
      <c r="R33" s="4530">
        <f>SUM(W33:W46)/S13</f>
        <v>0.46938775510204084</v>
      </c>
      <c r="S33" s="4534"/>
      <c r="T33" s="4521"/>
      <c r="U33" s="4520" t="s">
        <v>785</v>
      </c>
      <c r="V33" s="4551" t="s">
        <v>786</v>
      </c>
      <c r="W33" s="2601">
        <v>6000000</v>
      </c>
      <c r="X33" s="2596">
        <v>6000000</v>
      </c>
      <c r="Y33" s="2596">
        <v>5200000</v>
      </c>
      <c r="Z33" s="977">
        <v>61</v>
      </c>
      <c r="AA33" s="4524"/>
      <c r="AB33" s="4524"/>
      <c r="AC33" s="4526"/>
      <c r="AD33" s="4524"/>
      <c r="AE33" s="4526"/>
      <c r="AF33" s="4539"/>
      <c r="AG33" s="4541"/>
      <c r="AH33" s="4543"/>
      <c r="AI33" s="4526"/>
      <c r="AJ33" s="4546"/>
      <c r="AK33" s="4526"/>
      <c r="AL33" s="4543"/>
      <c r="AM33" s="4526"/>
      <c r="AN33" s="4543"/>
      <c r="AO33" s="4526"/>
      <c r="AP33" s="4543"/>
      <c r="AQ33" s="4526"/>
      <c r="AR33" s="4543"/>
      <c r="AS33" s="4526"/>
      <c r="AT33" s="4543"/>
      <c r="AU33" s="4526"/>
      <c r="AV33" s="4543"/>
      <c r="AW33" s="4526"/>
      <c r="AX33" s="4546"/>
      <c r="AY33" s="4526"/>
      <c r="AZ33" s="4543"/>
      <c r="BA33" s="4526"/>
      <c r="BB33" s="4543"/>
      <c r="BC33" s="4526"/>
      <c r="BD33" s="4546"/>
      <c r="BE33" s="4526"/>
      <c r="BF33" s="4546"/>
      <c r="BG33" s="4526"/>
      <c r="BH33" s="4546"/>
      <c r="BI33" s="4546"/>
      <c r="BJ33" s="4546"/>
      <c r="BK33" s="3185"/>
      <c r="BL33" s="4546"/>
      <c r="BM33" s="4546"/>
      <c r="BN33" s="4554"/>
      <c r="BO33" s="4554"/>
      <c r="BP33" s="4554"/>
      <c r="BQ33" s="4554"/>
      <c r="BR33" s="4557"/>
    </row>
    <row r="34" spans="1:70" s="978" customFormat="1" ht="28.5" customHeight="1" x14ac:dyDescent="0.2">
      <c r="A34" s="971"/>
      <c r="B34" s="972"/>
      <c r="C34" s="973"/>
      <c r="D34" s="972"/>
      <c r="E34" s="972"/>
      <c r="F34" s="973"/>
      <c r="G34" s="979"/>
      <c r="H34" s="972"/>
      <c r="I34" s="973"/>
      <c r="J34" s="4518"/>
      <c r="K34" s="4521"/>
      <c r="L34" s="4524"/>
      <c r="M34" s="4524"/>
      <c r="N34" s="4526"/>
      <c r="O34" s="4524"/>
      <c r="P34" s="4528"/>
      <c r="Q34" s="4521"/>
      <c r="R34" s="4531"/>
      <c r="S34" s="4534"/>
      <c r="T34" s="4521"/>
      <c r="U34" s="4521"/>
      <c r="V34" s="4552"/>
      <c r="W34" s="2601">
        <v>3000000</v>
      </c>
      <c r="X34" s="2595">
        <v>0</v>
      </c>
      <c r="Y34" s="2595">
        <v>0</v>
      </c>
      <c r="Z34" s="977">
        <v>98</v>
      </c>
      <c r="AA34" s="4524"/>
      <c r="AB34" s="4524"/>
      <c r="AC34" s="4526"/>
      <c r="AD34" s="4524"/>
      <c r="AE34" s="4526"/>
      <c r="AF34" s="4539"/>
      <c r="AG34" s="4541"/>
      <c r="AH34" s="4543"/>
      <c r="AI34" s="4526"/>
      <c r="AJ34" s="4546"/>
      <c r="AK34" s="4526"/>
      <c r="AL34" s="4543"/>
      <c r="AM34" s="4526"/>
      <c r="AN34" s="4543"/>
      <c r="AO34" s="4526"/>
      <c r="AP34" s="4543"/>
      <c r="AQ34" s="4526"/>
      <c r="AR34" s="4543"/>
      <c r="AS34" s="4526"/>
      <c r="AT34" s="4543"/>
      <c r="AU34" s="4526"/>
      <c r="AV34" s="4543"/>
      <c r="AW34" s="4526"/>
      <c r="AX34" s="4546"/>
      <c r="AY34" s="4526"/>
      <c r="AZ34" s="4543"/>
      <c r="BA34" s="4526"/>
      <c r="BB34" s="4543"/>
      <c r="BC34" s="4526"/>
      <c r="BD34" s="4546"/>
      <c r="BE34" s="4526"/>
      <c r="BF34" s="4546"/>
      <c r="BG34" s="4526"/>
      <c r="BH34" s="4546"/>
      <c r="BI34" s="4546"/>
      <c r="BJ34" s="4546"/>
      <c r="BK34" s="3185"/>
      <c r="BL34" s="4546"/>
      <c r="BM34" s="4546"/>
      <c r="BN34" s="4554"/>
      <c r="BO34" s="4554"/>
      <c r="BP34" s="4554"/>
      <c r="BQ34" s="4554"/>
      <c r="BR34" s="4557"/>
    </row>
    <row r="35" spans="1:70" s="978" customFormat="1" ht="33" customHeight="1" x14ac:dyDescent="0.2">
      <c r="A35" s="971"/>
      <c r="B35" s="972"/>
      <c r="C35" s="973"/>
      <c r="D35" s="972"/>
      <c r="E35" s="972"/>
      <c r="F35" s="973"/>
      <c r="G35" s="979"/>
      <c r="H35" s="972"/>
      <c r="I35" s="973"/>
      <c r="J35" s="4518"/>
      <c r="K35" s="4521"/>
      <c r="L35" s="4524"/>
      <c r="M35" s="4524"/>
      <c r="N35" s="4526"/>
      <c r="O35" s="4524"/>
      <c r="P35" s="4528"/>
      <c r="Q35" s="4521"/>
      <c r="R35" s="4531"/>
      <c r="S35" s="4534"/>
      <c r="T35" s="4521"/>
      <c r="U35" s="4521"/>
      <c r="V35" s="4551" t="s">
        <v>787</v>
      </c>
      <c r="W35" s="2601">
        <v>6000000</v>
      </c>
      <c r="X35" s="2596">
        <v>6000000</v>
      </c>
      <c r="Y35" s="2596">
        <v>5200000</v>
      </c>
      <c r="Z35" s="977">
        <v>61</v>
      </c>
      <c r="AA35" s="4524"/>
      <c r="AB35" s="4524"/>
      <c r="AC35" s="4526"/>
      <c r="AD35" s="4524"/>
      <c r="AE35" s="4526"/>
      <c r="AF35" s="4539"/>
      <c r="AG35" s="4541"/>
      <c r="AH35" s="4543"/>
      <c r="AI35" s="4526"/>
      <c r="AJ35" s="4546"/>
      <c r="AK35" s="4526"/>
      <c r="AL35" s="4543"/>
      <c r="AM35" s="4526"/>
      <c r="AN35" s="4543"/>
      <c r="AO35" s="4526"/>
      <c r="AP35" s="4543"/>
      <c r="AQ35" s="4526"/>
      <c r="AR35" s="4543"/>
      <c r="AS35" s="4526"/>
      <c r="AT35" s="4543"/>
      <c r="AU35" s="4526"/>
      <c r="AV35" s="4543"/>
      <c r="AW35" s="4526"/>
      <c r="AX35" s="4546"/>
      <c r="AY35" s="4526"/>
      <c r="AZ35" s="4543"/>
      <c r="BA35" s="4526"/>
      <c r="BB35" s="4543"/>
      <c r="BC35" s="4526"/>
      <c r="BD35" s="4546"/>
      <c r="BE35" s="4526"/>
      <c r="BF35" s="4546"/>
      <c r="BG35" s="4526"/>
      <c r="BH35" s="4546"/>
      <c r="BI35" s="4546"/>
      <c r="BJ35" s="4546"/>
      <c r="BK35" s="3185"/>
      <c r="BL35" s="4546"/>
      <c r="BM35" s="4546"/>
      <c r="BN35" s="4554"/>
      <c r="BO35" s="4554"/>
      <c r="BP35" s="4554"/>
      <c r="BQ35" s="4554"/>
      <c r="BR35" s="4557"/>
    </row>
    <row r="36" spans="1:70" s="978" customFormat="1" ht="22.5" customHeight="1" x14ac:dyDescent="0.2">
      <c r="A36" s="971"/>
      <c r="B36" s="972"/>
      <c r="C36" s="973"/>
      <c r="D36" s="972"/>
      <c r="E36" s="972"/>
      <c r="F36" s="973"/>
      <c r="G36" s="979"/>
      <c r="H36" s="972"/>
      <c r="I36" s="973"/>
      <c r="J36" s="4518"/>
      <c r="K36" s="4521"/>
      <c r="L36" s="4524"/>
      <c r="M36" s="4524"/>
      <c r="N36" s="4526"/>
      <c r="O36" s="4524"/>
      <c r="P36" s="4528"/>
      <c r="Q36" s="4521"/>
      <c r="R36" s="4531"/>
      <c r="S36" s="4534"/>
      <c r="T36" s="4521"/>
      <c r="U36" s="4521"/>
      <c r="V36" s="4552"/>
      <c r="W36" s="2601">
        <v>3000000</v>
      </c>
      <c r="X36" s="2595">
        <v>0</v>
      </c>
      <c r="Y36" s="2595">
        <v>0</v>
      </c>
      <c r="Z36" s="977">
        <v>98</v>
      </c>
      <c r="AA36" s="4524"/>
      <c r="AB36" s="4524"/>
      <c r="AC36" s="4526"/>
      <c r="AD36" s="4524"/>
      <c r="AE36" s="4526"/>
      <c r="AF36" s="4539"/>
      <c r="AG36" s="4541"/>
      <c r="AH36" s="4543"/>
      <c r="AI36" s="4526"/>
      <c r="AJ36" s="4546"/>
      <c r="AK36" s="4526"/>
      <c r="AL36" s="4543"/>
      <c r="AM36" s="4526"/>
      <c r="AN36" s="4543"/>
      <c r="AO36" s="4526"/>
      <c r="AP36" s="4543"/>
      <c r="AQ36" s="4526"/>
      <c r="AR36" s="4543"/>
      <c r="AS36" s="4526"/>
      <c r="AT36" s="4543"/>
      <c r="AU36" s="4526"/>
      <c r="AV36" s="4543"/>
      <c r="AW36" s="4526"/>
      <c r="AX36" s="4546"/>
      <c r="AY36" s="4526"/>
      <c r="AZ36" s="4543"/>
      <c r="BA36" s="4526"/>
      <c r="BB36" s="4543"/>
      <c r="BC36" s="4526"/>
      <c r="BD36" s="4546"/>
      <c r="BE36" s="4526"/>
      <c r="BF36" s="4546"/>
      <c r="BG36" s="4526"/>
      <c r="BH36" s="4546"/>
      <c r="BI36" s="4546"/>
      <c r="BJ36" s="4546"/>
      <c r="BK36" s="3185"/>
      <c r="BL36" s="4546"/>
      <c r="BM36" s="4546"/>
      <c r="BN36" s="4554"/>
      <c r="BO36" s="4554"/>
      <c r="BP36" s="4554"/>
      <c r="BQ36" s="4554"/>
      <c r="BR36" s="4557"/>
    </row>
    <row r="37" spans="1:70" s="978" customFormat="1" ht="28.5" customHeight="1" x14ac:dyDescent="0.2">
      <c r="A37" s="971"/>
      <c r="B37" s="972"/>
      <c r="C37" s="973"/>
      <c r="D37" s="972"/>
      <c r="E37" s="972"/>
      <c r="F37" s="973"/>
      <c r="G37" s="979"/>
      <c r="H37" s="972"/>
      <c r="I37" s="973"/>
      <c r="J37" s="4518"/>
      <c r="K37" s="4521"/>
      <c r="L37" s="4524"/>
      <c r="M37" s="4524"/>
      <c r="N37" s="4526"/>
      <c r="O37" s="4524"/>
      <c r="P37" s="4528"/>
      <c r="Q37" s="4521"/>
      <c r="R37" s="4531"/>
      <c r="S37" s="4534"/>
      <c r="T37" s="4521"/>
      <c r="U37" s="4521"/>
      <c r="V37" s="4551" t="s">
        <v>788</v>
      </c>
      <c r="W37" s="2601">
        <v>6000000</v>
      </c>
      <c r="X37" s="2596">
        <v>6000000</v>
      </c>
      <c r="Y37" s="2596">
        <v>5200000</v>
      </c>
      <c r="Z37" s="977">
        <v>61</v>
      </c>
      <c r="AA37" s="4524"/>
      <c r="AB37" s="4524"/>
      <c r="AC37" s="4526"/>
      <c r="AD37" s="4524"/>
      <c r="AE37" s="4526"/>
      <c r="AF37" s="4539"/>
      <c r="AG37" s="4541"/>
      <c r="AH37" s="4543"/>
      <c r="AI37" s="4526"/>
      <c r="AJ37" s="4546"/>
      <c r="AK37" s="4526"/>
      <c r="AL37" s="4543"/>
      <c r="AM37" s="4526"/>
      <c r="AN37" s="4543"/>
      <c r="AO37" s="4526"/>
      <c r="AP37" s="4543"/>
      <c r="AQ37" s="4526"/>
      <c r="AR37" s="4543"/>
      <c r="AS37" s="4526"/>
      <c r="AT37" s="4543"/>
      <c r="AU37" s="4526"/>
      <c r="AV37" s="4543"/>
      <c r="AW37" s="4526"/>
      <c r="AX37" s="4546"/>
      <c r="AY37" s="4526"/>
      <c r="AZ37" s="4543"/>
      <c r="BA37" s="4526"/>
      <c r="BB37" s="4543"/>
      <c r="BC37" s="4526"/>
      <c r="BD37" s="4546"/>
      <c r="BE37" s="4526"/>
      <c r="BF37" s="4546"/>
      <c r="BG37" s="4526"/>
      <c r="BH37" s="4546"/>
      <c r="BI37" s="4546"/>
      <c r="BJ37" s="4546"/>
      <c r="BK37" s="3185"/>
      <c r="BL37" s="4546"/>
      <c r="BM37" s="4546"/>
      <c r="BN37" s="4554"/>
      <c r="BO37" s="4554"/>
      <c r="BP37" s="4554"/>
      <c r="BQ37" s="4554"/>
      <c r="BR37" s="4557"/>
    </row>
    <row r="38" spans="1:70" s="978" customFormat="1" ht="38.25" customHeight="1" x14ac:dyDescent="0.2">
      <c r="A38" s="971"/>
      <c r="B38" s="972"/>
      <c r="C38" s="973"/>
      <c r="D38" s="972"/>
      <c r="E38" s="972"/>
      <c r="F38" s="973"/>
      <c r="G38" s="979"/>
      <c r="H38" s="972"/>
      <c r="I38" s="973"/>
      <c r="J38" s="4518"/>
      <c r="K38" s="4521"/>
      <c r="L38" s="4524"/>
      <c r="M38" s="4524"/>
      <c r="N38" s="4526"/>
      <c r="O38" s="4524"/>
      <c r="P38" s="4528"/>
      <c r="Q38" s="4521"/>
      <c r="R38" s="4531"/>
      <c r="S38" s="4534"/>
      <c r="T38" s="4521"/>
      <c r="U38" s="4521"/>
      <c r="V38" s="4552"/>
      <c r="W38" s="2601">
        <v>3000000</v>
      </c>
      <c r="X38" s="2595">
        <v>0</v>
      </c>
      <c r="Y38" s="2595">
        <v>0</v>
      </c>
      <c r="Z38" s="977">
        <v>98</v>
      </c>
      <c r="AA38" s="4524"/>
      <c r="AB38" s="4524"/>
      <c r="AC38" s="4526"/>
      <c r="AD38" s="4524"/>
      <c r="AE38" s="4526"/>
      <c r="AF38" s="4539"/>
      <c r="AG38" s="4541"/>
      <c r="AH38" s="4543"/>
      <c r="AI38" s="4526"/>
      <c r="AJ38" s="4546"/>
      <c r="AK38" s="4526"/>
      <c r="AL38" s="4543"/>
      <c r="AM38" s="4526"/>
      <c r="AN38" s="4543"/>
      <c r="AO38" s="4526"/>
      <c r="AP38" s="4543"/>
      <c r="AQ38" s="4526"/>
      <c r="AR38" s="4543"/>
      <c r="AS38" s="4526"/>
      <c r="AT38" s="4543"/>
      <c r="AU38" s="4526"/>
      <c r="AV38" s="4543"/>
      <c r="AW38" s="4526"/>
      <c r="AX38" s="4546"/>
      <c r="AY38" s="4526"/>
      <c r="AZ38" s="4543"/>
      <c r="BA38" s="4526"/>
      <c r="BB38" s="4543"/>
      <c r="BC38" s="4526"/>
      <c r="BD38" s="4546"/>
      <c r="BE38" s="4526"/>
      <c r="BF38" s="4546"/>
      <c r="BG38" s="4526"/>
      <c r="BH38" s="4546"/>
      <c r="BI38" s="4546"/>
      <c r="BJ38" s="4546"/>
      <c r="BK38" s="3185"/>
      <c r="BL38" s="4546"/>
      <c r="BM38" s="4546"/>
      <c r="BN38" s="4554"/>
      <c r="BO38" s="4554"/>
      <c r="BP38" s="4554"/>
      <c r="BQ38" s="4554"/>
      <c r="BR38" s="4557"/>
    </row>
    <row r="39" spans="1:70" s="978" customFormat="1" ht="39" customHeight="1" x14ac:dyDescent="0.2">
      <c r="A39" s="971"/>
      <c r="B39" s="972"/>
      <c r="C39" s="973"/>
      <c r="D39" s="972"/>
      <c r="E39" s="972"/>
      <c r="F39" s="973"/>
      <c r="G39" s="979"/>
      <c r="H39" s="972"/>
      <c r="I39" s="973"/>
      <c r="J39" s="4518"/>
      <c r="K39" s="4521"/>
      <c r="L39" s="4524"/>
      <c r="M39" s="4524"/>
      <c r="N39" s="4526"/>
      <c r="O39" s="4524"/>
      <c r="P39" s="4528"/>
      <c r="Q39" s="4521"/>
      <c r="R39" s="4531"/>
      <c r="S39" s="4534"/>
      <c r="T39" s="4521"/>
      <c r="U39" s="4521"/>
      <c r="V39" s="4551" t="s">
        <v>789</v>
      </c>
      <c r="W39" s="2601">
        <v>28000000</v>
      </c>
      <c r="X39" s="2596">
        <f>12901266+6150400+3000000</f>
        <v>22051666</v>
      </c>
      <c r="Y39" s="2596">
        <v>8888000</v>
      </c>
      <c r="Z39" s="977">
        <v>61</v>
      </c>
      <c r="AA39" s="4524"/>
      <c r="AB39" s="4524"/>
      <c r="AC39" s="4526"/>
      <c r="AD39" s="4524"/>
      <c r="AE39" s="4526"/>
      <c r="AF39" s="4539"/>
      <c r="AG39" s="4541"/>
      <c r="AH39" s="4543"/>
      <c r="AI39" s="4526"/>
      <c r="AJ39" s="4546"/>
      <c r="AK39" s="4526"/>
      <c r="AL39" s="4543"/>
      <c r="AM39" s="4526"/>
      <c r="AN39" s="4543"/>
      <c r="AO39" s="4526"/>
      <c r="AP39" s="4543"/>
      <c r="AQ39" s="4526"/>
      <c r="AR39" s="4543"/>
      <c r="AS39" s="4526"/>
      <c r="AT39" s="4543"/>
      <c r="AU39" s="4526"/>
      <c r="AV39" s="4543"/>
      <c r="AW39" s="4526"/>
      <c r="AX39" s="4546"/>
      <c r="AY39" s="4526"/>
      <c r="AZ39" s="4543"/>
      <c r="BA39" s="4526"/>
      <c r="BB39" s="4543"/>
      <c r="BC39" s="4526"/>
      <c r="BD39" s="4546"/>
      <c r="BE39" s="4526"/>
      <c r="BF39" s="4546"/>
      <c r="BG39" s="4526"/>
      <c r="BH39" s="4546"/>
      <c r="BI39" s="4546"/>
      <c r="BJ39" s="4546"/>
      <c r="BK39" s="3185"/>
      <c r="BL39" s="4546"/>
      <c r="BM39" s="4546"/>
      <c r="BN39" s="4554"/>
      <c r="BO39" s="4554"/>
      <c r="BP39" s="4554"/>
      <c r="BQ39" s="4554"/>
      <c r="BR39" s="4557"/>
    </row>
    <row r="40" spans="1:70" s="978" customFormat="1" ht="36" customHeight="1" x14ac:dyDescent="0.2">
      <c r="A40" s="971"/>
      <c r="B40" s="972"/>
      <c r="C40" s="973"/>
      <c r="D40" s="972"/>
      <c r="E40" s="972"/>
      <c r="F40" s="973"/>
      <c r="G40" s="979"/>
      <c r="H40" s="972"/>
      <c r="I40" s="973"/>
      <c r="J40" s="4518"/>
      <c r="K40" s="4521"/>
      <c r="L40" s="4524"/>
      <c r="M40" s="4524"/>
      <c r="N40" s="4526"/>
      <c r="O40" s="4524"/>
      <c r="P40" s="4528"/>
      <c r="Q40" s="4521"/>
      <c r="R40" s="4531"/>
      <c r="S40" s="4534"/>
      <c r="T40" s="4521"/>
      <c r="U40" s="4521"/>
      <c r="V40" s="4552"/>
      <c r="W40" s="2601">
        <v>3000000</v>
      </c>
      <c r="X40" s="2595">
        <v>0</v>
      </c>
      <c r="Y40" s="2595">
        <v>0</v>
      </c>
      <c r="Z40" s="977">
        <v>98</v>
      </c>
      <c r="AA40" s="4524"/>
      <c r="AB40" s="4524"/>
      <c r="AC40" s="4526"/>
      <c r="AD40" s="4524"/>
      <c r="AE40" s="4526"/>
      <c r="AF40" s="4539"/>
      <c r="AG40" s="4541"/>
      <c r="AH40" s="4543"/>
      <c r="AI40" s="4526"/>
      <c r="AJ40" s="4546"/>
      <c r="AK40" s="4526"/>
      <c r="AL40" s="4543"/>
      <c r="AM40" s="4526"/>
      <c r="AN40" s="4543"/>
      <c r="AO40" s="4526"/>
      <c r="AP40" s="4543"/>
      <c r="AQ40" s="4526"/>
      <c r="AR40" s="4543"/>
      <c r="AS40" s="4526"/>
      <c r="AT40" s="4543"/>
      <c r="AU40" s="4526"/>
      <c r="AV40" s="4543"/>
      <c r="AW40" s="4526"/>
      <c r="AX40" s="4546"/>
      <c r="AY40" s="4526"/>
      <c r="AZ40" s="4543"/>
      <c r="BA40" s="4526"/>
      <c r="BB40" s="4543"/>
      <c r="BC40" s="4526"/>
      <c r="BD40" s="4546"/>
      <c r="BE40" s="4526"/>
      <c r="BF40" s="4546"/>
      <c r="BG40" s="4526"/>
      <c r="BH40" s="4546"/>
      <c r="BI40" s="4546"/>
      <c r="BJ40" s="4546"/>
      <c r="BK40" s="3185"/>
      <c r="BL40" s="4546"/>
      <c r="BM40" s="4546"/>
      <c r="BN40" s="4554"/>
      <c r="BO40" s="4554"/>
      <c r="BP40" s="4554"/>
      <c r="BQ40" s="4554"/>
      <c r="BR40" s="4557"/>
    </row>
    <row r="41" spans="1:70" s="978" customFormat="1" ht="36" customHeight="1" x14ac:dyDescent="0.2">
      <c r="A41" s="971"/>
      <c r="B41" s="972"/>
      <c r="C41" s="973"/>
      <c r="D41" s="972"/>
      <c r="E41" s="972"/>
      <c r="F41" s="973"/>
      <c r="G41" s="979"/>
      <c r="H41" s="972"/>
      <c r="I41" s="973"/>
      <c r="J41" s="4518"/>
      <c r="K41" s="4521"/>
      <c r="L41" s="4524"/>
      <c r="M41" s="4524"/>
      <c r="N41" s="4526"/>
      <c r="O41" s="4524"/>
      <c r="P41" s="4528"/>
      <c r="Q41" s="4521"/>
      <c r="R41" s="4531"/>
      <c r="S41" s="4534"/>
      <c r="T41" s="4521"/>
      <c r="U41" s="4521"/>
      <c r="V41" s="4551" t="s">
        <v>790</v>
      </c>
      <c r="W41" s="2601">
        <v>6000000</v>
      </c>
      <c r="X41" s="2596">
        <v>6000000</v>
      </c>
      <c r="Y41" s="2596">
        <v>5200000</v>
      </c>
      <c r="Z41" s="977">
        <v>61</v>
      </c>
      <c r="AA41" s="4524"/>
      <c r="AB41" s="4524"/>
      <c r="AC41" s="4526"/>
      <c r="AD41" s="4524"/>
      <c r="AE41" s="4526"/>
      <c r="AF41" s="4539"/>
      <c r="AG41" s="4541"/>
      <c r="AH41" s="4543"/>
      <c r="AI41" s="4526"/>
      <c r="AJ41" s="4546"/>
      <c r="AK41" s="4526"/>
      <c r="AL41" s="4543"/>
      <c r="AM41" s="4526"/>
      <c r="AN41" s="4543"/>
      <c r="AO41" s="4526"/>
      <c r="AP41" s="4543"/>
      <c r="AQ41" s="4526"/>
      <c r="AR41" s="4543"/>
      <c r="AS41" s="4526"/>
      <c r="AT41" s="4543"/>
      <c r="AU41" s="4526"/>
      <c r="AV41" s="4543"/>
      <c r="AW41" s="4526"/>
      <c r="AX41" s="4546"/>
      <c r="AY41" s="4526"/>
      <c r="AZ41" s="4543"/>
      <c r="BA41" s="4526"/>
      <c r="BB41" s="4543"/>
      <c r="BC41" s="4526"/>
      <c r="BD41" s="4546"/>
      <c r="BE41" s="4526"/>
      <c r="BF41" s="4546"/>
      <c r="BG41" s="4526"/>
      <c r="BH41" s="4546"/>
      <c r="BI41" s="4546"/>
      <c r="BJ41" s="4546"/>
      <c r="BK41" s="3185"/>
      <c r="BL41" s="4546"/>
      <c r="BM41" s="4546"/>
      <c r="BN41" s="4554"/>
      <c r="BO41" s="4554"/>
      <c r="BP41" s="4554"/>
      <c r="BQ41" s="4554"/>
      <c r="BR41" s="4557"/>
    </row>
    <row r="42" spans="1:70" s="978" customFormat="1" ht="24" customHeight="1" x14ac:dyDescent="0.2">
      <c r="A42" s="971"/>
      <c r="B42" s="972"/>
      <c r="C42" s="973"/>
      <c r="D42" s="972"/>
      <c r="E42" s="972"/>
      <c r="F42" s="973"/>
      <c r="G42" s="979"/>
      <c r="H42" s="972"/>
      <c r="I42" s="973"/>
      <c r="J42" s="4518"/>
      <c r="K42" s="4521"/>
      <c r="L42" s="4524"/>
      <c r="M42" s="4524"/>
      <c r="N42" s="4526"/>
      <c r="O42" s="4524"/>
      <c r="P42" s="4528"/>
      <c r="Q42" s="4521"/>
      <c r="R42" s="4531"/>
      <c r="S42" s="4534"/>
      <c r="T42" s="4521"/>
      <c r="U42" s="4521"/>
      <c r="V42" s="4552"/>
      <c r="W42" s="2601">
        <v>3500000</v>
      </c>
      <c r="X42" s="2595">
        <v>0</v>
      </c>
      <c r="Y42" s="2595">
        <v>0</v>
      </c>
      <c r="Z42" s="977">
        <v>98</v>
      </c>
      <c r="AA42" s="4524"/>
      <c r="AB42" s="4524"/>
      <c r="AC42" s="4526"/>
      <c r="AD42" s="4524"/>
      <c r="AE42" s="4526"/>
      <c r="AF42" s="4539"/>
      <c r="AG42" s="4541"/>
      <c r="AH42" s="4543"/>
      <c r="AI42" s="4526"/>
      <c r="AJ42" s="4546"/>
      <c r="AK42" s="4526"/>
      <c r="AL42" s="4543"/>
      <c r="AM42" s="4526"/>
      <c r="AN42" s="4543"/>
      <c r="AO42" s="4526"/>
      <c r="AP42" s="4543"/>
      <c r="AQ42" s="4526"/>
      <c r="AR42" s="4543"/>
      <c r="AS42" s="4526"/>
      <c r="AT42" s="4543"/>
      <c r="AU42" s="4526"/>
      <c r="AV42" s="4543"/>
      <c r="AW42" s="4526"/>
      <c r="AX42" s="4546"/>
      <c r="AY42" s="4526"/>
      <c r="AZ42" s="4543"/>
      <c r="BA42" s="4526"/>
      <c r="BB42" s="4543"/>
      <c r="BC42" s="4526"/>
      <c r="BD42" s="4546"/>
      <c r="BE42" s="4526"/>
      <c r="BF42" s="4546"/>
      <c r="BG42" s="4526"/>
      <c r="BH42" s="4546"/>
      <c r="BI42" s="4546"/>
      <c r="BJ42" s="4546"/>
      <c r="BK42" s="3185"/>
      <c r="BL42" s="4546"/>
      <c r="BM42" s="4546"/>
      <c r="BN42" s="4554"/>
      <c r="BO42" s="4554"/>
      <c r="BP42" s="4554"/>
      <c r="BQ42" s="4554"/>
      <c r="BR42" s="4557"/>
    </row>
    <row r="43" spans="1:70" s="978" customFormat="1" ht="33" customHeight="1" x14ac:dyDescent="0.2">
      <c r="A43" s="971"/>
      <c r="B43" s="972"/>
      <c r="C43" s="973"/>
      <c r="D43" s="972"/>
      <c r="E43" s="972"/>
      <c r="F43" s="973"/>
      <c r="G43" s="979"/>
      <c r="H43" s="972"/>
      <c r="I43" s="973"/>
      <c r="J43" s="4518"/>
      <c r="K43" s="4521"/>
      <c r="L43" s="4524"/>
      <c r="M43" s="4524"/>
      <c r="N43" s="4526"/>
      <c r="O43" s="4524"/>
      <c r="P43" s="4528"/>
      <c r="Q43" s="4521"/>
      <c r="R43" s="4531"/>
      <c r="S43" s="4534"/>
      <c r="T43" s="4521"/>
      <c r="U43" s="4521"/>
      <c r="V43" s="4551" t="s">
        <v>791</v>
      </c>
      <c r="W43" s="2601">
        <v>6000000</v>
      </c>
      <c r="X43" s="2596">
        <v>6000000</v>
      </c>
      <c r="Y43" s="2596">
        <v>5200000</v>
      </c>
      <c r="Z43" s="977">
        <v>61</v>
      </c>
      <c r="AA43" s="4524"/>
      <c r="AB43" s="4524"/>
      <c r="AC43" s="4526"/>
      <c r="AD43" s="4524"/>
      <c r="AE43" s="4526"/>
      <c r="AF43" s="4539"/>
      <c r="AG43" s="4541"/>
      <c r="AH43" s="4543"/>
      <c r="AI43" s="4526"/>
      <c r="AJ43" s="4546"/>
      <c r="AK43" s="4526"/>
      <c r="AL43" s="4543"/>
      <c r="AM43" s="4526"/>
      <c r="AN43" s="4543"/>
      <c r="AO43" s="4526"/>
      <c r="AP43" s="4543"/>
      <c r="AQ43" s="4526"/>
      <c r="AR43" s="4543"/>
      <c r="AS43" s="4526"/>
      <c r="AT43" s="4543"/>
      <c r="AU43" s="4526"/>
      <c r="AV43" s="4543"/>
      <c r="AW43" s="4526"/>
      <c r="AX43" s="4546"/>
      <c r="AY43" s="4526"/>
      <c r="AZ43" s="4543"/>
      <c r="BA43" s="4526"/>
      <c r="BB43" s="4543"/>
      <c r="BC43" s="4526"/>
      <c r="BD43" s="4546"/>
      <c r="BE43" s="4526"/>
      <c r="BF43" s="4546"/>
      <c r="BG43" s="4526"/>
      <c r="BH43" s="4546"/>
      <c r="BI43" s="4546"/>
      <c r="BJ43" s="4546"/>
      <c r="BK43" s="3185"/>
      <c r="BL43" s="4546"/>
      <c r="BM43" s="4546"/>
      <c r="BN43" s="4554"/>
      <c r="BO43" s="4554"/>
      <c r="BP43" s="4554"/>
      <c r="BQ43" s="4554"/>
      <c r="BR43" s="4557"/>
    </row>
    <row r="44" spans="1:70" s="978" customFormat="1" ht="33" customHeight="1" x14ac:dyDescent="0.2">
      <c r="A44" s="971"/>
      <c r="B44" s="972"/>
      <c r="C44" s="973"/>
      <c r="D44" s="972"/>
      <c r="E44" s="972"/>
      <c r="F44" s="973"/>
      <c r="G44" s="979"/>
      <c r="H44" s="972"/>
      <c r="I44" s="973"/>
      <c r="J44" s="4518"/>
      <c r="K44" s="4521"/>
      <c r="L44" s="4524"/>
      <c r="M44" s="4524"/>
      <c r="N44" s="4526"/>
      <c r="O44" s="4524"/>
      <c r="P44" s="4528"/>
      <c r="Q44" s="4521"/>
      <c r="R44" s="4531"/>
      <c r="S44" s="4534"/>
      <c r="T44" s="4521"/>
      <c r="U44" s="4521"/>
      <c r="V44" s="4552"/>
      <c r="W44" s="2601">
        <v>3500000</v>
      </c>
      <c r="X44" s="2595">
        <v>0</v>
      </c>
      <c r="Y44" s="2595">
        <v>0</v>
      </c>
      <c r="Z44" s="977">
        <v>98</v>
      </c>
      <c r="AA44" s="4524"/>
      <c r="AB44" s="4524"/>
      <c r="AC44" s="4526"/>
      <c r="AD44" s="4524"/>
      <c r="AE44" s="4526"/>
      <c r="AF44" s="4539"/>
      <c r="AG44" s="4541"/>
      <c r="AH44" s="4543"/>
      <c r="AI44" s="4526"/>
      <c r="AJ44" s="4546"/>
      <c r="AK44" s="4526"/>
      <c r="AL44" s="4543"/>
      <c r="AM44" s="4526"/>
      <c r="AN44" s="4543"/>
      <c r="AO44" s="4526"/>
      <c r="AP44" s="4543"/>
      <c r="AQ44" s="4526"/>
      <c r="AR44" s="4543"/>
      <c r="AS44" s="4526"/>
      <c r="AT44" s="4543"/>
      <c r="AU44" s="4526"/>
      <c r="AV44" s="4543"/>
      <c r="AW44" s="4526"/>
      <c r="AX44" s="4546"/>
      <c r="AY44" s="4526"/>
      <c r="AZ44" s="4543"/>
      <c r="BA44" s="4526"/>
      <c r="BB44" s="4543"/>
      <c r="BC44" s="4526"/>
      <c r="BD44" s="4546"/>
      <c r="BE44" s="4526"/>
      <c r="BF44" s="4546"/>
      <c r="BG44" s="4526"/>
      <c r="BH44" s="4546"/>
      <c r="BI44" s="4546"/>
      <c r="BJ44" s="4546"/>
      <c r="BK44" s="3185"/>
      <c r="BL44" s="4546"/>
      <c r="BM44" s="4546"/>
      <c r="BN44" s="4554"/>
      <c r="BO44" s="4554"/>
      <c r="BP44" s="4554"/>
      <c r="BQ44" s="4554"/>
      <c r="BR44" s="4557"/>
    </row>
    <row r="45" spans="1:70" s="978" customFormat="1" ht="33" customHeight="1" x14ac:dyDescent="0.2">
      <c r="A45" s="971"/>
      <c r="B45" s="972"/>
      <c r="C45" s="973"/>
      <c r="D45" s="972"/>
      <c r="E45" s="972"/>
      <c r="F45" s="973"/>
      <c r="G45" s="979"/>
      <c r="H45" s="972"/>
      <c r="I45" s="973"/>
      <c r="J45" s="4518"/>
      <c r="K45" s="4521"/>
      <c r="L45" s="4524"/>
      <c r="M45" s="4524"/>
      <c r="N45" s="4526"/>
      <c r="O45" s="4524"/>
      <c r="P45" s="4528"/>
      <c r="Q45" s="4521"/>
      <c r="R45" s="4531"/>
      <c r="S45" s="4534"/>
      <c r="T45" s="4521"/>
      <c r="U45" s="4521"/>
      <c r="V45" s="4551" t="s">
        <v>792</v>
      </c>
      <c r="W45" s="2601">
        <v>12000000</v>
      </c>
      <c r="X45" s="2596">
        <v>12000000</v>
      </c>
      <c r="Y45" s="2596">
        <v>8888000</v>
      </c>
      <c r="Z45" s="977">
        <v>61</v>
      </c>
      <c r="AA45" s="4524"/>
      <c r="AB45" s="4524"/>
      <c r="AC45" s="4526"/>
      <c r="AD45" s="4524"/>
      <c r="AE45" s="4526"/>
      <c r="AF45" s="4539"/>
      <c r="AG45" s="4541"/>
      <c r="AH45" s="4543"/>
      <c r="AI45" s="4526"/>
      <c r="AJ45" s="4546"/>
      <c r="AK45" s="4526"/>
      <c r="AL45" s="4543"/>
      <c r="AM45" s="4526"/>
      <c r="AN45" s="4543"/>
      <c r="AO45" s="4526"/>
      <c r="AP45" s="4543"/>
      <c r="AQ45" s="4526"/>
      <c r="AR45" s="4543"/>
      <c r="AS45" s="4526"/>
      <c r="AT45" s="4543"/>
      <c r="AU45" s="4526"/>
      <c r="AV45" s="4543"/>
      <c r="AW45" s="4526"/>
      <c r="AX45" s="4546"/>
      <c r="AY45" s="4526"/>
      <c r="AZ45" s="4543"/>
      <c r="BA45" s="4526"/>
      <c r="BB45" s="4543"/>
      <c r="BC45" s="4526"/>
      <c r="BD45" s="4546"/>
      <c r="BE45" s="4526"/>
      <c r="BF45" s="4546"/>
      <c r="BG45" s="4526"/>
      <c r="BH45" s="4546"/>
      <c r="BI45" s="4546"/>
      <c r="BJ45" s="4546"/>
      <c r="BK45" s="3185"/>
      <c r="BL45" s="4546"/>
      <c r="BM45" s="4546"/>
      <c r="BN45" s="4554"/>
      <c r="BO45" s="4554"/>
      <c r="BP45" s="4554"/>
      <c r="BQ45" s="4554"/>
      <c r="BR45" s="4557"/>
    </row>
    <row r="46" spans="1:70" s="978" customFormat="1" ht="28.5" customHeight="1" x14ac:dyDescent="0.2">
      <c r="A46" s="971"/>
      <c r="B46" s="972"/>
      <c r="C46" s="973"/>
      <c r="D46" s="981"/>
      <c r="E46" s="981"/>
      <c r="F46" s="982"/>
      <c r="G46" s="983"/>
      <c r="H46" s="981"/>
      <c r="I46" s="982"/>
      <c r="J46" s="4519"/>
      <c r="K46" s="4522"/>
      <c r="L46" s="4525"/>
      <c r="M46" s="4525"/>
      <c r="N46" s="4526"/>
      <c r="O46" s="4525"/>
      <c r="P46" s="4529"/>
      <c r="Q46" s="4522"/>
      <c r="R46" s="4532"/>
      <c r="S46" s="4535"/>
      <c r="T46" s="4522"/>
      <c r="U46" s="4522"/>
      <c r="V46" s="4552"/>
      <c r="W46" s="2601">
        <v>3000000</v>
      </c>
      <c r="X46" s="2595">
        <v>0</v>
      </c>
      <c r="Y46" s="2595">
        <v>0</v>
      </c>
      <c r="Z46" s="977">
        <v>98</v>
      </c>
      <c r="AA46" s="4525"/>
      <c r="AB46" s="4525"/>
      <c r="AC46" s="4526"/>
      <c r="AD46" s="4525"/>
      <c r="AE46" s="4526"/>
      <c r="AF46" s="4540"/>
      <c r="AG46" s="4541"/>
      <c r="AH46" s="4544"/>
      <c r="AI46" s="4526"/>
      <c r="AJ46" s="4547"/>
      <c r="AK46" s="4526"/>
      <c r="AL46" s="4544"/>
      <c r="AM46" s="4526"/>
      <c r="AN46" s="4544"/>
      <c r="AO46" s="4526"/>
      <c r="AP46" s="4544"/>
      <c r="AQ46" s="4526"/>
      <c r="AR46" s="4544"/>
      <c r="AS46" s="4526"/>
      <c r="AT46" s="4544"/>
      <c r="AU46" s="4526"/>
      <c r="AV46" s="4544"/>
      <c r="AW46" s="4526"/>
      <c r="AX46" s="4547"/>
      <c r="AY46" s="4526"/>
      <c r="AZ46" s="4544"/>
      <c r="BA46" s="4526"/>
      <c r="BB46" s="4544"/>
      <c r="BC46" s="4526"/>
      <c r="BD46" s="4547"/>
      <c r="BE46" s="4526"/>
      <c r="BF46" s="4547"/>
      <c r="BG46" s="4526"/>
      <c r="BH46" s="4547"/>
      <c r="BI46" s="4547"/>
      <c r="BJ46" s="4547"/>
      <c r="BK46" s="3186"/>
      <c r="BL46" s="4547"/>
      <c r="BM46" s="4547"/>
      <c r="BN46" s="4555"/>
      <c r="BO46" s="4555"/>
      <c r="BP46" s="4555"/>
      <c r="BQ46" s="4555"/>
      <c r="BR46" s="4558"/>
    </row>
    <row r="47" spans="1:70" ht="36" customHeight="1" x14ac:dyDescent="0.2">
      <c r="A47" s="957"/>
      <c r="C47" s="984"/>
      <c r="D47" s="985">
        <v>12</v>
      </c>
      <c r="E47" s="986" t="s">
        <v>793</v>
      </c>
      <c r="F47" s="987"/>
      <c r="G47" s="949"/>
      <c r="H47" s="949"/>
      <c r="I47" s="949"/>
      <c r="J47" s="949"/>
      <c r="K47" s="950"/>
      <c r="L47" s="949"/>
      <c r="M47" s="949"/>
      <c r="N47" s="949"/>
      <c r="O47" s="951"/>
      <c r="P47" s="988"/>
      <c r="Q47" s="950"/>
      <c r="R47" s="949"/>
      <c r="S47" s="989"/>
      <c r="T47" s="949"/>
      <c r="U47" s="950"/>
      <c r="V47" s="950"/>
      <c r="W47" s="1493"/>
      <c r="X47" s="1493"/>
      <c r="Y47" s="1493"/>
      <c r="Z47" s="990"/>
      <c r="AA47" s="951"/>
      <c r="AB47" s="951"/>
      <c r="AC47" s="951"/>
      <c r="AD47" s="951"/>
      <c r="AE47" s="951"/>
      <c r="AF47" s="951"/>
      <c r="AG47" s="951"/>
      <c r="AH47" s="951"/>
      <c r="AI47" s="951"/>
      <c r="AJ47" s="951"/>
      <c r="AK47" s="951"/>
      <c r="AL47" s="951"/>
      <c r="AM47" s="951"/>
      <c r="AN47" s="951"/>
      <c r="AO47" s="951"/>
      <c r="AP47" s="951"/>
      <c r="AQ47" s="951"/>
      <c r="AR47" s="951"/>
      <c r="AS47" s="951"/>
      <c r="AT47" s="951"/>
      <c r="AU47" s="951"/>
      <c r="AV47" s="951"/>
      <c r="AW47" s="951"/>
      <c r="AX47" s="951"/>
      <c r="AY47" s="951"/>
      <c r="AZ47" s="951"/>
      <c r="BA47" s="951"/>
      <c r="BB47" s="951"/>
      <c r="BC47" s="951"/>
      <c r="BD47" s="951"/>
      <c r="BE47" s="951"/>
      <c r="BF47" s="951"/>
      <c r="BG47" s="951"/>
      <c r="BH47" s="951"/>
      <c r="BI47" s="951"/>
      <c r="BJ47" s="951"/>
      <c r="BK47" s="951"/>
      <c r="BL47" s="951"/>
      <c r="BM47" s="951"/>
      <c r="BN47" s="949"/>
      <c r="BO47" s="949"/>
      <c r="BP47" s="949"/>
      <c r="BQ47" s="949"/>
      <c r="BR47" s="956"/>
    </row>
    <row r="48" spans="1:70" ht="36" customHeight="1" x14ac:dyDescent="0.2">
      <c r="A48" s="957"/>
      <c r="B48" s="958"/>
      <c r="C48" s="959"/>
      <c r="D48" s="960"/>
      <c r="E48" s="960"/>
      <c r="F48" s="961"/>
      <c r="G48" s="991">
        <v>36</v>
      </c>
      <c r="H48" s="963" t="s">
        <v>794</v>
      </c>
      <c r="I48" s="963"/>
      <c r="J48" s="963"/>
      <c r="K48" s="964"/>
      <c r="L48" s="963"/>
      <c r="M48" s="963"/>
      <c r="N48" s="963"/>
      <c r="O48" s="965"/>
      <c r="P48" s="992"/>
      <c r="Q48" s="964"/>
      <c r="R48" s="963"/>
      <c r="S48" s="993"/>
      <c r="T48" s="963"/>
      <c r="U48" s="964"/>
      <c r="V48" s="964"/>
      <c r="W48" s="2607"/>
      <c r="X48" s="2607"/>
      <c r="Y48" s="2607"/>
      <c r="Z48" s="994"/>
      <c r="AA48" s="965"/>
      <c r="AB48" s="965"/>
      <c r="AC48" s="965"/>
      <c r="AD48" s="965"/>
      <c r="AE48" s="965"/>
      <c r="AF48" s="965"/>
      <c r="AG48" s="965"/>
      <c r="AH48" s="965"/>
      <c r="AI48" s="965"/>
      <c r="AJ48" s="965"/>
      <c r="AK48" s="965"/>
      <c r="AL48" s="965"/>
      <c r="AM48" s="965"/>
      <c r="AN48" s="965"/>
      <c r="AO48" s="965"/>
      <c r="AP48" s="965"/>
      <c r="AQ48" s="965"/>
      <c r="AR48" s="965"/>
      <c r="AS48" s="965"/>
      <c r="AT48" s="965"/>
      <c r="AU48" s="965"/>
      <c r="AV48" s="965"/>
      <c r="AW48" s="965"/>
      <c r="AX48" s="965"/>
      <c r="AY48" s="965"/>
      <c r="AZ48" s="965"/>
      <c r="BA48" s="965"/>
      <c r="BB48" s="965"/>
      <c r="BC48" s="965"/>
      <c r="BD48" s="965"/>
      <c r="BE48" s="965"/>
      <c r="BF48" s="965"/>
      <c r="BG48" s="965"/>
      <c r="BH48" s="965"/>
      <c r="BI48" s="965"/>
      <c r="BJ48" s="965"/>
      <c r="BK48" s="965"/>
      <c r="BL48" s="965"/>
      <c r="BM48" s="965"/>
      <c r="BN48" s="963"/>
      <c r="BO48" s="963"/>
      <c r="BP48" s="963"/>
      <c r="BQ48" s="963"/>
      <c r="BR48" s="970"/>
    </row>
    <row r="49" spans="1:70" s="978" customFormat="1" ht="68.25" customHeight="1" x14ac:dyDescent="0.2">
      <c r="A49" s="971"/>
      <c r="B49" s="972"/>
      <c r="C49" s="973"/>
      <c r="D49" s="972"/>
      <c r="E49" s="972"/>
      <c r="F49" s="973"/>
      <c r="G49" s="974"/>
      <c r="H49" s="975"/>
      <c r="I49" s="976"/>
      <c r="J49" s="4517">
        <v>130</v>
      </c>
      <c r="K49" s="4523" t="s">
        <v>795</v>
      </c>
      <c r="L49" s="4523" t="s">
        <v>759</v>
      </c>
      <c r="M49" s="4523">
        <v>1</v>
      </c>
      <c r="N49" s="4526">
        <v>0.5</v>
      </c>
      <c r="O49" s="4523" t="s">
        <v>796</v>
      </c>
      <c r="P49" s="4527" t="s">
        <v>797</v>
      </c>
      <c r="Q49" s="4520" t="s">
        <v>798</v>
      </c>
      <c r="R49" s="4530">
        <f>(W49+W50)/S49</f>
        <v>0.40517241379310343</v>
      </c>
      <c r="S49" s="4533">
        <f>SUM(W49:W54)</f>
        <v>232000000</v>
      </c>
      <c r="T49" s="4520" t="s">
        <v>799</v>
      </c>
      <c r="U49" s="4523" t="s">
        <v>800</v>
      </c>
      <c r="V49" s="4551" t="s">
        <v>801</v>
      </c>
      <c r="W49" s="2595">
        <f>60000000+24000000</f>
        <v>84000000</v>
      </c>
      <c r="X49" s="2596">
        <v>60000000</v>
      </c>
      <c r="Y49" s="2596">
        <v>30864000</v>
      </c>
      <c r="Z49" s="977">
        <v>61</v>
      </c>
      <c r="AA49" s="4523" t="s">
        <v>802</v>
      </c>
      <c r="AB49" s="4538">
        <v>292684</v>
      </c>
      <c r="AC49" s="4541">
        <v>187318</v>
      </c>
      <c r="AD49" s="4538">
        <v>282326</v>
      </c>
      <c r="AE49" s="4541">
        <v>180689</v>
      </c>
      <c r="AF49" s="4563">
        <v>135912</v>
      </c>
      <c r="AG49" s="4559">
        <v>86984</v>
      </c>
      <c r="AH49" s="4559">
        <v>45122</v>
      </c>
      <c r="AI49" s="4559">
        <v>28878</v>
      </c>
      <c r="AJ49" s="4559">
        <v>307101</v>
      </c>
      <c r="AK49" s="4559">
        <v>196545</v>
      </c>
      <c r="AL49" s="4559">
        <v>86875</v>
      </c>
      <c r="AM49" s="4559">
        <v>55600</v>
      </c>
      <c r="AN49" s="4559">
        <v>2145</v>
      </c>
      <c r="AO49" s="4559">
        <v>1373</v>
      </c>
      <c r="AP49" s="4559">
        <v>12718</v>
      </c>
      <c r="AQ49" s="4560">
        <v>8140</v>
      </c>
      <c r="AR49" s="4559">
        <v>26</v>
      </c>
      <c r="AS49" s="4559">
        <v>17</v>
      </c>
      <c r="AT49" s="4559">
        <v>37</v>
      </c>
      <c r="AU49" s="4559">
        <v>24</v>
      </c>
      <c r="AV49" s="4559">
        <v>16897</v>
      </c>
      <c r="AW49" s="4559">
        <v>10814</v>
      </c>
      <c r="AX49" s="4559" t="s">
        <v>767</v>
      </c>
      <c r="AY49" s="4559" t="s">
        <v>767</v>
      </c>
      <c r="AZ49" s="4559">
        <v>53164</v>
      </c>
      <c r="BA49" s="4559">
        <v>34025</v>
      </c>
      <c r="BB49" s="4559">
        <v>16982</v>
      </c>
      <c r="BC49" s="4559">
        <v>10868</v>
      </c>
      <c r="BD49" s="4559">
        <v>60013</v>
      </c>
      <c r="BE49" s="4559">
        <v>38408</v>
      </c>
      <c r="BF49" s="4560">
        <v>575010</v>
      </c>
      <c r="BG49" s="4559">
        <v>368006</v>
      </c>
      <c r="BH49" s="4560">
        <v>15</v>
      </c>
      <c r="BI49" s="4566">
        <f>SUM(X49:X54)</f>
        <v>135269000</v>
      </c>
      <c r="BJ49" s="4566">
        <f>SUM(Y49:Y54)</f>
        <v>86089000</v>
      </c>
      <c r="BK49" s="3184">
        <f>+BJ49/BI49</f>
        <v>0.6364281542703798</v>
      </c>
      <c r="BL49" s="4542" t="s">
        <v>768</v>
      </c>
      <c r="BM49" s="4542" t="s">
        <v>803</v>
      </c>
      <c r="BN49" s="4553">
        <v>43467</v>
      </c>
      <c r="BO49" s="4553">
        <v>43830</v>
      </c>
      <c r="BP49" s="4553">
        <v>43830</v>
      </c>
      <c r="BQ49" s="4553">
        <v>43830</v>
      </c>
      <c r="BR49" s="4556" t="s">
        <v>770</v>
      </c>
    </row>
    <row r="50" spans="1:70" s="978" customFormat="1" ht="51.75" customHeight="1" x14ac:dyDescent="0.2">
      <c r="A50" s="971"/>
      <c r="B50" s="972"/>
      <c r="C50" s="973"/>
      <c r="D50" s="972"/>
      <c r="E50" s="972"/>
      <c r="F50" s="973"/>
      <c r="G50" s="979"/>
      <c r="H50" s="972"/>
      <c r="I50" s="973"/>
      <c r="J50" s="4519"/>
      <c r="K50" s="4525"/>
      <c r="L50" s="4525"/>
      <c r="M50" s="4525"/>
      <c r="N50" s="4526"/>
      <c r="O50" s="4524"/>
      <c r="P50" s="4528"/>
      <c r="Q50" s="4521"/>
      <c r="R50" s="4532"/>
      <c r="S50" s="4534"/>
      <c r="T50" s="4521"/>
      <c r="U50" s="4525"/>
      <c r="V50" s="4552"/>
      <c r="W50" s="2595">
        <v>10000000</v>
      </c>
      <c r="X50" s="2596">
        <v>8394000</v>
      </c>
      <c r="Y50" s="2596">
        <v>2798000</v>
      </c>
      <c r="Z50" s="977">
        <v>98</v>
      </c>
      <c r="AA50" s="4524"/>
      <c r="AB50" s="4539"/>
      <c r="AC50" s="4541"/>
      <c r="AD50" s="4539"/>
      <c r="AE50" s="4541"/>
      <c r="AF50" s="4564"/>
      <c r="AG50" s="4559"/>
      <c r="AH50" s="4559"/>
      <c r="AI50" s="4559"/>
      <c r="AJ50" s="4559"/>
      <c r="AK50" s="4559"/>
      <c r="AL50" s="4559"/>
      <c r="AM50" s="4559"/>
      <c r="AN50" s="4559"/>
      <c r="AO50" s="4559"/>
      <c r="AP50" s="4559"/>
      <c r="AQ50" s="4561"/>
      <c r="AR50" s="4559"/>
      <c r="AS50" s="4559"/>
      <c r="AT50" s="4559"/>
      <c r="AU50" s="4559"/>
      <c r="AV50" s="4559"/>
      <c r="AW50" s="4559"/>
      <c r="AX50" s="4559"/>
      <c r="AY50" s="4559"/>
      <c r="AZ50" s="4559"/>
      <c r="BA50" s="4559"/>
      <c r="BB50" s="4559"/>
      <c r="BC50" s="4559"/>
      <c r="BD50" s="4559"/>
      <c r="BE50" s="4559"/>
      <c r="BF50" s="4561"/>
      <c r="BG50" s="4559"/>
      <c r="BH50" s="4561"/>
      <c r="BI50" s="4561"/>
      <c r="BJ50" s="4561"/>
      <c r="BK50" s="4294"/>
      <c r="BL50" s="4561"/>
      <c r="BM50" s="4543"/>
      <c r="BN50" s="4554"/>
      <c r="BO50" s="4554"/>
      <c r="BP50" s="4554"/>
      <c r="BQ50" s="4554"/>
      <c r="BR50" s="4557"/>
    </row>
    <row r="51" spans="1:70" s="978" customFormat="1" ht="69" customHeight="1" x14ac:dyDescent="0.2">
      <c r="A51" s="971"/>
      <c r="B51" s="972"/>
      <c r="C51" s="973"/>
      <c r="D51" s="972"/>
      <c r="E51" s="972"/>
      <c r="F51" s="973"/>
      <c r="G51" s="979"/>
      <c r="H51" s="972"/>
      <c r="I51" s="973"/>
      <c r="J51" s="4517">
        <v>131</v>
      </c>
      <c r="K51" s="4520" t="s">
        <v>804</v>
      </c>
      <c r="L51" s="4523" t="s">
        <v>759</v>
      </c>
      <c r="M51" s="4523">
        <v>5</v>
      </c>
      <c r="N51" s="4526">
        <v>1</v>
      </c>
      <c r="O51" s="4524"/>
      <c r="P51" s="4528"/>
      <c r="Q51" s="4521"/>
      <c r="R51" s="4530">
        <f>SUM(W51:W54)/S49</f>
        <v>0.59482758620689657</v>
      </c>
      <c r="S51" s="4534"/>
      <c r="T51" s="4521"/>
      <c r="U51" s="4520" t="s">
        <v>805</v>
      </c>
      <c r="V51" s="980" t="s">
        <v>806</v>
      </c>
      <c r="W51" s="2595">
        <v>28000000</v>
      </c>
      <c r="X51" s="2596">
        <f>22235000+56700</f>
        <v>22291700</v>
      </c>
      <c r="Y51" s="2596">
        <v>17475700</v>
      </c>
      <c r="Z51" s="977">
        <v>61</v>
      </c>
      <c r="AA51" s="4524"/>
      <c r="AB51" s="4539"/>
      <c r="AC51" s="4541"/>
      <c r="AD51" s="4539"/>
      <c r="AE51" s="4541"/>
      <c r="AF51" s="4564"/>
      <c r="AG51" s="4559"/>
      <c r="AH51" s="4559"/>
      <c r="AI51" s="4559"/>
      <c r="AJ51" s="4559"/>
      <c r="AK51" s="4559"/>
      <c r="AL51" s="4559"/>
      <c r="AM51" s="4559"/>
      <c r="AN51" s="4559"/>
      <c r="AO51" s="4559"/>
      <c r="AP51" s="4559"/>
      <c r="AQ51" s="4561"/>
      <c r="AR51" s="4559"/>
      <c r="AS51" s="4559"/>
      <c r="AT51" s="4559"/>
      <c r="AU51" s="4559"/>
      <c r="AV51" s="4559"/>
      <c r="AW51" s="4559"/>
      <c r="AX51" s="4559"/>
      <c r="AY51" s="4559"/>
      <c r="AZ51" s="4559"/>
      <c r="BA51" s="4559"/>
      <c r="BB51" s="4559"/>
      <c r="BC51" s="4559"/>
      <c r="BD51" s="4559"/>
      <c r="BE51" s="4559"/>
      <c r="BF51" s="4561"/>
      <c r="BG51" s="4559"/>
      <c r="BH51" s="4561"/>
      <c r="BI51" s="4561"/>
      <c r="BJ51" s="4561"/>
      <c r="BK51" s="4294"/>
      <c r="BL51" s="4561"/>
      <c r="BM51" s="4543"/>
      <c r="BN51" s="4554"/>
      <c r="BO51" s="4554"/>
      <c r="BP51" s="4554"/>
      <c r="BQ51" s="4554"/>
      <c r="BR51" s="4557"/>
    </row>
    <row r="52" spans="1:70" s="978" customFormat="1" ht="40.5" customHeight="1" x14ac:dyDescent="0.2">
      <c r="A52" s="971"/>
      <c r="B52" s="972"/>
      <c r="C52" s="973"/>
      <c r="D52" s="972"/>
      <c r="E52" s="972"/>
      <c r="F52" s="973"/>
      <c r="G52" s="979"/>
      <c r="H52" s="972"/>
      <c r="I52" s="973"/>
      <c r="J52" s="4518"/>
      <c r="K52" s="4521"/>
      <c r="L52" s="4524"/>
      <c r="M52" s="4524"/>
      <c r="N52" s="4526"/>
      <c r="O52" s="4524"/>
      <c r="P52" s="4528"/>
      <c r="Q52" s="4521"/>
      <c r="R52" s="4531"/>
      <c r="S52" s="4534"/>
      <c r="T52" s="4521"/>
      <c r="U52" s="4521"/>
      <c r="V52" s="4551" t="s">
        <v>807</v>
      </c>
      <c r="W52" s="2595">
        <v>40000000</v>
      </c>
      <c r="X52" s="2596">
        <f>22235000+56700</f>
        <v>22291700</v>
      </c>
      <c r="Y52" s="2596">
        <v>17475700</v>
      </c>
      <c r="Z52" s="977">
        <v>61</v>
      </c>
      <c r="AA52" s="4524"/>
      <c r="AB52" s="4539"/>
      <c r="AC52" s="4541"/>
      <c r="AD52" s="4539"/>
      <c r="AE52" s="4541"/>
      <c r="AF52" s="4564"/>
      <c r="AG52" s="4559"/>
      <c r="AH52" s="4559"/>
      <c r="AI52" s="4559"/>
      <c r="AJ52" s="4559"/>
      <c r="AK52" s="4559"/>
      <c r="AL52" s="4559"/>
      <c r="AM52" s="4559"/>
      <c r="AN52" s="4559"/>
      <c r="AO52" s="4559"/>
      <c r="AP52" s="4559"/>
      <c r="AQ52" s="4561"/>
      <c r="AR52" s="4559"/>
      <c r="AS52" s="4559"/>
      <c r="AT52" s="4559"/>
      <c r="AU52" s="4559"/>
      <c r="AV52" s="4559"/>
      <c r="AW52" s="4559"/>
      <c r="AX52" s="4559"/>
      <c r="AY52" s="4559"/>
      <c r="AZ52" s="4559"/>
      <c r="BA52" s="4559"/>
      <c r="BB52" s="4559"/>
      <c r="BC52" s="4559"/>
      <c r="BD52" s="4559"/>
      <c r="BE52" s="4559"/>
      <c r="BF52" s="4561"/>
      <c r="BG52" s="4559"/>
      <c r="BH52" s="4561"/>
      <c r="BI52" s="4561"/>
      <c r="BJ52" s="4561"/>
      <c r="BK52" s="4294"/>
      <c r="BL52" s="4561"/>
      <c r="BM52" s="4543"/>
      <c r="BN52" s="4554"/>
      <c r="BO52" s="4554"/>
      <c r="BP52" s="4554"/>
      <c r="BQ52" s="4554"/>
      <c r="BR52" s="4557"/>
    </row>
    <row r="53" spans="1:70" s="978" customFormat="1" ht="37.5" customHeight="1" x14ac:dyDescent="0.2">
      <c r="A53" s="971"/>
      <c r="B53" s="972"/>
      <c r="C53" s="973"/>
      <c r="D53" s="972"/>
      <c r="E53" s="972"/>
      <c r="F53" s="973"/>
      <c r="G53" s="979"/>
      <c r="H53" s="972"/>
      <c r="I53" s="973"/>
      <c r="J53" s="4518"/>
      <c r="K53" s="4521"/>
      <c r="L53" s="4524"/>
      <c r="M53" s="4524"/>
      <c r="N53" s="4526"/>
      <c r="O53" s="4524"/>
      <c r="P53" s="4528"/>
      <c r="Q53" s="4521"/>
      <c r="R53" s="4531"/>
      <c r="S53" s="4534"/>
      <c r="T53" s="4521"/>
      <c r="U53" s="4521"/>
      <c r="V53" s="4552"/>
      <c r="W53" s="2595">
        <v>10000000</v>
      </c>
      <c r="X53" s="2595">
        <v>0</v>
      </c>
      <c r="Y53" s="2595">
        <v>0</v>
      </c>
      <c r="Z53" s="977">
        <v>98</v>
      </c>
      <c r="AA53" s="4524"/>
      <c r="AB53" s="4539"/>
      <c r="AC53" s="4541"/>
      <c r="AD53" s="4539"/>
      <c r="AE53" s="4541"/>
      <c r="AF53" s="4564"/>
      <c r="AG53" s="4559"/>
      <c r="AH53" s="4559"/>
      <c r="AI53" s="4559"/>
      <c r="AJ53" s="4559"/>
      <c r="AK53" s="4559"/>
      <c r="AL53" s="4559"/>
      <c r="AM53" s="4559"/>
      <c r="AN53" s="4559"/>
      <c r="AO53" s="4559"/>
      <c r="AP53" s="4559"/>
      <c r="AQ53" s="4561"/>
      <c r="AR53" s="4559"/>
      <c r="AS53" s="4559"/>
      <c r="AT53" s="4559"/>
      <c r="AU53" s="4559"/>
      <c r="AV53" s="4559"/>
      <c r="AW53" s="4559"/>
      <c r="AX53" s="4559"/>
      <c r="AY53" s="4559"/>
      <c r="AZ53" s="4559"/>
      <c r="BA53" s="4559"/>
      <c r="BB53" s="4559"/>
      <c r="BC53" s="4559"/>
      <c r="BD53" s="4559"/>
      <c r="BE53" s="4559"/>
      <c r="BF53" s="4561"/>
      <c r="BG53" s="4559"/>
      <c r="BH53" s="4561"/>
      <c r="BI53" s="4561"/>
      <c r="BJ53" s="4561"/>
      <c r="BK53" s="4294"/>
      <c r="BL53" s="4561"/>
      <c r="BM53" s="4543"/>
      <c r="BN53" s="4554"/>
      <c r="BO53" s="4554"/>
      <c r="BP53" s="4554"/>
      <c r="BQ53" s="4554"/>
      <c r="BR53" s="4557"/>
    </row>
    <row r="54" spans="1:70" s="978" customFormat="1" ht="71.25" x14ac:dyDescent="0.2">
      <c r="A54" s="971"/>
      <c r="B54" s="972"/>
      <c r="C54" s="973"/>
      <c r="D54" s="972"/>
      <c r="E54" s="972"/>
      <c r="F54" s="973"/>
      <c r="G54" s="983"/>
      <c r="H54" s="981"/>
      <c r="I54" s="982"/>
      <c r="J54" s="4519"/>
      <c r="K54" s="4522"/>
      <c r="L54" s="4525"/>
      <c r="M54" s="4525"/>
      <c r="N54" s="4526"/>
      <c r="O54" s="4525"/>
      <c r="P54" s="4529"/>
      <c r="Q54" s="4522"/>
      <c r="R54" s="4532"/>
      <c r="S54" s="4535"/>
      <c r="T54" s="4522"/>
      <c r="U54" s="4522"/>
      <c r="V54" s="980" t="s">
        <v>808</v>
      </c>
      <c r="W54" s="2595">
        <v>60000000</v>
      </c>
      <c r="X54" s="2596">
        <f>22235000+56600</f>
        <v>22291600</v>
      </c>
      <c r="Y54" s="2596">
        <v>17475600</v>
      </c>
      <c r="Z54" s="977">
        <v>61</v>
      </c>
      <c r="AA54" s="4525"/>
      <c r="AB54" s="4540"/>
      <c r="AC54" s="4541"/>
      <c r="AD54" s="4540"/>
      <c r="AE54" s="4541"/>
      <c r="AF54" s="4565"/>
      <c r="AG54" s="4559"/>
      <c r="AH54" s="4559"/>
      <c r="AI54" s="4559"/>
      <c r="AJ54" s="4559"/>
      <c r="AK54" s="4559"/>
      <c r="AL54" s="4559"/>
      <c r="AM54" s="4559"/>
      <c r="AN54" s="4559"/>
      <c r="AO54" s="4559"/>
      <c r="AP54" s="4559"/>
      <c r="AQ54" s="4562"/>
      <c r="AR54" s="4559"/>
      <c r="AS54" s="4559"/>
      <c r="AT54" s="4559"/>
      <c r="AU54" s="4559"/>
      <c r="AV54" s="4559"/>
      <c r="AW54" s="4559"/>
      <c r="AX54" s="4559"/>
      <c r="AY54" s="4559"/>
      <c r="AZ54" s="4559"/>
      <c r="BA54" s="4559"/>
      <c r="BB54" s="4559"/>
      <c r="BC54" s="4559"/>
      <c r="BD54" s="4559"/>
      <c r="BE54" s="4559"/>
      <c r="BF54" s="4562"/>
      <c r="BG54" s="4559"/>
      <c r="BH54" s="4562"/>
      <c r="BI54" s="4562"/>
      <c r="BJ54" s="4562"/>
      <c r="BK54" s="4295"/>
      <c r="BL54" s="4562"/>
      <c r="BM54" s="4544"/>
      <c r="BN54" s="4555"/>
      <c r="BO54" s="4555"/>
      <c r="BP54" s="4555"/>
      <c r="BQ54" s="4555"/>
      <c r="BR54" s="4558"/>
    </row>
    <row r="55" spans="1:70" ht="36" customHeight="1" x14ac:dyDescent="0.2">
      <c r="A55" s="957"/>
      <c r="B55" s="958"/>
      <c r="C55" s="959"/>
      <c r="D55" s="958"/>
      <c r="E55" s="958"/>
      <c r="F55" s="959"/>
      <c r="G55" s="991">
        <v>37</v>
      </c>
      <c r="H55" s="963" t="s">
        <v>809</v>
      </c>
      <c r="I55" s="963"/>
      <c r="J55" s="963"/>
      <c r="K55" s="964"/>
      <c r="L55" s="963"/>
      <c r="M55" s="963"/>
      <c r="N55" s="963"/>
      <c r="O55" s="965"/>
      <c r="P55" s="992"/>
      <c r="Q55" s="964"/>
      <c r="R55" s="963"/>
      <c r="S55" s="993"/>
      <c r="T55" s="963"/>
      <c r="U55" s="964"/>
      <c r="V55" s="964"/>
      <c r="W55" s="2607"/>
      <c r="X55" s="2607"/>
      <c r="Y55" s="2607"/>
      <c r="Z55" s="994"/>
      <c r="AA55" s="965"/>
      <c r="AB55" s="965"/>
      <c r="AC55" s="965"/>
      <c r="AD55" s="965"/>
      <c r="AE55" s="965"/>
      <c r="AF55" s="965"/>
      <c r="AG55" s="965"/>
      <c r="AH55" s="965"/>
      <c r="AI55" s="965"/>
      <c r="AJ55" s="965"/>
      <c r="AK55" s="965"/>
      <c r="AL55" s="965"/>
      <c r="AM55" s="965"/>
      <c r="AN55" s="965"/>
      <c r="AO55" s="965"/>
      <c r="AP55" s="965"/>
      <c r="AQ55" s="965"/>
      <c r="AR55" s="965"/>
      <c r="AS55" s="965"/>
      <c r="AT55" s="965"/>
      <c r="AU55" s="965"/>
      <c r="AV55" s="965"/>
      <c r="AW55" s="965"/>
      <c r="AX55" s="965"/>
      <c r="AY55" s="965"/>
      <c r="AZ55" s="965"/>
      <c r="BA55" s="965"/>
      <c r="BB55" s="965"/>
      <c r="BC55" s="965"/>
      <c r="BD55" s="965"/>
      <c r="BE55" s="965"/>
      <c r="BF55" s="965"/>
      <c r="BG55" s="965"/>
      <c r="BH55" s="965"/>
      <c r="BI55" s="965"/>
      <c r="BJ55" s="965"/>
      <c r="BK55" s="965"/>
      <c r="BL55" s="965"/>
      <c r="BM55" s="965"/>
      <c r="BN55" s="963"/>
      <c r="BO55" s="963"/>
      <c r="BP55" s="963"/>
      <c r="BQ55" s="963"/>
      <c r="BR55" s="970"/>
    </row>
    <row r="56" spans="1:70" s="978" customFormat="1" ht="42" customHeight="1" x14ac:dyDescent="0.2">
      <c r="A56" s="995"/>
      <c r="B56" s="996"/>
      <c r="C56" s="997"/>
      <c r="D56" s="996"/>
      <c r="E56" s="996"/>
      <c r="F56" s="997"/>
      <c r="G56" s="998"/>
      <c r="H56" s="999"/>
      <c r="I56" s="1000"/>
      <c r="J56" s="4517">
        <v>132</v>
      </c>
      <c r="K56" s="4520" t="s">
        <v>810</v>
      </c>
      <c r="L56" s="4523" t="s">
        <v>759</v>
      </c>
      <c r="M56" s="4523">
        <v>8</v>
      </c>
      <c r="N56" s="4526">
        <v>8</v>
      </c>
      <c r="O56" s="4523" t="s">
        <v>811</v>
      </c>
      <c r="P56" s="4527" t="s">
        <v>812</v>
      </c>
      <c r="Q56" s="4520" t="s">
        <v>813</v>
      </c>
      <c r="R56" s="4530">
        <f>SUM(W56:W61)/S56</f>
        <v>0.25</v>
      </c>
      <c r="S56" s="4533">
        <f>SUM(W56:W83)</f>
        <v>168000000</v>
      </c>
      <c r="T56" s="4520" t="s">
        <v>814</v>
      </c>
      <c r="U56" s="4520" t="s">
        <v>815</v>
      </c>
      <c r="V56" s="4551" t="s">
        <v>816</v>
      </c>
      <c r="W56" s="2608">
        <v>10000000</v>
      </c>
      <c r="X56" s="2596">
        <v>6995000</v>
      </c>
      <c r="Y56" s="2596">
        <v>4197000</v>
      </c>
      <c r="Z56" s="977">
        <v>61</v>
      </c>
      <c r="AA56" s="4523" t="s">
        <v>817</v>
      </c>
      <c r="AB56" s="4523">
        <v>292684</v>
      </c>
      <c r="AC56" s="4526">
        <v>175610</v>
      </c>
      <c r="AD56" s="4523">
        <v>282326</v>
      </c>
      <c r="AE56" s="4526">
        <v>169395.6</v>
      </c>
      <c r="AF56" s="4542">
        <v>135912</v>
      </c>
      <c r="AG56" s="4567">
        <v>81547.199999999997</v>
      </c>
      <c r="AH56" s="4542">
        <v>45122</v>
      </c>
      <c r="AI56" s="4567">
        <v>27073.200000000001</v>
      </c>
      <c r="AJ56" s="4542">
        <f>SUM(AJ49)</f>
        <v>307101</v>
      </c>
      <c r="AK56" s="4567">
        <v>184260.6</v>
      </c>
      <c r="AL56" s="4542">
        <f>SUM(AL49)</f>
        <v>86875</v>
      </c>
      <c r="AM56" s="4567">
        <v>52125</v>
      </c>
      <c r="AN56" s="4542">
        <v>2145</v>
      </c>
      <c r="AO56" s="4567">
        <v>1287</v>
      </c>
      <c r="AP56" s="4542">
        <v>12718</v>
      </c>
      <c r="AQ56" s="4567">
        <v>7631</v>
      </c>
      <c r="AR56" s="4517">
        <v>1908</v>
      </c>
      <c r="AS56" s="4526">
        <v>1145</v>
      </c>
      <c r="AT56" s="4542">
        <v>37</v>
      </c>
      <c r="AU56" s="4567">
        <v>22.2</v>
      </c>
      <c r="AV56" s="4542" t="s">
        <v>767</v>
      </c>
      <c r="AW56" s="4567" t="s">
        <v>818</v>
      </c>
      <c r="AX56" s="4542" t="s">
        <v>767</v>
      </c>
      <c r="AY56" s="4567" t="s">
        <v>767</v>
      </c>
      <c r="AZ56" s="4542">
        <v>53164</v>
      </c>
      <c r="BA56" s="4567">
        <v>31898.400000000001</v>
      </c>
      <c r="BB56" s="4542">
        <v>16982</v>
      </c>
      <c r="BC56" s="4567">
        <v>10189</v>
      </c>
      <c r="BD56" s="4542">
        <v>60013</v>
      </c>
      <c r="BE56" s="4567">
        <v>36007.800000000003</v>
      </c>
      <c r="BF56" s="4542">
        <v>575010</v>
      </c>
      <c r="BG56" s="4567">
        <v>345006</v>
      </c>
      <c r="BH56" s="4542">
        <v>6</v>
      </c>
      <c r="BI56" s="4568">
        <f>SUM(X56:X83)</f>
        <v>90940000</v>
      </c>
      <c r="BJ56" s="4568">
        <f>SUM(Y56:Y83)</f>
        <v>63976000</v>
      </c>
      <c r="BK56" s="3184">
        <f>BJ56/BI56</f>
        <v>0.70349681108423134</v>
      </c>
      <c r="BL56" s="4542" t="s">
        <v>768</v>
      </c>
      <c r="BM56" s="4542" t="s">
        <v>803</v>
      </c>
      <c r="BN56" s="4553">
        <v>43467</v>
      </c>
      <c r="BO56" s="4553">
        <v>43830</v>
      </c>
      <c r="BP56" s="4553">
        <v>43830</v>
      </c>
      <c r="BQ56" s="4553">
        <v>43830</v>
      </c>
      <c r="BR56" s="4556" t="s">
        <v>770</v>
      </c>
    </row>
    <row r="57" spans="1:70" s="978" customFormat="1" ht="39.75" customHeight="1" x14ac:dyDescent="0.2">
      <c r="A57" s="995"/>
      <c r="B57" s="996"/>
      <c r="C57" s="997"/>
      <c r="D57" s="996"/>
      <c r="E57" s="996"/>
      <c r="F57" s="997"/>
      <c r="G57" s="1001"/>
      <c r="H57" s="996"/>
      <c r="I57" s="997"/>
      <c r="J57" s="4518"/>
      <c r="K57" s="4521"/>
      <c r="L57" s="4524"/>
      <c r="M57" s="4524"/>
      <c r="N57" s="4526"/>
      <c r="O57" s="4524"/>
      <c r="P57" s="4528"/>
      <c r="Q57" s="4521"/>
      <c r="R57" s="4531"/>
      <c r="S57" s="4534"/>
      <c r="T57" s="4521"/>
      <c r="U57" s="4521"/>
      <c r="V57" s="4552"/>
      <c r="W57" s="2608">
        <v>7000000</v>
      </c>
      <c r="X57" s="2608">
        <v>0</v>
      </c>
      <c r="Y57" s="2608">
        <v>0</v>
      </c>
      <c r="Z57" s="977">
        <v>98</v>
      </c>
      <c r="AA57" s="4524"/>
      <c r="AB57" s="4524"/>
      <c r="AC57" s="4526"/>
      <c r="AD57" s="4524"/>
      <c r="AE57" s="4526"/>
      <c r="AF57" s="4543"/>
      <c r="AG57" s="4567"/>
      <c r="AH57" s="4543"/>
      <c r="AI57" s="4567"/>
      <c r="AJ57" s="4543"/>
      <c r="AK57" s="4567"/>
      <c r="AL57" s="4543"/>
      <c r="AM57" s="4567"/>
      <c r="AN57" s="4543"/>
      <c r="AO57" s="4567"/>
      <c r="AP57" s="4543"/>
      <c r="AQ57" s="4567"/>
      <c r="AR57" s="4518"/>
      <c r="AS57" s="4526"/>
      <c r="AT57" s="4543"/>
      <c r="AU57" s="4567"/>
      <c r="AV57" s="4543"/>
      <c r="AW57" s="4567"/>
      <c r="AX57" s="4543"/>
      <c r="AY57" s="4567"/>
      <c r="AZ57" s="4543"/>
      <c r="BA57" s="4567"/>
      <c r="BB57" s="4543"/>
      <c r="BC57" s="4567"/>
      <c r="BD57" s="4543"/>
      <c r="BE57" s="4567"/>
      <c r="BF57" s="4543"/>
      <c r="BG57" s="4567"/>
      <c r="BH57" s="4543"/>
      <c r="BI57" s="4543"/>
      <c r="BJ57" s="4543"/>
      <c r="BK57" s="3185"/>
      <c r="BL57" s="4543"/>
      <c r="BM57" s="4543"/>
      <c r="BN57" s="4554"/>
      <c r="BO57" s="4554"/>
      <c r="BP57" s="4554"/>
      <c r="BQ57" s="4554"/>
      <c r="BR57" s="4557"/>
    </row>
    <row r="58" spans="1:70" s="978" customFormat="1" ht="29.25" customHeight="1" x14ac:dyDescent="0.2">
      <c r="A58" s="995"/>
      <c r="B58" s="996"/>
      <c r="C58" s="997"/>
      <c r="D58" s="996"/>
      <c r="E58" s="996"/>
      <c r="F58" s="997"/>
      <c r="G58" s="1001"/>
      <c r="H58" s="996"/>
      <c r="I58" s="997"/>
      <c r="J58" s="4518"/>
      <c r="K58" s="4521"/>
      <c r="L58" s="4524"/>
      <c r="M58" s="4524"/>
      <c r="N58" s="4526"/>
      <c r="O58" s="4524"/>
      <c r="P58" s="4528"/>
      <c r="Q58" s="4521"/>
      <c r="R58" s="4531"/>
      <c r="S58" s="4534"/>
      <c r="T58" s="4521"/>
      <c r="U58" s="4521"/>
      <c r="V58" s="4551" t="s">
        <v>819</v>
      </c>
      <c r="W58" s="2608">
        <v>10000000</v>
      </c>
      <c r="X58" s="2596">
        <v>6995000</v>
      </c>
      <c r="Y58" s="2596">
        <v>4197000</v>
      </c>
      <c r="Z58" s="977">
        <v>61</v>
      </c>
      <c r="AA58" s="4524"/>
      <c r="AB58" s="4524"/>
      <c r="AC58" s="4526"/>
      <c r="AD58" s="4524"/>
      <c r="AE58" s="4526"/>
      <c r="AF58" s="4543"/>
      <c r="AG58" s="4567"/>
      <c r="AH58" s="4543"/>
      <c r="AI58" s="4567"/>
      <c r="AJ58" s="4543"/>
      <c r="AK58" s="4567"/>
      <c r="AL58" s="4543"/>
      <c r="AM58" s="4567"/>
      <c r="AN58" s="4543"/>
      <c r="AO58" s="4567"/>
      <c r="AP58" s="4543"/>
      <c r="AQ58" s="4567"/>
      <c r="AR58" s="4518"/>
      <c r="AS58" s="4526"/>
      <c r="AT58" s="4543"/>
      <c r="AU58" s="4567"/>
      <c r="AV58" s="4543"/>
      <c r="AW58" s="4567"/>
      <c r="AX58" s="4543"/>
      <c r="AY58" s="4567"/>
      <c r="AZ58" s="4543"/>
      <c r="BA58" s="4567"/>
      <c r="BB58" s="4543"/>
      <c r="BC58" s="4567"/>
      <c r="BD58" s="4543"/>
      <c r="BE58" s="4567"/>
      <c r="BF58" s="4543"/>
      <c r="BG58" s="4567"/>
      <c r="BH58" s="4543"/>
      <c r="BI58" s="4543"/>
      <c r="BJ58" s="4543"/>
      <c r="BK58" s="3185"/>
      <c r="BL58" s="4543"/>
      <c r="BM58" s="4543"/>
      <c r="BN58" s="4554"/>
      <c r="BO58" s="4554"/>
      <c r="BP58" s="4554"/>
      <c r="BQ58" s="4554"/>
      <c r="BR58" s="4557"/>
    </row>
    <row r="59" spans="1:70" s="978" customFormat="1" ht="33" customHeight="1" x14ac:dyDescent="0.2">
      <c r="A59" s="995"/>
      <c r="B59" s="996"/>
      <c r="C59" s="997"/>
      <c r="D59" s="996"/>
      <c r="E59" s="996"/>
      <c r="F59" s="997"/>
      <c r="G59" s="1001"/>
      <c r="H59" s="996"/>
      <c r="I59" s="997"/>
      <c r="J59" s="4518"/>
      <c r="K59" s="4521"/>
      <c r="L59" s="4524"/>
      <c r="M59" s="4524"/>
      <c r="N59" s="4526"/>
      <c r="O59" s="4524"/>
      <c r="P59" s="4528"/>
      <c r="Q59" s="4521"/>
      <c r="R59" s="4531"/>
      <c r="S59" s="4534"/>
      <c r="T59" s="4521"/>
      <c r="U59" s="4521"/>
      <c r="V59" s="4552"/>
      <c r="W59" s="2608">
        <v>7000000</v>
      </c>
      <c r="X59" s="2608">
        <v>0</v>
      </c>
      <c r="Y59" s="2608">
        <v>0</v>
      </c>
      <c r="Z59" s="977">
        <v>98</v>
      </c>
      <c r="AA59" s="4524"/>
      <c r="AB59" s="4524"/>
      <c r="AC59" s="4526"/>
      <c r="AD59" s="4524"/>
      <c r="AE59" s="4526"/>
      <c r="AF59" s="4543"/>
      <c r="AG59" s="4567"/>
      <c r="AH59" s="4543"/>
      <c r="AI59" s="4567"/>
      <c r="AJ59" s="4543"/>
      <c r="AK59" s="4567"/>
      <c r="AL59" s="4543"/>
      <c r="AM59" s="4567"/>
      <c r="AN59" s="4543"/>
      <c r="AO59" s="4567"/>
      <c r="AP59" s="4543"/>
      <c r="AQ59" s="4567"/>
      <c r="AR59" s="4518"/>
      <c r="AS59" s="4526"/>
      <c r="AT59" s="4543"/>
      <c r="AU59" s="4567"/>
      <c r="AV59" s="4543"/>
      <c r="AW59" s="4567"/>
      <c r="AX59" s="4543"/>
      <c r="AY59" s="4567"/>
      <c r="AZ59" s="4543"/>
      <c r="BA59" s="4567"/>
      <c r="BB59" s="4543"/>
      <c r="BC59" s="4567"/>
      <c r="BD59" s="4543"/>
      <c r="BE59" s="4567"/>
      <c r="BF59" s="4543"/>
      <c r="BG59" s="4567"/>
      <c r="BH59" s="4543"/>
      <c r="BI59" s="4543"/>
      <c r="BJ59" s="4543"/>
      <c r="BK59" s="3185"/>
      <c r="BL59" s="4543"/>
      <c r="BM59" s="4543"/>
      <c r="BN59" s="4554"/>
      <c r="BO59" s="4554"/>
      <c r="BP59" s="4554"/>
      <c r="BQ59" s="4554"/>
      <c r="BR59" s="4557"/>
    </row>
    <row r="60" spans="1:70" s="978" customFormat="1" ht="99.75" x14ac:dyDescent="0.2">
      <c r="A60" s="995"/>
      <c r="B60" s="996"/>
      <c r="C60" s="997"/>
      <c r="D60" s="996"/>
      <c r="E60" s="996"/>
      <c r="F60" s="997"/>
      <c r="G60" s="1001"/>
      <c r="H60" s="996"/>
      <c r="I60" s="997"/>
      <c r="J60" s="4518"/>
      <c r="K60" s="4521"/>
      <c r="L60" s="4524"/>
      <c r="M60" s="4524"/>
      <c r="N60" s="4526"/>
      <c r="O60" s="4524"/>
      <c r="P60" s="4528"/>
      <c r="Q60" s="4521"/>
      <c r="R60" s="4531"/>
      <c r="S60" s="4534"/>
      <c r="T60" s="4521"/>
      <c r="U60" s="4521"/>
      <c r="V60" s="980" t="s">
        <v>820</v>
      </c>
      <c r="W60" s="2300">
        <v>2000000</v>
      </c>
      <c r="X60" s="2596">
        <v>0</v>
      </c>
      <c r="Y60" s="2596">
        <v>0</v>
      </c>
      <c r="Z60" s="977">
        <v>61</v>
      </c>
      <c r="AA60" s="4524"/>
      <c r="AB60" s="4524"/>
      <c r="AC60" s="4526"/>
      <c r="AD60" s="4524"/>
      <c r="AE60" s="4526"/>
      <c r="AF60" s="4543"/>
      <c r="AG60" s="4567"/>
      <c r="AH60" s="4543"/>
      <c r="AI60" s="4567"/>
      <c r="AJ60" s="4543"/>
      <c r="AK60" s="4567"/>
      <c r="AL60" s="4543"/>
      <c r="AM60" s="4567"/>
      <c r="AN60" s="4543"/>
      <c r="AO60" s="4567"/>
      <c r="AP60" s="4543"/>
      <c r="AQ60" s="4567"/>
      <c r="AR60" s="4518"/>
      <c r="AS60" s="4526"/>
      <c r="AT60" s="4543"/>
      <c r="AU60" s="4567"/>
      <c r="AV60" s="4543"/>
      <c r="AW60" s="4567"/>
      <c r="AX60" s="4543"/>
      <c r="AY60" s="4567"/>
      <c r="AZ60" s="4543"/>
      <c r="BA60" s="4567"/>
      <c r="BB60" s="4543"/>
      <c r="BC60" s="4567"/>
      <c r="BD60" s="4543"/>
      <c r="BE60" s="4567"/>
      <c r="BF60" s="4543"/>
      <c r="BG60" s="4567"/>
      <c r="BH60" s="4543"/>
      <c r="BI60" s="4543"/>
      <c r="BJ60" s="4543"/>
      <c r="BK60" s="3185"/>
      <c r="BL60" s="4543"/>
      <c r="BM60" s="4543"/>
      <c r="BN60" s="4554"/>
      <c r="BO60" s="4554"/>
      <c r="BP60" s="4554"/>
      <c r="BQ60" s="4554"/>
      <c r="BR60" s="4557"/>
    </row>
    <row r="61" spans="1:70" s="978" customFormat="1" ht="85.5" x14ac:dyDescent="0.2">
      <c r="A61" s="995"/>
      <c r="B61" s="996"/>
      <c r="C61" s="997"/>
      <c r="D61" s="996"/>
      <c r="E61" s="996"/>
      <c r="F61" s="997"/>
      <c r="G61" s="1001"/>
      <c r="H61" s="996"/>
      <c r="I61" s="997"/>
      <c r="J61" s="4519"/>
      <c r="K61" s="4522"/>
      <c r="L61" s="4525"/>
      <c r="M61" s="4525"/>
      <c r="N61" s="4526"/>
      <c r="O61" s="4524"/>
      <c r="P61" s="4528"/>
      <c r="Q61" s="4521"/>
      <c r="R61" s="4532"/>
      <c r="S61" s="4534"/>
      <c r="T61" s="4521"/>
      <c r="U61" s="4521"/>
      <c r="V61" s="980" t="s">
        <v>821</v>
      </c>
      <c r="W61" s="2300">
        <v>6000000</v>
      </c>
      <c r="X61" s="2596">
        <v>0</v>
      </c>
      <c r="Y61" s="2596">
        <v>0</v>
      </c>
      <c r="Z61" s="977">
        <v>61</v>
      </c>
      <c r="AA61" s="4524"/>
      <c r="AB61" s="4524"/>
      <c r="AC61" s="4526"/>
      <c r="AD61" s="4524"/>
      <c r="AE61" s="4526"/>
      <c r="AF61" s="4543"/>
      <c r="AG61" s="4567"/>
      <c r="AH61" s="4543"/>
      <c r="AI61" s="4567"/>
      <c r="AJ61" s="4543"/>
      <c r="AK61" s="4567"/>
      <c r="AL61" s="4543"/>
      <c r="AM61" s="4567"/>
      <c r="AN61" s="4543"/>
      <c r="AO61" s="4567"/>
      <c r="AP61" s="4543"/>
      <c r="AQ61" s="4567"/>
      <c r="AR61" s="4518"/>
      <c r="AS61" s="4526"/>
      <c r="AT61" s="4543"/>
      <c r="AU61" s="4567"/>
      <c r="AV61" s="4543"/>
      <c r="AW61" s="4567"/>
      <c r="AX61" s="4543"/>
      <c r="AY61" s="4567"/>
      <c r="AZ61" s="4543"/>
      <c r="BA61" s="4567"/>
      <c r="BB61" s="4543"/>
      <c r="BC61" s="4567"/>
      <c r="BD61" s="4543"/>
      <c r="BE61" s="4567"/>
      <c r="BF61" s="4543"/>
      <c r="BG61" s="4567"/>
      <c r="BH61" s="4543"/>
      <c r="BI61" s="4543"/>
      <c r="BJ61" s="4543"/>
      <c r="BK61" s="3185"/>
      <c r="BL61" s="4543"/>
      <c r="BM61" s="4543"/>
      <c r="BN61" s="4554"/>
      <c r="BO61" s="4554"/>
      <c r="BP61" s="4554"/>
      <c r="BQ61" s="4554"/>
      <c r="BR61" s="4557"/>
    </row>
    <row r="62" spans="1:70" s="978" customFormat="1" ht="57" x14ac:dyDescent="0.2">
      <c r="A62" s="995"/>
      <c r="B62" s="996"/>
      <c r="C62" s="997"/>
      <c r="D62" s="996"/>
      <c r="E62" s="996"/>
      <c r="F62" s="997"/>
      <c r="G62" s="1001"/>
      <c r="H62" s="996"/>
      <c r="I62" s="997"/>
      <c r="J62" s="4517">
        <v>133</v>
      </c>
      <c r="K62" s="4521"/>
      <c r="L62" s="4524"/>
      <c r="M62" s="4524">
        <v>12</v>
      </c>
      <c r="N62" s="4526">
        <v>8</v>
      </c>
      <c r="O62" s="4524"/>
      <c r="P62" s="4528"/>
      <c r="Q62" s="4521"/>
      <c r="R62" s="3322">
        <f>SUM(W62:W66)/S56</f>
        <v>0.16666666666666666</v>
      </c>
      <c r="S62" s="4534"/>
      <c r="T62" s="4521"/>
      <c r="U62" s="4521"/>
      <c r="V62" s="980" t="s">
        <v>822</v>
      </c>
      <c r="W62" s="2300">
        <v>8000000</v>
      </c>
      <c r="X62" s="2596">
        <v>5900000</v>
      </c>
      <c r="Y62" s="2596">
        <v>5900000</v>
      </c>
      <c r="Z62" s="977">
        <v>61</v>
      </c>
      <c r="AA62" s="4524"/>
      <c r="AB62" s="4524"/>
      <c r="AC62" s="4526"/>
      <c r="AD62" s="4524"/>
      <c r="AE62" s="4526"/>
      <c r="AF62" s="4543"/>
      <c r="AG62" s="4567"/>
      <c r="AH62" s="4543"/>
      <c r="AI62" s="4567"/>
      <c r="AJ62" s="4543"/>
      <c r="AK62" s="4567"/>
      <c r="AL62" s="4543"/>
      <c r="AM62" s="4567"/>
      <c r="AN62" s="4543"/>
      <c r="AO62" s="4567"/>
      <c r="AP62" s="4543"/>
      <c r="AQ62" s="4567"/>
      <c r="AR62" s="4518"/>
      <c r="AS62" s="4526"/>
      <c r="AT62" s="4543"/>
      <c r="AU62" s="4567"/>
      <c r="AV62" s="4543"/>
      <c r="AW62" s="4567"/>
      <c r="AX62" s="4543"/>
      <c r="AY62" s="4567"/>
      <c r="AZ62" s="4543"/>
      <c r="BA62" s="4567"/>
      <c r="BB62" s="4543"/>
      <c r="BC62" s="4567"/>
      <c r="BD62" s="4543"/>
      <c r="BE62" s="4567"/>
      <c r="BF62" s="4543"/>
      <c r="BG62" s="4567"/>
      <c r="BH62" s="4543"/>
      <c r="BI62" s="4543"/>
      <c r="BJ62" s="4543"/>
      <c r="BK62" s="3185"/>
      <c r="BL62" s="4543"/>
      <c r="BM62" s="4543"/>
      <c r="BN62" s="4554"/>
      <c r="BO62" s="4554"/>
      <c r="BP62" s="4554"/>
      <c r="BQ62" s="4554"/>
      <c r="BR62" s="4557"/>
    </row>
    <row r="63" spans="1:70" s="978" customFormat="1" ht="76.5" customHeight="1" x14ac:dyDescent="0.2">
      <c r="A63" s="995"/>
      <c r="B63" s="996"/>
      <c r="C63" s="997"/>
      <c r="D63" s="996"/>
      <c r="E63" s="996"/>
      <c r="F63" s="997"/>
      <c r="G63" s="1001"/>
      <c r="H63" s="996"/>
      <c r="I63" s="997"/>
      <c r="J63" s="4518"/>
      <c r="K63" s="4521"/>
      <c r="L63" s="4524"/>
      <c r="M63" s="4524"/>
      <c r="N63" s="4526"/>
      <c r="O63" s="4524"/>
      <c r="P63" s="4528"/>
      <c r="Q63" s="4521"/>
      <c r="R63" s="3323"/>
      <c r="S63" s="4534"/>
      <c r="T63" s="4521"/>
      <c r="U63" s="4521"/>
      <c r="V63" s="980" t="s">
        <v>823</v>
      </c>
      <c r="W63" s="2300">
        <v>10000000</v>
      </c>
      <c r="X63" s="2596">
        <v>10000000</v>
      </c>
      <c r="Y63" s="2596">
        <v>3640000</v>
      </c>
      <c r="Z63" s="977">
        <v>61</v>
      </c>
      <c r="AA63" s="4524"/>
      <c r="AB63" s="4524"/>
      <c r="AC63" s="4526"/>
      <c r="AD63" s="4524"/>
      <c r="AE63" s="4526"/>
      <c r="AF63" s="4543"/>
      <c r="AG63" s="4567"/>
      <c r="AH63" s="4543"/>
      <c r="AI63" s="4567"/>
      <c r="AJ63" s="4543"/>
      <c r="AK63" s="4567"/>
      <c r="AL63" s="4543"/>
      <c r="AM63" s="4567"/>
      <c r="AN63" s="4543"/>
      <c r="AO63" s="4567"/>
      <c r="AP63" s="4543"/>
      <c r="AQ63" s="4567"/>
      <c r="AR63" s="4518"/>
      <c r="AS63" s="4526"/>
      <c r="AT63" s="4543"/>
      <c r="AU63" s="4567"/>
      <c r="AV63" s="4543"/>
      <c r="AW63" s="4567"/>
      <c r="AX63" s="4543"/>
      <c r="AY63" s="4567"/>
      <c r="AZ63" s="4543"/>
      <c r="BA63" s="4567"/>
      <c r="BB63" s="4543"/>
      <c r="BC63" s="4567"/>
      <c r="BD63" s="4543"/>
      <c r="BE63" s="4567"/>
      <c r="BF63" s="4543"/>
      <c r="BG63" s="4567"/>
      <c r="BH63" s="4543"/>
      <c r="BI63" s="4543"/>
      <c r="BJ63" s="4543"/>
      <c r="BK63" s="3185"/>
      <c r="BL63" s="4543"/>
      <c r="BM63" s="4543"/>
      <c r="BN63" s="4554"/>
      <c r="BO63" s="4554"/>
      <c r="BP63" s="4554"/>
      <c r="BQ63" s="4554"/>
      <c r="BR63" s="4557"/>
    </row>
    <row r="64" spans="1:70" s="978" customFormat="1" ht="118.5" customHeight="1" x14ac:dyDescent="0.2">
      <c r="A64" s="995"/>
      <c r="B64" s="996"/>
      <c r="C64" s="997"/>
      <c r="D64" s="996"/>
      <c r="E64" s="996"/>
      <c r="F64" s="997"/>
      <c r="G64" s="1001"/>
      <c r="H64" s="996"/>
      <c r="I64" s="997"/>
      <c r="J64" s="4518"/>
      <c r="K64" s="4521"/>
      <c r="L64" s="4524"/>
      <c r="M64" s="4524"/>
      <c r="N64" s="4526"/>
      <c r="O64" s="4524"/>
      <c r="P64" s="4528"/>
      <c r="Q64" s="4521"/>
      <c r="R64" s="3323"/>
      <c r="S64" s="4534"/>
      <c r="T64" s="4521"/>
      <c r="U64" s="4521"/>
      <c r="V64" s="980" t="s">
        <v>824</v>
      </c>
      <c r="W64" s="2300">
        <v>2000000</v>
      </c>
      <c r="X64" s="2596">
        <v>0</v>
      </c>
      <c r="Y64" s="2596">
        <v>0</v>
      </c>
      <c r="Z64" s="977">
        <v>61</v>
      </c>
      <c r="AA64" s="4524"/>
      <c r="AB64" s="4524"/>
      <c r="AC64" s="4526"/>
      <c r="AD64" s="4524"/>
      <c r="AE64" s="4526"/>
      <c r="AF64" s="4543"/>
      <c r="AG64" s="4567"/>
      <c r="AH64" s="4543"/>
      <c r="AI64" s="4567"/>
      <c r="AJ64" s="4543"/>
      <c r="AK64" s="4567"/>
      <c r="AL64" s="4543"/>
      <c r="AM64" s="4567"/>
      <c r="AN64" s="4543"/>
      <c r="AO64" s="4567"/>
      <c r="AP64" s="4543"/>
      <c r="AQ64" s="4567"/>
      <c r="AR64" s="4518"/>
      <c r="AS64" s="4526"/>
      <c r="AT64" s="4543"/>
      <c r="AU64" s="4567"/>
      <c r="AV64" s="4543"/>
      <c r="AW64" s="4567"/>
      <c r="AX64" s="4543"/>
      <c r="AY64" s="4567"/>
      <c r="AZ64" s="4543"/>
      <c r="BA64" s="4567"/>
      <c r="BB64" s="4543"/>
      <c r="BC64" s="4567"/>
      <c r="BD64" s="4543"/>
      <c r="BE64" s="4567"/>
      <c r="BF64" s="4543"/>
      <c r="BG64" s="4567"/>
      <c r="BH64" s="4543"/>
      <c r="BI64" s="4543"/>
      <c r="BJ64" s="4543"/>
      <c r="BK64" s="3185"/>
      <c r="BL64" s="4543"/>
      <c r="BM64" s="4543"/>
      <c r="BN64" s="4554"/>
      <c r="BO64" s="4554"/>
      <c r="BP64" s="4554"/>
      <c r="BQ64" s="4554"/>
      <c r="BR64" s="4557"/>
    </row>
    <row r="65" spans="1:70" s="978" customFormat="1" ht="71.25" x14ac:dyDescent="0.2">
      <c r="A65" s="995"/>
      <c r="B65" s="996"/>
      <c r="C65" s="997"/>
      <c r="D65" s="996"/>
      <c r="E65" s="996"/>
      <c r="F65" s="997"/>
      <c r="G65" s="1001"/>
      <c r="H65" s="996"/>
      <c r="I65" s="997"/>
      <c r="J65" s="4518"/>
      <c r="K65" s="4521"/>
      <c r="L65" s="4524"/>
      <c r="M65" s="4524"/>
      <c r="N65" s="4526"/>
      <c r="O65" s="4524"/>
      <c r="P65" s="4528"/>
      <c r="Q65" s="4521"/>
      <c r="R65" s="3323"/>
      <c r="S65" s="4534"/>
      <c r="T65" s="4521"/>
      <c r="U65" s="4521"/>
      <c r="V65" s="980" t="s">
        <v>825</v>
      </c>
      <c r="W65" s="2300">
        <v>4000000</v>
      </c>
      <c r="X65" s="2596">
        <v>0</v>
      </c>
      <c r="Y65" s="2596">
        <v>0</v>
      </c>
      <c r="Z65" s="977">
        <v>61</v>
      </c>
      <c r="AA65" s="4524"/>
      <c r="AB65" s="4524"/>
      <c r="AC65" s="4526"/>
      <c r="AD65" s="4524"/>
      <c r="AE65" s="4526"/>
      <c r="AF65" s="4543"/>
      <c r="AG65" s="4567"/>
      <c r="AH65" s="4543"/>
      <c r="AI65" s="4567"/>
      <c r="AJ65" s="4543"/>
      <c r="AK65" s="4567"/>
      <c r="AL65" s="4543"/>
      <c r="AM65" s="4567"/>
      <c r="AN65" s="4543"/>
      <c r="AO65" s="4567"/>
      <c r="AP65" s="4543"/>
      <c r="AQ65" s="4567"/>
      <c r="AR65" s="4518"/>
      <c r="AS65" s="4526"/>
      <c r="AT65" s="4543"/>
      <c r="AU65" s="4567"/>
      <c r="AV65" s="4543"/>
      <c r="AW65" s="4567"/>
      <c r="AX65" s="4543"/>
      <c r="AY65" s="4567"/>
      <c r="AZ65" s="4543"/>
      <c r="BA65" s="4567"/>
      <c r="BB65" s="4543"/>
      <c r="BC65" s="4567"/>
      <c r="BD65" s="4543"/>
      <c r="BE65" s="4567"/>
      <c r="BF65" s="4543"/>
      <c r="BG65" s="4567"/>
      <c r="BH65" s="4543"/>
      <c r="BI65" s="4543"/>
      <c r="BJ65" s="4543"/>
      <c r="BK65" s="3185"/>
      <c r="BL65" s="4543"/>
      <c r="BM65" s="4543"/>
      <c r="BN65" s="4554"/>
      <c r="BO65" s="4554"/>
      <c r="BP65" s="4554"/>
      <c r="BQ65" s="4554"/>
      <c r="BR65" s="4557"/>
    </row>
    <row r="66" spans="1:70" s="978" customFormat="1" ht="75" customHeight="1" x14ac:dyDescent="0.2">
      <c r="A66" s="995"/>
      <c r="B66" s="996"/>
      <c r="C66" s="997"/>
      <c r="D66" s="996"/>
      <c r="E66" s="996"/>
      <c r="F66" s="997"/>
      <c r="G66" s="1001"/>
      <c r="H66" s="996"/>
      <c r="I66" s="997"/>
      <c r="J66" s="4519"/>
      <c r="K66" s="4522"/>
      <c r="L66" s="4525"/>
      <c r="M66" s="4525"/>
      <c r="N66" s="4526"/>
      <c r="O66" s="4524"/>
      <c r="P66" s="4528"/>
      <c r="Q66" s="4521"/>
      <c r="R66" s="3324"/>
      <c r="S66" s="4534"/>
      <c r="T66" s="4521"/>
      <c r="U66" s="4522"/>
      <c r="V66" s="980" t="s">
        <v>826</v>
      </c>
      <c r="W66" s="2300">
        <v>4000000</v>
      </c>
      <c r="X66" s="2596">
        <v>0</v>
      </c>
      <c r="Y66" s="2596">
        <v>0</v>
      </c>
      <c r="Z66" s="977">
        <v>61</v>
      </c>
      <c r="AA66" s="4524"/>
      <c r="AB66" s="4524"/>
      <c r="AC66" s="4526"/>
      <c r="AD66" s="4524"/>
      <c r="AE66" s="4526"/>
      <c r="AF66" s="4543"/>
      <c r="AG66" s="4567"/>
      <c r="AH66" s="4543"/>
      <c r="AI66" s="4567"/>
      <c r="AJ66" s="4543"/>
      <c r="AK66" s="4567"/>
      <c r="AL66" s="4543"/>
      <c r="AM66" s="4567"/>
      <c r="AN66" s="4543"/>
      <c r="AO66" s="4567"/>
      <c r="AP66" s="4543"/>
      <c r="AQ66" s="4567"/>
      <c r="AR66" s="4518"/>
      <c r="AS66" s="4526"/>
      <c r="AT66" s="4543"/>
      <c r="AU66" s="4567"/>
      <c r="AV66" s="4543"/>
      <c r="AW66" s="4567"/>
      <c r="AX66" s="4543"/>
      <c r="AY66" s="4567"/>
      <c r="AZ66" s="4543"/>
      <c r="BA66" s="4567"/>
      <c r="BB66" s="4543"/>
      <c r="BC66" s="4567"/>
      <c r="BD66" s="4543"/>
      <c r="BE66" s="4567"/>
      <c r="BF66" s="4543"/>
      <c r="BG66" s="4567"/>
      <c r="BH66" s="4543"/>
      <c r="BI66" s="4543"/>
      <c r="BJ66" s="4543"/>
      <c r="BK66" s="3185"/>
      <c r="BL66" s="4543"/>
      <c r="BM66" s="4543"/>
      <c r="BN66" s="4554"/>
      <c r="BO66" s="4554"/>
      <c r="BP66" s="4554"/>
      <c r="BQ66" s="4554"/>
      <c r="BR66" s="4557"/>
    </row>
    <row r="67" spans="1:70" s="978" customFormat="1" ht="69.75" customHeight="1" x14ac:dyDescent="0.2">
      <c r="A67" s="995"/>
      <c r="B67" s="996"/>
      <c r="C67" s="997"/>
      <c r="D67" s="996"/>
      <c r="E67" s="996"/>
      <c r="F67" s="997"/>
      <c r="G67" s="1001"/>
      <c r="H67" s="996"/>
      <c r="I67" s="997"/>
      <c r="J67" s="4517">
        <v>134</v>
      </c>
      <c r="K67" s="4520" t="s">
        <v>827</v>
      </c>
      <c r="L67" s="4523" t="s">
        <v>759</v>
      </c>
      <c r="M67" s="4523">
        <v>4800</v>
      </c>
      <c r="N67" s="4526">
        <v>2635</v>
      </c>
      <c r="O67" s="4524"/>
      <c r="P67" s="4528"/>
      <c r="Q67" s="4521"/>
      <c r="R67" s="4530">
        <f>SUM(W67:W78)/S56</f>
        <v>0.39285714285714285</v>
      </c>
      <c r="S67" s="4534"/>
      <c r="T67" s="4521"/>
      <c r="U67" s="4520" t="s">
        <v>828</v>
      </c>
      <c r="V67" s="980" t="s">
        <v>829</v>
      </c>
      <c r="W67" s="2300">
        <v>5000000</v>
      </c>
      <c r="X67" s="2596">
        <v>3924000</v>
      </c>
      <c r="Y67" s="2596">
        <v>3137300</v>
      </c>
      <c r="Z67" s="977">
        <v>61</v>
      </c>
      <c r="AA67" s="4524"/>
      <c r="AB67" s="4524"/>
      <c r="AC67" s="4526"/>
      <c r="AD67" s="4524"/>
      <c r="AE67" s="4526"/>
      <c r="AF67" s="4543"/>
      <c r="AG67" s="4567"/>
      <c r="AH67" s="4543"/>
      <c r="AI67" s="4567"/>
      <c r="AJ67" s="4543"/>
      <c r="AK67" s="4567"/>
      <c r="AL67" s="4543"/>
      <c r="AM67" s="4567"/>
      <c r="AN67" s="4543"/>
      <c r="AO67" s="4567"/>
      <c r="AP67" s="4543"/>
      <c r="AQ67" s="4567"/>
      <c r="AR67" s="4518"/>
      <c r="AS67" s="4526"/>
      <c r="AT67" s="4543"/>
      <c r="AU67" s="4567"/>
      <c r="AV67" s="4543"/>
      <c r="AW67" s="4567"/>
      <c r="AX67" s="4543"/>
      <c r="AY67" s="4567"/>
      <c r="AZ67" s="4543"/>
      <c r="BA67" s="4567"/>
      <c r="BB67" s="4543"/>
      <c r="BC67" s="4567"/>
      <c r="BD67" s="4543"/>
      <c r="BE67" s="4567"/>
      <c r="BF67" s="4543"/>
      <c r="BG67" s="4567"/>
      <c r="BH67" s="4543"/>
      <c r="BI67" s="4543"/>
      <c r="BJ67" s="4543"/>
      <c r="BK67" s="3185"/>
      <c r="BL67" s="4543"/>
      <c r="BM67" s="4543"/>
      <c r="BN67" s="4554"/>
      <c r="BO67" s="4554"/>
      <c r="BP67" s="4554"/>
      <c r="BQ67" s="4554"/>
      <c r="BR67" s="4557"/>
    </row>
    <row r="68" spans="1:70" s="978" customFormat="1" ht="54.75" customHeight="1" x14ac:dyDescent="0.2">
      <c r="A68" s="995"/>
      <c r="B68" s="996"/>
      <c r="C68" s="997"/>
      <c r="D68" s="996"/>
      <c r="E68" s="996"/>
      <c r="F68" s="997"/>
      <c r="G68" s="1001"/>
      <c r="H68" s="996"/>
      <c r="I68" s="997"/>
      <c r="J68" s="4518"/>
      <c r="K68" s="4521"/>
      <c r="L68" s="4524"/>
      <c r="M68" s="4524"/>
      <c r="N68" s="4526"/>
      <c r="O68" s="4524"/>
      <c r="P68" s="4528"/>
      <c r="Q68" s="4521"/>
      <c r="R68" s="4531"/>
      <c r="S68" s="4534"/>
      <c r="T68" s="4521"/>
      <c r="U68" s="4521"/>
      <c r="V68" s="980" t="s">
        <v>830</v>
      </c>
      <c r="W68" s="2300">
        <v>5000000</v>
      </c>
      <c r="X68" s="2596">
        <v>3924000</v>
      </c>
      <c r="Y68" s="2596">
        <v>3137300</v>
      </c>
      <c r="Z68" s="977">
        <v>61</v>
      </c>
      <c r="AA68" s="4524"/>
      <c r="AB68" s="4524"/>
      <c r="AC68" s="4526"/>
      <c r="AD68" s="4524"/>
      <c r="AE68" s="4526"/>
      <c r="AF68" s="4543"/>
      <c r="AG68" s="4567"/>
      <c r="AH68" s="4543"/>
      <c r="AI68" s="4567"/>
      <c r="AJ68" s="4543"/>
      <c r="AK68" s="4567"/>
      <c r="AL68" s="4543"/>
      <c r="AM68" s="4567"/>
      <c r="AN68" s="4543"/>
      <c r="AO68" s="4567"/>
      <c r="AP68" s="4543"/>
      <c r="AQ68" s="4567"/>
      <c r="AR68" s="4518"/>
      <c r="AS68" s="4526"/>
      <c r="AT68" s="4543"/>
      <c r="AU68" s="4567"/>
      <c r="AV68" s="4543"/>
      <c r="AW68" s="4567"/>
      <c r="AX68" s="4543"/>
      <c r="AY68" s="4567"/>
      <c r="AZ68" s="4543"/>
      <c r="BA68" s="4567"/>
      <c r="BB68" s="4543"/>
      <c r="BC68" s="4567"/>
      <c r="BD68" s="4543"/>
      <c r="BE68" s="4567"/>
      <c r="BF68" s="4543"/>
      <c r="BG68" s="4567"/>
      <c r="BH68" s="4543"/>
      <c r="BI68" s="4543"/>
      <c r="BJ68" s="4543"/>
      <c r="BK68" s="3185"/>
      <c r="BL68" s="4543"/>
      <c r="BM68" s="4543"/>
      <c r="BN68" s="4554"/>
      <c r="BO68" s="4554"/>
      <c r="BP68" s="4554"/>
      <c r="BQ68" s="4554"/>
      <c r="BR68" s="4557"/>
    </row>
    <row r="69" spans="1:70" s="978" customFormat="1" ht="84.75" customHeight="1" x14ac:dyDescent="0.2">
      <c r="A69" s="995"/>
      <c r="B69" s="996"/>
      <c r="C69" s="997"/>
      <c r="D69" s="996"/>
      <c r="E69" s="996"/>
      <c r="F69" s="997"/>
      <c r="G69" s="1001"/>
      <c r="H69" s="996"/>
      <c r="I69" s="997"/>
      <c r="J69" s="4518"/>
      <c r="K69" s="4521"/>
      <c r="L69" s="4524"/>
      <c r="M69" s="4524"/>
      <c r="N69" s="4526"/>
      <c r="O69" s="4524"/>
      <c r="P69" s="4528"/>
      <c r="Q69" s="4521"/>
      <c r="R69" s="4531"/>
      <c r="S69" s="4534"/>
      <c r="T69" s="4521"/>
      <c r="U69" s="4521"/>
      <c r="V69" s="980" t="s">
        <v>831</v>
      </c>
      <c r="W69" s="2300">
        <v>5000000</v>
      </c>
      <c r="X69" s="2596">
        <v>3925000</v>
      </c>
      <c r="Y69" s="2596">
        <v>3137300</v>
      </c>
      <c r="Z69" s="977">
        <v>61</v>
      </c>
      <c r="AA69" s="4524"/>
      <c r="AB69" s="4524"/>
      <c r="AC69" s="4526"/>
      <c r="AD69" s="4524"/>
      <c r="AE69" s="4526"/>
      <c r="AF69" s="4543"/>
      <c r="AG69" s="4567"/>
      <c r="AH69" s="4543"/>
      <c r="AI69" s="4567"/>
      <c r="AJ69" s="4543"/>
      <c r="AK69" s="4567"/>
      <c r="AL69" s="4543"/>
      <c r="AM69" s="4567"/>
      <c r="AN69" s="4543"/>
      <c r="AO69" s="4567"/>
      <c r="AP69" s="4543"/>
      <c r="AQ69" s="4567"/>
      <c r="AR69" s="4518"/>
      <c r="AS69" s="4526"/>
      <c r="AT69" s="4543"/>
      <c r="AU69" s="4567"/>
      <c r="AV69" s="4543"/>
      <c r="AW69" s="4567"/>
      <c r="AX69" s="4543"/>
      <c r="AY69" s="4567"/>
      <c r="AZ69" s="4543"/>
      <c r="BA69" s="4567"/>
      <c r="BB69" s="4543"/>
      <c r="BC69" s="4567"/>
      <c r="BD69" s="4543"/>
      <c r="BE69" s="4567"/>
      <c r="BF69" s="4543"/>
      <c r="BG69" s="4567"/>
      <c r="BH69" s="4543"/>
      <c r="BI69" s="4543"/>
      <c r="BJ69" s="4543"/>
      <c r="BK69" s="3185"/>
      <c r="BL69" s="4543"/>
      <c r="BM69" s="4543"/>
      <c r="BN69" s="4554"/>
      <c r="BO69" s="4554"/>
      <c r="BP69" s="4554"/>
      <c r="BQ69" s="4554"/>
      <c r="BR69" s="4557"/>
    </row>
    <row r="70" spans="1:70" s="978" customFormat="1" ht="67.5" customHeight="1" x14ac:dyDescent="0.2">
      <c r="A70" s="995"/>
      <c r="B70" s="996"/>
      <c r="C70" s="997"/>
      <c r="D70" s="996"/>
      <c r="E70" s="996"/>
      <c r="F70" s="997"/>
      <c r="G70" s="1001"/>
      <c r="H70" s="996"/>
      <c r="I70" s="997"/>
      <c r="J70" s="4518"/>
      <c r="K70" s="4521"/>
      <c r="L70" s="4524"/>
      <c r="M70" s="4524"/>
      <c r="N70" s="4526"/>
      <c r="O70" s="4524"/>
      <c r="P70" s="4528"/>
      <c r="Q70" s="4521"/>
      <c r="R70" s="4531"/>
      <c r="S70" s="4534"/>
      <c r="T70" s="4521"/>
      <c r="U70" s="4521"/>
      <c r="V70" s="980" t="s">
        <v>832</v>
      </c>
      <c r="W70" s="2300">
        <v>5000000</v>
      </c>
      <c r="X70" s="2596">
        <v>3921000</v>
      </c>
      <c r="Y70" s="2596">
        <v>3137300</v>
      </c>
      <c r="Z70" s="977">
        <v>61</v>
      </c>
      <c r="AA70" s="4524"/>
      <c r="AB70" s="4524"/>
      <c r="AC70" s="4526"/>
      <c r="AD70" s="4524"/>
      <c r="AE70" s="4526"/>
      <c r="AF70" s="4543"/>
      <c r="AG70" s="4567"/>
      <c r="AH70" s="4543"/>
      <c r="AI70" s="4567"/>
      <c r="AJ70" s="4543"/>
      <c r="AK70" s="4567"/>
      <c r="AL70" s="4543"/>
      <c r="AM70" s="4567"/>
      <c r="AN70" s="4543"/>
      <c r="AO70" s="4567"/>
      <c r="AP70" s="4543"/>
      <c r="AQ70" s="4567"/>
      <c r="AR70" s="4518"/>
      <c r="AS70" s="4526"/>
      <c r="AT70" s="4543"/>
      <c r="AU70" s="4567"/>
      <c r="AV70" s="4543"/>
      <c r="AW70" s="4567"/>
      <c r="AX70" s="4543"/>
      <c r="AY70" s="4567"/>
      <c r="AZ70" s="4543"/>
      <c r="BA70" s="4567"/>
      <c r="BB70" s="4543"/>
      <c r="BC70" s="4567"/>
      <c r="BD70" s="4543"/>
      <c r="BE70" s="4567"/>
      <c r="BF70" s="4543"/>
      <c r="BG70" s="4567"/>
      <c r="BH70" s="4543"/>
      <c r="BI70" s="4543"/>
      <c r="BJ70" s="4543"/>
      <c r="BK70" s="3185"/>
      <c r="BL70" s="4543"/>
      <c r="BM70" s="4543"/>
      <c r="BN70" s="4554"/>
      <c r="BO70" s="4554"/>
      <c r="BP70" s="4554"/>
      <c r="BQ70" s="4554"/>
      <c r="BR70" s="4557"/>
    </row>
    <row r="71" spans="1:70" s="978" customFormat="1" ht="71.25" x14ac:dyDescent="0.2">
      <c r="A71" s="995"/>
      <c r="B71" s="996"/>
      <c r="C71" s="997"/>
      <c r="D71" s="996"/>
      <c r="E71" s="996"/>
      <c r="F71" s="997"/>
      <c r="G71" s="1001"/>
      <c r="H71" s="996"/>
      <c r="I71" s="997"/>
      <c r="J71" s="4518"/>
      <c r="K71" s="4521"/>
      <c r="L71" s="4524"/>
      <c r="M71" s="4524"/>
      <c r="N71" s="4526"/>
      <c r="O71" s="4524"/>
      <c r="P71" s="4528"/>
      <c r="Q71" s="4521"/>
      <c r="R71" s="4531"/>
      <c r="S71" s="4534"/>
      <c r="T71" s="4521"/>
      <c r="U71" s="4521"/>
      <c r="V71" s="980" t="s">
        <v>833</v>
      </c>
      <c r="W71" s="2300">
        <v>5000000</v>
      </c>
      <c r="X71" s="2596">
        <v>3921000</v>
      </c>
      <c r="Y71" s="2596">
        <v>3137300</v>
      </c>
      <c r="Z71" s="977">
        <v>61</v>
      </c>
      <c r="AA71" s="4524"/>
      <c r="AB71" s="4524"/>
      <c r="AC71" s="4526"/>
      <c r="AD71" s="4524"/>
      <c r="AE71" s="4526"/>
      <c r="AF71" s="4543"/>
      <c r="AG71" s="4567"/>
      <c r="AH71" s="4543"/>
      <c r="AI71" s="4567"/>
      <c r="AJ71" s="4543"/>
      <c r="AK71" s="4567"/>
      <c r="AL71" s="4543"/>
      <c r="AM71" s="4567"/>
      <c r="AN71" s="4543"/>
      <c r="AO71" s="4567"/>
      <c r="AP71" s="4543"/>
      <c r="AQ71" s="4567"/>
      <c r="AR71" s="4518"/>
      <c r="AS71" s="4526"/>
      <c r="AT71" s="4543"/>
      <c r="AU71" s="4567"/>
      <c r="AV71" s="4543"/>
      <c r="AW71" s="4567"/>
      <c r="AX71" s="4543"/>
      <c r="AY71" s="4567"/>
      <c r="AZ71" s="4543"/>
      <c r="BA71" s="4567"/>
      <c r="BB71" s="4543"/>
      <c r="BC71" s="4567"/>
      <c r="BD71" s="4543"/>
      <c r="BE71" s="4567"/>
      <c r="BF71" s="4543"/>
      <c r="BG71" s="4567"/>
      <c r="BH71" s="4543"/>
      <c r="BI71" s="4543"/>
      <c r="BJ71" s="4543"/>
      <c r="BK71" s="3185"/>
      <c r="BL71" s="4543"/>
      <c r="BM71" s="4543"/>
      <c r="BN71" s="4554"/>
      <c r="BO71" s="4554"/>
      <c r="BP71" s="4554"/>
      <c r="BQ71" s="4554"/>
      <c r="BR71" s="4557"/>
    </row>
    <row r="72" spans="1:70" s="978" customFormat="1" ht="42.75" x14ac:dyDescent="0.2">
      <c r="A72" s="995"/>
      <c r="B72" s="996"/>
      <c r="C72" s="997"/>
      <c r="D72" s="996"/>
      <c r="E72" s="996"/>
      <c r="F72" s="997"/>
      <c r="G72" s="1001"/>
      <c r="H72" s="996"/>
      <c r="I72" s="997"/>
      <c r="J72" s="4518"/>
      <c r="K72" s="4521"/>
      <c r="L72" s="4524"/>
      <c r="M72" s="4524"/>
      <c r="N72" s="4526"/>
      <c r="O72" s="4524"/>
      <c r="P72" s="4528"/>
      <c r="Q72" s="4521"/>
      <c r="R72" s="4531"/>
      <c r="S72" s="4534"/>
      <c r="T72" s="4521"/>
      <c r="U72" s="4521"/>
      <c r="V72" s="980" t="s">
        <v>834</v>
      </c>
      <c r="W72" s="2300">
        <v>5000000</v>
      </c>
      <c r="X72" s="2596">
        <v>3921000</v>
      </c>
      <c r="Y72" s="2596">
        <v>3137300</v>
      </c>
      <c r="Z72" s="977">
        <v>61</v>
      </c>
      <c r="AA72" s="4524"/>
      <c r="AB72" s="4524"/>
      <c r="AC72" s="4526"/>
      <c r="AD72" s="4524"/>
      <c r="AE72" s="4526"/>
      <c r="AF72" s="4543"/>
      <c r="AG72" s="4567"/>
      <c r="AH72" s="4543"/>
      <c r="AI72" s="4567"/>
      <c r="AJ72" s="4543"/>
      <c r="AK72" s="4567"/>
      <c r="AL72" s="4543"/>
      <c r="AM72" s="4567"/>
      <c r="AN72" s="4543"/>
      <c r="AO72" s="4567"/>
      <c r="AP72" s="4543"/>
      <c r="AQ72" s="4567"/>
      <c r="AR72" s="4518"/>
      <c r="AS72" s="4526"/>
      <c r="AT72" s="4543"/>
      <c r="AU72" s="4567"/>
      <c r="AV72" s="4543"/>
      <c r="AW72" s="4567"/>
      <c r="AX72" s="4543"/>
      <c r="AY72" s="4567"/>
      <c r="AZ72" s="4543"/>
      <c r="BA72" s="4567"/>
      <c r="BB72" s="4543"/>
      <c r="BC72" s="4567"/>
      <c r="BD72" s="4543"/>
      <c r="BE72" s="4567"/>
      <c r="BF72" s="4543"/>
      <c r="BG72" s="4567"/>
      <c r="BH72" s="4543"/>
      <c r="BI72" s="4543"/>
      <c r="BJ72" s="4543"/>
      <c r="BK72" s="3185"/>
      <c r="BL72" s="4543"/>
      <c r="BM72" s="4543"/>
      <c r="BN72" s="4554"/>
      <c r="BO72" s="4554"/>
      <c r="BP72" s="4554"/>
      <c r="BQ72" s="4554"/>
      <c r="BR72" s="4557"/>
    </row>
    <row r="73" spans="1:70" s="978" customFormat="1" ht="71.25" x14ac:dyDescent="0.2">
      <c r="A73" s="995"/>
      <c r="B73" s="996"/>
      <c r="C73" s="997"/>
      <c r="D73" s="996"/>
      <c r="E73" s="996"/>
      <c r="F73" s="997"/>
      <c r="G73" s="1001"/>
      <c r="H73" s="996"/>
      <c r="I73" s="997"/>
      <c r="J73" s="4518"/>
      <c r="K73" s="4521"/>
      <c r="L73" s="4524"/>
      <c r="M73" s="4524"/>
      <c r="N73" s="4526"/>
      <c r="O73" s="4524"/>
      <c r="P73" s="4528"/>
      <c r="Q73" s="4521"/>
      <c r="R73" s="4531"/>
      <c r="S73" s="4534"/>
      <c r="T73" s="4521"/>
      <c r="U73" s="4521"/>
      <c r="V73" s="980" t="s">
        <v>835</v>
      </c>
      <c r="W73" s="2300">
        <v>5000000</v>
      </c>
      <c r="X73" s="2596">
        <v>3921000</v>
      </c>
      <c r="Y73" s="2596">
        <v>3137300</v>
      </c>
      <c r="Z73" s="977">
        <v>61</v>
      </c>
      <c r="AA73" s="4524"/>
      <c r="AB73" s="4524"/>
      <c r="AC73" s="4526"/>
      <c r="AD73" s="4524"/>
      <c r="AE73" s="4526"/>
      <c r="AF73" s="4543"/>
      <c r="AG73" s="4567"/>
      <c r="AH73" s="4543"/>
      <c r="AI73" s="4567"/>
      <c r="AJ73" s="4543"/>
      <c r="AK73" s="4567"/>
      <c r="AL73" s="4543"/>
      <c r="AM73" s="4567"/>
      <c r="AN73" s="4543"/>
      <c r="AO73" s="4567"/>
      <c r="AP73" s="4543"/>
      <c r="AQ73" s="4567"/>
      <c r="AR73" s="4518"/>
      <c r="AS73" s="4526"/>
      <c r="AT73" s="4543"/>
      <c r="AU73" s="4567"/>
      <c r="AV73" s="4543"/>
      <c r="AW73" s="4567"/>
      <c r="AX73" s="4543"/>
      <c r="AY73" s="4567"/>
      <c r="AZ73" s="4543"/>
      <c r="BA73" s="4567"/>
      <c r="BB73" s="4543"/>
      <c r="BC73" s="4567"/>
      <c r="BD73" s="4543"/>
      <c r="BE73" s="4567"/>
      <c r="BF73" s="4543"/>
      <c r="BG73" s="4567"/>
      <c r="BH73" s="4543"/>
      <c r="BI73" s="4543"/>
      <c r="BJ73" s="4543"/>
      <c r="BK73" s="3185"/>
      <c r="BL73" s="4543"/>
      <c r="BM73" s="4543"/>
      <c r="BN73" s="4554"/>
      <c r="BO73" s="4554"/>
      <c r="BP73" s="4554"/>
      <c r="BQ73" s="4554"/>
      <c r="BR73" s="4557"/>
    </row>
    <row r="74" spans="1:70" s="978" customFormat="1" ht="57" x14ac:dyDescent="0.2">
      <c r="A74" s="995"/>
      <c r="B74" s="996"/>
      <c r="C74" s="997"/>
      <c r="D74" s="996"/>
      <c r="E74" s="996"/>
      <c r="F74" s="997"/>
      <c r="G74" s="1001"/>
      <c r="H74" s="996"/>
      <c r="I74" s="997"/>
      <c r="J74" s="4518"/>
      <c r="K74" s="4521"/>
      <c r="L74" s="4524"/>
      <c r="M74" s="4524"/>
      <c r="N74" s="4526"/>
      <c r="O74" s="4524"/>
      <c r="P74" s="4528"/>
      <c r="Q74" s="4521"/>
      <c r="R74" s="4531"/>
      <c r="S74" s="4534"/>
      <c r="T74" s="4521"/>
      <c r="U74" s="4521"/>
      <c r="V74" s="980" t="s">
        <v>836</v>
      </c>
      <c r="W74" s="2300">
        <v>5000000</v>
      </c>
      <c r="X74" s="2596">
        <v>3921000</v>
      </c>
      <c r="Y74" s="2596">
        <v>3137300</v>
      </c>
      <c r="Z74" s="977">
        <v>61</v>
      </c>
      <c r="AA74" s="4524"/>
      <c r="AB74" s="4524"/>
      <c r="AC74" s="4526"/>
      <c r="AD74" s="4524"/>
      <c r="AE74" s="4526"/>
      <c r="AF74" s="4543"/>
      <c r="AG74" s="4567"/>
      <c r="AH74" s="4543"/>
      <c r="AI74" s="4567"/>
      <c r="AJ74" s="4543"/>
      <c r="AK74" s="4567"/>
      <c r="AL74" s="4543"/>
      <c r="AM74" s="4567"/>
      <c r="AN74" s="4543"/>
      <c r="AO74" s="4567"/>
      <c r="AP74" s="4543"/>
      <c r="AQ74" s="4567"/>
      <c r="AR74" s="4518"/>
      <c r="AS74" s="4526"/>
      <c r="AT74" s="4543"/>
      <c r="AU74" s="4567"/>
      <c r="AV74" s="4543"/>
      <c r="AW74" s="4567"/>
      <c r="AX74" s="4543"/>
      <c r="AY74" s="4567"/>
      <c r="AZ74" s="4543"/>
      <c r="BA74" s="4567"/>
      <c r="BB74" s="4543"/>
      <c r="BC74" s="4567"/>
      <c r="BD74" s="4543"/>
      <c r="BE74" s="4567"/>
      <c r="BF74" s="4543"/>
      <c r="BG74" s="4567"/>
      <c r="BH74" s="4543"/>
      <c r="BI74" s="4543"/>
      <c r="BJ74" s="4543"/>
      <c r="BK74" s="3185"/>
      <c r="BL74" s="4543"/>
      <c r="BM74" s="4543"/>
      <c r="BN74" s="4554"/>
      <c r="BO74" s="4554"/>
      <c r="BP74" s="4554"/>
      <c r="BQ74" s="4554"/>
      <c r="BR74" s="4557"/>
    </row>
    <row r="75" spans="1:70" s="978" customFormat="1" ht="60" customHeight="1" x14ac:dyDescent="0.2">
      <c r="A75" s="995"/>
      <c r="B75" s="996"/>
      <c r="C75" s="997"/>
      <c r="D75" s="996"/>
      <c r="E75" s="996"/>
      <c r="F75" s="997"/>
      <c r="G75" s="1001"/>
      <c r="H75" s="996"/>
      <c r="I75" s="997"/>
      <c r="J75" s="4518"/>
      <c r="K75" s="4521"/>
      <c r="L75" s="4524"/>
      <c r="M75" s="4524"/>
      <c r="N75" s="4526"/>
      <c r="O75" s="4524"/>
      <c r="P75" s="4528"/>
      <c r="Q75" s="4521"/>
      <c r="R75" s="4531"/>
      <c r="S75" s="4534"/>
      <c r="T75" s="4521"/>
      <c r="U75" s="4521"/>
      <c r="V75" s="980" t="s">
        <v>837</v>
      </c>
      <c r="W75" s="2300">
        <v>5000000</v>
      </c>
      <c r="X75" s="2596">
        <v>3921000</v>
      </c>
      <c r="Y75" s="2596">
        <v>3137300</v>
      </c>
      <c r="Z75" s="977">
        <v>61</v>
      </c>
      <c r="AA75" s="4524"/>
      <c r="AB75" s="4524"/>
      <c r="AC75" s="4526"/>
      <c r="AD75" s="4524"/>
      <c r="AE75" s="4526"/>
      <c r="AF75" s="4543"/>
      <c r="AG75" s="4567"/>
      <c r="AH75" s="4543"/>
      <c r="AI75" s="4567"/>
      <c r="AJ75" s="4543"/>
      <c r="AK75" s="4567"/>
      <c r="AL75" s="4543"/>
      <c r="AM75" s="4567"/>
      <c r="AN75" s="4543"/>
      <c r="AO75" s="4567"/>
      <c r="AP75" s="4543"/>
      <c r="AQ75" s="4567"/>
      <c r="AR75" s="4518"/>
      <c r="AS75" s="4526"/>
      <c r="AT75" s="4543"/>
      <c r="AU75" s="4567"/>
      <c r="AV75" s="4543"/>
      <c r="AW75" s="4567"/>
      <c r="AX75" s="4543"/>
      <c r="AY75" s="4567"/>
      <c r="AZ75" s="4543"/>
      <c r="BA75" s="4567"/>
      <c r="BB75" s="4543"/>
      <c r="BC75" s="4567"/>
      <c r="BD75" s="4543"/>
      <c r="BE75" s="4567"/>
      <c r="BF75" s="4543"/>
      <c r="BG75" s="4567"/>
      <c r="BH75" s="4543"/>
      <c r="BI75" s="4543"/>
      <c r="BJ75" s="4543"/>
      <c r="BK75" s="3185"/>
      <c r="BL75" s="4543"/>
      <c r="BM75" s="4543"/>
      <c r="BN75" s="4554"/>
      <c r="BO75" s="4554"/>
      <c r="BP75" s="4554"/>
      <c r="BQ75" s="4554"/>
      <c r="BR75" s="4557"/>
    </row>
    <row r="76" spans="1:70" s="978" customFormat="1" ht="71.25" x14ac:dyDescent="0.2">
      <c r="A76" s="995"/>
      <c r="B76" s="996"/>
      <c r="C76" s="997"/>
      <c r="D76" s="996"/>
      <c r="E76" s="996"/>
      <c r="F76" s="997"/>
      <c r="G76" s="1001"/>
      <c r="H76" s="996"/>
      <c r="I76" s="997"/>
      <c r="J76" s="4518"/>
      <c r="K76" s="4521"/>
      <c r="L76" s="4524"/>
      <c r="M76" s="4524"/>
      <c r="N76" s="4526"/>
      <c r="O76" s="4524"/>
      <c r="P76" s="4528"/>
      <c r="Q76" s="4521"/>
      <c r="R76" s="4531"/>
      <c r="S76" s="4534"/>
      <c r="T76" s="4521"/>
      <c r="U76" s="4521"/>
      <c r="V76" s="980" t="s">
        <v>831</v>
      </c>
      <c r="W76" s="2300">
        <v>5000000</v>
      </c>
      <c r="X76" s="2596">
        <v>3921000</v>
      </c>
      <c r="Y76" s="2596">
        <v>3137300</v>
      </c>
      <c r="Z76" s="977">
        <v>61</v>
      </c>
      <c r="AA76" s="4524"/>
      <c r="AB76" s="4524"/>
      <c r="AC76" s="4526"/>
      <c r="AD76" s="4524"/>
      <c r="AE76" s="4526"/>
      <c r="AF76" s="4543"/>
      <c r="AG76" s="4567"/>
      <c r="AH76" s="4543"/>
      <c r="AI76" s="4567"/>
      <c r="AJ76" s="4543"/>
      <c r="AK76" s="4567"/>
      <c r="AL76" s="4543"/>
      <c r="AM76" s="4567"/>
      <c r="AN76" s="4543"/>
      <c r="AO76" s="4567"/>
      <c r="AP76" s="4543"/>
      <c r="AQ76" s="4567"/>
      <c r="AR76" s="4518"/>
      <c r="AS76" s="4526"/>
      <c r="AT76" s="4543"/>
      <c r="AU76" s="4567"/>
      <c r="AV76" s="4543"/>
      <c r="AW76" s="4567"/>
      <c r="AX76" s="4543"/>
      <c r="AY76" s="4567"/>
      <c r="AZ76" s="4543"/>
      <c r="BA76" s="4567"/>
      <c r="BB76" s="4543"/>
      <c r="BC76" s="4567"/>
      <c r="BD76" s="4543"/>
      <c r="BE76" s="4567"/>
      <c r="BF76" s="4543"/>
      <c r="BG76" s="4567"/>
      <c r="BH76" s="4543"/>
      <c r="BI76" s="4543"/>
      <c r="BJ76" s="4543"/>
      <c r="BK76" s="3185"/>
      <c r="BL76" s="4543"/>
      <c r="BM76" s="4543"/>
      <c r="BN76" s="4554"/>
      <c r="BO76" s="4554"/>
      <c r="BP76" s="4554"/>
      <c r="BQ76" s="4554"/>
      <c r="BR76" s="4557"/>
    </row>
    <row r="77" spans="1:70" s="978" customFormat="1" ht="57" customHeight="1" x14ac:dyDescent="0.2">
      <c r="A77" s="995"/>
      <c r="B77" s="996"/>
      <c r="C77" s="997"/>
      <c r="D77" s="996"/>
      <c r="E77" s="996"/>
      <c r="F77" s="997"/>
      <c r="G77" s="1001"/>
      <c r="H77" s="996"/>
      <c r="I77" s="997"/>
      <c r="J77" s="4518"/>
      <c r="K77" s="4521"/>
      <c r="L77" s="4524"/>
      <c r="M77" s="4524"/>
      <c r="N77" s="4526"/>
      <c r="O77" s="4524"/>
      <c r="P77" s="4528"/>
      <c r="Q77" s="4521"/>
      <c r="R77" s="4531"/>
      <c r="S77" s="4534"/>
      <c r="T77" s="4521"/>
      <c r="U77" s="4521"/>
      <c r="V77" s="980" t="s">
        <v>830</v>
      </c>
      <c r="W77" s="2300">
        <v>5000000</v>
      </c>
      <c r="X77" s="2596">
        <v>3920000</v>
      </c>
      <c r="Y77" s="2596">
        <v>3137300</v>
      </c>
      <c r="Z77" s="977">
        <v>61</v>
      </c>
      <c r="AA77" s="4524"/>
      <c r="AB77" s="4524"/>
      <c r="AC77" s="4526"/>
      <c r="AD77" s="4524"/>
      <c r="AE77" s="4526"/>
      <c r="AF77" s="4543"/>
      <c r="AG77" s="4567"/>
      <c r="AH77" s="4543"/>
      <c r="AI77" s="4567"/>
      <c r="AJ77" s="4543"/>
      <c r="AK77" s="4567"/>
      <c r="AL77" s="4543"/>
      <c r="AM77" s="4567"/>
      <c r="AN77" s="4543"/>
      <c r="AO77" s="4567"/>
      <c r="AP77" s="4543"/>
      <c r="AQ77" s="4567"/>
      <c r="AR77" s="4518"/>
      <c r="AS77" s="4526"/>
      <c r="AT77" s="4543"/>
      <c r="AU77" s="4567"/>
      <c r="AV77" s="4543"/>
      <c r="AW77" s="4567"/>
      <c r="AX77" s="4543"/>
      <c r="AY77" s="4567"/>
      <c r="AZ77" s="4543"/>
      <c r="BA77" s="4567"/>
      <c r="BB77" s="4543"/>
      <c r="BC77" s="4567"/>
      <c r="BD77" s="4543"/>
      <c r="BE77" s="4567"/>
      <c r="BF77" s="4543"/>
      <c r="BG77" s="4567"/>
      <c r="BH77" s="4543"/>
      <c r="BI77" s="4543"/>
      <c r="BJ77" s="4543"/>
      <c r="BK77" s="3185"/>
      <c r="BL77" s="4543"/>
      <c r="BM77" s="4543"/>
      <c r="BN77" s="4554"/>
      <c r="BO77" s="4554"/>
      <c r="BP77" s="4554"/>
      <c r="BQ77" s="4554"/>
      <c r="BR77" s="4557"/>
    </row>
    <row r="78" spans="1:70" s="978" customFormat="1" ht="57" customHeight="1" x14ac:dyDescent="0.2">
      <c r="A78" s="995"/>
      <c r="B78" s="996"/>
      <c r="C78" s="997"/>
      <c r="D78" s="996"/>
      <c r="E78" s="996"/>
      <c r="F78" s="997"/>
      <c r="G78" s="1001"/>
      <c r="H78" s="996"/>
      <c r="I78" s="997"/>
      <c r="J78" s="4519"/>
      <c r="K78" s="4522"/>
      <c r="L78" s="4525"/>
      <c r="M78" s="4525"/>
      <c r="N78" s="4526"/>
      <c r="O78" s="4524"/>
      <c r="P78" s="4528"/>
      <c r="Q78" s="4521"/>
      <c r="R78" s="4532"/>
      <c r="S78" s="4534"/>
      <c r="T78" s="4521"/>
      <c r="U78" s="4521"/>
      <c r="V78" s="980" t="s">
        <v>838</v>
      </c>
      <c r="W78" s="2608">
        <f>5000000+6000000</f>
        <v>11000000</v>
      </c>
      <c r="X78" s="2596">
        <v>3920000</v>
      </c>
      <c r="Y78" s="2596">
        <v>3137700</v>
      </c>
      <c r="Z78" s="977">
        <v>61</v>
      </c>
      <c r="AA78" s="4524"/>
      <c r="AB78" s="4524"/>
      <c r="AC78" s="4526"/>
      <c r="AD78" s="4524"/>
      <c r="AE78" s="4526"/>
      <c r="AF78" s="4543"/>
      <c r="AG78" s="4567"/>
      <c r="AH78" s="4543"/>
      <c r="AI78" s="4567"/>
      <c r="AJ78" s="4543"/>
      <c r="AK78" s="4567"/>
      <c r="AL78" s="4543"/>
      <c r="AM78" s="4567"/>
      <c r="AN78" s="4543"/>
      <c r="AO78" s="4567"/>
      <c r="AP78" s="4543"/>
      <c r="AQ78" s="4567"/>
      <c r="AR78" s="4518"/>
      <c r="AS78" s="4526"/>
      <c r="AT78" s="4543"/>
      <c r="AU78" s="4567"/>
      <c r="AV78" s="4543"/>
      <c r="AW78" s="4567"/>
      <c r="AX78" s="4543"/>
      <c r="AY78" s="4567"/>
      <c r="AZ78" s="4543"/>
      <c r="BA78" s="4567"/>
      <c r="BB78" s="4543"/>
      <c r="BC78" s="4567"/>
      <c r="BD78" s="4543"/>
      <c r="BE78" s="4567"/>
      <c r="BF78" s="4543"/>
      <c r="BG78" s="4567"/>
      <c r="BH78" s="4543"/>
      <c r="BI78" s="4543"/>
      <c r="BJ78" s="4543"/>
      <c r="BK78" s="3185"/>
      <c r="BL78" s="4543"/>
      <c r="BM78" s="4543"/>
      <c r="BN78" s="4554"/>
      <c r="BO78" s="4554"/>
      <c r="BP78" s="4554"/>
      <c r="BQ78" s="4554"/>
      <c r="BR78" s="4557"/>
    </row>
    <row r="79" spans="1:70" s="978" customFormat="1" ht="103.5" customHeight="1" x14ac:dyDescent="0.2">
      <c r="A79" s="995"/>
      <c r="B79" s="996"/>
      <c r="C79" s="997"/>
      <c r="D79" s="996"/>
      <c r="E79" s="996"/>
      <c r="F79" s="997"/>
      <c r="G79" s="1001"/>
      <c r="H79" s="996"/>
      <c r="I79" s="997"/>
      <c r="J79" s="4517">
        <v>135</v>
      </c>
      <c r="K79" s="4520" t="s">
        <v>839</v>
      </c>
      <c r="L79" s="4523" t="s">
        <v>759</v>
      </c>
      <c r="M79" s="4523">
        <v>12</v>
      </c>
      <c r="N79" s="4526">
        <v>8</v>
      </c>
      <c r="O79" s="4524"/>
      <c r="P79" s="4528"/>
      <c r="Q79" s="4521"/>
      <c r="R79" s="4530">
        <f>SUM(W79:W83)/S56</f>
        <v>0.19047619047619047</v>
      </c>
      <c r="S79" s="4534"/>
      <c r="T79" s="4521"/>
      <c r="U79" s="4521"/>
      <c r="V79" s="980" t="s">
        <v>840</v>
      </c>
      <c r="W79" s="2300">
        <v>8000000</v>
      </c>
      <c r="X79" s="2596">
        <v>2798000</v>
      </c>
      <c r="Y79" s="2596">
        <v>1678800</v>
      </c>
      <c r="Z79" s="977">
        <v>61</v>
      </c>
      <c r="AA79" s="4524"/>
      <c r="AB79" s="4524"/>
      <c r="AC79" s="4526"/>
      <c r="AD79" s="4524"/>
      <c r="AE79" s="4526"/>
      <c r="AF79" s="4543"/>
      <c r="AG79" s="4567"/>
      <c r="AH79" s="4543"/>
      <c r="AI79" s="4567"/>
      <c r="AJ79" s="4543"/>
      <c r="AK79" s="4567"/>
      <c r="AL79" s="4543"/>
      <c r="AM79" s="4567"/>
      <c r="AN79" s="4543"/>
      <c r="AO79" s="4567"/>
      <c r="AP79" s="4543"/>
      <c r="AQ79" s="4567"/>
      <c r="AR79" s="4518"/>
      <c r="AS79" s="4526"/>
      <c r="AT79" s="4543"/>
      <c r="AU79" s="4567"/>
      <c r="AV79" s="4543"/>
      <c r="AW79" s="4567"/>
      <c r="AX79" s="4543"/>
      <c r="AY79" s="4567"/>
      <c r="AZ79" s="4543"/>
      <c r="BA79" s="4567"/>
      <c r="BB79" s="4543"/>
      <c r="BC79" s="4567"/>
      <c r="BD79" s="4543"/>
      <c r="BE79" s="4567"/>
      <c r="BF79" s="4543"/>
      <c r="BG79" s="4567"/>
      <c r="BH79" s="4543"/>
      <c r="BI79" s="4543"/>
      <c r="BJ79" s="4543"/>
      <c r="BK79" s="3185"/>
      <c r="BL79" s="4543"/>
      <c r="BM79" s="4543"/>
      <c r="BN79" s="4554"/>
      <c r="BO79" s="4554"/>
      <c r="BP79" s="4554"/>
      <c r="BQ79" s="4554"/>
      <c r="BR79" s="4557"/>
    </row>
    <row r="80" spans="1:70" s="978" customFormat="1" ht="96" customHeight="1" x14ac:dyDescent="0.2">
      <c r="A80" s="995"/>
      <c r="B80" s="996"/>
      <c r="C80" s="997"/>
      <c r="D80" s="996"/>
      <c r="E80" s="996"/>
      <c r="F80" s="997"/>
      <c r="G80" s="1001"/>
      <c r="H80" s="996"/>
      <c r="I80" s="997"/>
      <c r="J80" s="4518"/>
      <c r="K80" s="4521"/>
      <c r="L80" s="4524"/>
      <c r="M80" s="4524"/>
      <c r="N80" s="4526"/>
      <c r="O80" s="4524"/>
      <c r="P80" s="4528"/>
      <c r="Q80" s="4521"/>
      <c r="R80" s="4531"/>
      <c r="S80" s="4534"/>
      <c r="T80" s="4521"/>
      <c r="U80" s="4521"/>
      <c r="V80" s="980" t="s">
        <v>841</v>
      </c>
      <c r="W80" s="2300">
        <v>10000000</v>
      </c>
      <c r="X80" s="2596">
        <v>2798000</v>
      </c>
      <c r="Y80" s="2596">
        <v>1678800</v>
      </c>
      <c r="Z80" s="977">
        <v>61</v>
      </c>
      <c r="AA80" s="4524"/>
      <c r="AB80" s="4524"/>
      <c r="AC80" s="4526"/>
      <c r="AD80" s="4524"/>
      <c r="AE80" s="4526"/>
      <c r="AF80" s="4543"/>
      <c r="AG80" s="4567"/>
      <c r="AH80" s="4543"/>
      <c r="AI80" s="4567"/>
      <c r="AJ80" s="4543"/>
      <c r="AK80" s="4567"/>
      <c r="AL80" s="4543"/>
      <c r="AM80" s="4567"/>
      <c r="AN80" s="4543"/>
      <c r="AO80" s="4567"/>
      <c r="AP80" s="4543"/>
      <c r="AQ80" s="4567"/>
      <c r="AR80" s="4518"/>
      <c r="AS80" s="4526"/>
      <c r="AT80" s="4543"/>
      <c r="AU80" s="4567"/>
      <c r="AV80" s="4543"/>
      <c r="AW80" s="4567"/>
      <c r="AX80" s="4543"/>
      <c r="AY80" s="4567"/>
      <c r="AZ80" s="4543"/>
      <c r="BA80" s="4567"/>
      <c r="BB80" s="4543"/>
      <c r="BC80" s="4567"/>
      <c r="BD80" s="4543"/>
      <c r="BE80" s="4567"/>
      <c r="BF80" s="4543"/>
      <c r="BG80" s="4567"/>
      <c r="BH80" s="4543"/>
      <c r="BI80" s="4543"/>
      <c r="BJ80" s="4543"/>
      <c r="BK80" s="3185"/>
      <c r="BL80" s="4543"/>
      <c r="BM80" s="4543"/>
      <c r="BN80" s="4554"/>
      <c r="BO80" s="4554"/>
      <c r="BP80" s="4554"/>
      <c r="BQ80" s="4554"/>
      <c r="BR80" s="4557"/>
    </row>
    <row r="81" spans="1:70" s="978" customFormat="1" ht="72" customHeight="1" x14ac:dyDescent="0.2">
      <c r="A81" s="995"/>
      <c r="B81" s="996"/>
      <c r="C81" s="997"/>
      <c r="D81" s="996"/>
      <c r="E81" s="996"/>
      <c r="F81" s="997"/>
      <c r="G81" s="1001"/>
      <c r="H81" s="996"/>
      <c r="I81" s="997"/>
      <c r="J81" s="4518"/>
      <c r="K81" s="4521"/>
      <c r="L81" s="4524"/>
      <c r="M81" s="4524"/>
      <c r="N81" s="4526"/>
      <c r="O81" s="4524"/>
      <c r="P81" s="4528"/>
      <c r="Q81" s="4521"/>
      <c r="R81" s="4531"/>
      <c r="S81" s="4534"/>
      <c r="T81" s="4521"/>
      <c r="U81" s="4521"/>
      <c r="V81" s="980" t="s">
        <v>842</v>
      </c>
      <c r="W81" s="2300">
        <v>4000000</v>
      </c>
      <c r="X81" s="2596">
        <v>2798000</v>
      </c>
      <c r="Y81" s="2596">
        <v>1678800</v>
      </c>
      <c r="Z81" s="977">
        <v>61</v>
      </c>
      <c r="AA81" s="4524"/>
      <c r="AB81" s="4524"/>
      <c r="AC81" s="4526"/>
      <c r="AD81" s="4524"/>
      <c r="AE81" s="4526"/>
      <c r="AF81" s="4543"/>
      <c r="AG81" s="4567"/>
      <c r="AH81" s="4543"/>
      <c r="AI81" s="4567"/>
      <c r="AJ81" s="4543"/>
      <c r="AK81" s="4567"/>
      <c r="AL81" s="4543"/>
      <c r="AM81" s="4567"/>
      <c r="AN81" s="4543"/>
      <c r="AO81" s="4567"/>
      <c r="AP81" s="4543"/>
      <c r="AQ81" s="4567"/>
      <c r="AR81" s="4518"/>
      <c r="AS81" s="4526"/>
      <c r="AT81" s="4543"/>
      <c r="AU81" s="4567"/>
      <c r="AV81" s="4543"/>
      <c r="AW81" s="4567"/>
      <c r="AX81" s="4543"/>
      <c r="AY81" s="4567"/>
      <c r="AZ81" s="4543"/>
      <c r="BA81" s="4567"/>
      <c r="BB81" s="4543"/>
      <c r="BC81" s="4567"/>
      <c r="BD81" s="4543"/>
      <c r="BE81" s="4567"/>
      <c r="BF81" s="4543"/>
      <c r="BG81" s="4567"/>
      <c r="BH81" s="4543"/>
      <c r="BI81" s="4543"/>
      <c r="BJ81" s="4543"/>
      <c r="BK81" s="3185"/>
      <c r="BL81" s="4543"/>
      <c r="BM81" s="4543"/>
      <c r="BN81" s="4554"/>
      <c r="BO81" s="4554"/>
      <c r="BP81" s="4554"/>
      <c r="BQ81" s="4554"/>
      <c r="BR81" s="4557"/>
    </row>
    <row r="82" spans="1:70" s="978" customFormat="1" ht="70.5" customHeight="1" x14ac:dyDescent="0.2">
      <c r="A82" s="995"/>
      <c r="B82" s="996"/>
      <c r="C82" s="997"/>
      <c r="D82" s="996"/>
      <c r="E82" s="996"/>
      <c r="F82" s="997"/>
      <c r="G82" s="1001"/>
      <c r="H82" s="996"/>
      <c r="I82" s="997"/>
      <c r="J82" s="4518"/>
      <c r="K82" s="4521"/>
      <c r="L82" s="4524"/>
      <c r="M82" s="4524"/>
      <c r="N82" s="4526"/>
      <c r="O82" s="4524"/>
      <c r="P82" s="4528"/>
      <c r="Q82" s="4521"/>
      <c r="R82" s="4531"/>
      <c r="S82" s="4534"/>
      <c r="T82" s="4521"/>
      <c r="U82" s="4521"/>
      <c r="V82" s="980" t="s">
        <v>843</v>
      </c>
      <c r="W82" s="2300">
        <v>6000000</v>
      </c>
      <c r="X82" s="2596">
        <v>2798000</v>
      </c>
      <c r="Y82" s="2596">
        <v>1678800</v>
      </c>
      <c r="Z82" s="977">
        <v>61</v>
      </c>
      <c r="AA82" s="4524"/>
      <c r="AB82" s="4524"/>
      <c r="AC82" s="4526"/>
      <c r="AD82" s="4524"/>
      <c r="AE82" s="4526"/>
      <c r="AF82" s="4543"/>
      <c r="AG82" s="4567"/>
      <c r="AH82" s="4543"/>
      <c r="AI82" s="4567"/>
      <c r="AJ82" s="4543"/>
      <c r="AK82" s="4567"/>
      <c r="AL82" s="4543"/>
      <c r="AM82" s="4567"/>
      <c r="AN82" s="4543"/>
      <c r="AO82" s="4567"/>
      <c r="AP82" s="4543"/>
      <c r="AQ82" s="4567"/>
      <c r="AR82" s="4518"/>
      <c r="AS82" s="4526"/>
      <c r="AT82" s="4543"/>
      <c r="AU82" s="4567"/>
      <c r="AV82" s="4543"/>
      <c r="AW82" s="4567"/>
      <c r="AX82" s="4543"/>
      <c r="AY82" s="4567"/>
      <c r="AZ82" s="4543"/>
      <c r="BA82" s="4567"/>
      <c r="BB82" s="4543"/>
      <c r="BC82" s="4567"/>
      <c r="BD82" s="4543"/>
      <c r="BE82" s="4567"/>
      <c r="BF82" s="4543"/>
      <c r="BG82" s="4567"/>
      <c r="BH82" s="4543"/>
      <c r="BI82" s="4543"/>
      <c r="BJ82" s="4543"/>
      <c r="BK82" s="3185"/>
      <c r="BL82" s="4543"/>
      <c r="BM82" s="4543"/>
      <c r="BN82" s="4554"/>
      <c r="BO82" s="4554"/>
      <c r="BP82" s="4554"/>
      <c r="BQ82" s="4554"/>
      <c r="BR82" s="4557"/>
    </row>
    <row r="83" spans="1:70" s="978" customFormat="1" ht="67.5" customHeight="1" x14ac:dyDescent="0.2">
      <c r="A83" s="995"/>
      <c r="B83" s="996"/>
      <c r="C83" s="997"/>
      <c r="D83" s="996"/>
      <c r="E83" s="996"/>
      <c r="F83" s="997"/>
      <c r="G83" s="1002"/>
      <c r="H83" s="1003"/>
      <c r="I83" s="1004"/>
      <c r="J83" s="4519"/>
      <c r="K83" s="4522"/>
      <c r="L83" s="4525"/>
      <c r="M83" s="4525"/>
      <c r="N83" s="4526"/>
      <c r="O83" s="4525"/>
      <c r="P83" s="4529"/>
      <c r="Q83" s="4522"/>
      <c r="R83" s="4532"/>
      <c r="S83" s="4535"/>
      <c r="T83" s="4522"/>
      <c r="U83" s="4522"/>
      <c r="V83" s="980" t="s">
        <v>844</v>
      </c>
      <c r="W83" s="2300">
        <v>4000000</v>
      </c>
      <c r="X83" s="2596">
        <v>2798000</v>
      </c>
      <c r="Y83" s="2596">
        <v>1678800</v>
      </c>
      <c r="Z83" s="977">
        <v>61</v>
      </c>
      <c r="AA83" s="4525"/>
      <c r="AB83" s="4525"/>
      <c r="AC83" s="4526"/>
      <c r="AD83" s="4525"/>
      <c r="AE83" s="4526"/>
      <c r="AF83" s="4544"/>
      <c r="AG83" s="4567"/>
      <c r="AH83" s="4544"/>
      <c r="AI83" s="4567"/>
      <c r="AJ83" s="4544"/>
      <c r="AK83" s="4567"/>
      <c r="AL83" s="4544"/>
      <c r="AM83" s="4567"/>
      <c r="AN83" s="4544"/>
      <c r="AO83" s="4567"/>
      <c r="AP83" s="4544"/>
      <c r="AQ83" s="4567"/>
      <c r="AR83" s="4519"/>
      <c r="AS83" s="4526"/>
      <c r="AT83" s="4544"/>
      <c r="AU83" s="4567"/>
      <c r="AV83" s="4544"/>
      <c r="AW83" s="4567"/>
      <c r="AX83" s="4544"/>
      <c r="AY83" s="4567"/>
      <c r="AZ83" s="4544"/>
      <c r="BA83" s="4567"/>
      <c r="BB83" s="4544"/>
      <c r="BC83" s="4567"/>
      <c r="BD83" s="4544"/>
      <c r="BE83" s="4567"/>
      <c r="BF83" s="4544"/>
      <c r="BG83" s="4567"/>
      <c r="BH83" s="4544"/>
      <c r="BI83" s="4544"/>
      <c r="BJ83" s="4544"/>
      <c r="BK83" s="3186"/>
      <c r="BL83" s="4544"/>
      <c r="BM83" s="4544"/>
      <c r="BN83" s="4555"/>
      <c r="BO83" s="4555"/>
      <c r="BP83" s="4555"/>
      <c r="BQ83" s="4555"/>
      <c r="BR83" s="4558"/>
    </row>
    <row r="84" spans="1:70" ht="33" customHeight="1" x14ac:dyDescent="0.2">
      <c r="A84" s="957"/>
      <c r="B84" s="958"/>
      <c r="C84" s="959"/>
      <c r="D84" s="958"/>
      <c r="E84" s="958"/>
      <c r="F84" s="959"/>
      <c r="G84" s="991">
        <v>38</v>
      </c>
      <c r="H84" s="963" t="s">
        <v>845</v>
      </c>
      <c r="I84" s="963"/>
      <c r="J84" s="963"/>
      <c r="K84" s="964"/>
      <c r="L84" s="963"/>
      <c r="M84" s="963"/>
      <c r="N84" s="963"/>
      <c r="O84" s="965"/>
      <c r="P84" s="992"/>
      <c r="Q84" s="964"/>
      <c r="R84" s="963"/>
      <c r="S84" s="993"/>
      <c r="T84" s="963"/>
      <c r="U84" s="964"/>
      <c r="V84" s="964"/>
      <c r="W84" s="2607"/>
      <c r="X84" s="2607"/>
      <c r="Y84" s="2607"/>
      <c r="Z84" s="994"/>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5"/>
      <c r="BA84" s="965"/>
      <c r="BB84" s="965"/>
      <c r="BC84" s="965"/>
      <c r="BD84" s="965"/>
      <c r="BE84" s="965"/>
      <c r="BF84" s="965"/>
      <c r="BG84" s="965"/>
      <c r="BH84" s="965"/>
      <c r="BI84" s="965"/>
      <c r="BJ84" s="965"/>
      <c r="BK84" s="965"/>
      <c r="BL84" s="965"/>
      <c r="BM84" s="965"/>
      <c r="BN84" s="963"/>
      <c r="BO84" s="963"/>
      <c r="BP84" s="963"/>
      <c r="BQ84" s="963"/>
      <c r="BR84" s="970"/>
    </row>
    <row r="85" spans="1:70" s="978" customFormat="1" ht="34.5" customHeight="1" x14ac:dyDescent="0.2">
      <c r="A85" s="971"/>
      <c r="B85" s="972"/>
      <c r="C85" s="973"/>
      <c r="D85" s="972"/>
      <c r="E85" s="972"/>
      <c r="F85" s="973"/>
      <c r="G85" s="974"/>
      <c r="H85" s="975"/>
      <c r="I85" s="976"/>
      <c r="J85" s="4517">
        <v>136</v>
      </c>
      <c r="K85" s="4520" t="s">
        <v>846</v>
      </c>
      <c r="L85" s="4523" t="s">
        <v>759</v>
      </c>
      <c r="M85" s="4523">
        <v>12</v>
      </c>
      <c r="N85" s="4526">
        <v>2</v>
      </c>
      <c r="O85" s="4523" t="s">
        <v>847</v>
      </c>
      <c r="P85" s="4527" t="s">
        <v>848</v>
      </c>
      <c r="Q85" s="4520" t="s">
        <v>849</v>
      </c>
      <c r="R85" s="4530">
        <f>SUM(W85:W95)/S85</f>
        <v>0.39130434782608697</v>
      </c>
      <c r="S85" s="4533">
        <f>SUM(W85:W105)</f>
        <v>138000000</v>
      </c>
      <c r="T85" s="4520" t="s">
        <v>850</v>
      </c>
      <c r="U85" s="4520" t="s">
        <v>851</v>
      </c>
      <c r="V85" s="4520" t="s">
        <v>852</v>
      </c>
      <c r="W85" s="2300">
        <v>3000000</v>
      </c>
      <c r="X85" s="2608">
        <v>1388800</v>
      </c>
      <c r="Y85" s="2608">
        <v>0</v>
      </c>
      <c r="Z85" s="977">
        <v>61</v>
      </c>
      <c r="AA85" s="4523" t="s">
        <v>817</v>
      </c>
      <c r="AB85" s="4523">
        <v>292684</v>
      </c>
      <c r="AC85" s="4526">
        <v>146342</v>
      </c>
      <c r="AD85" s="4523">
        <v>282326</v>
      </c>
      <c r="AE85" s="4526">
        <v>141163</v>
      </c>
      <c r="AF85" s="4542">
        <v>135912</v>
      </c>
      <c r="AG85" s="4567">
        <v>67956</v>
      </c>
      <c r="AH85" s="4542">
        <v>45122</v>
      </c>
      <c r="AI85" s="4567">
        <v>22561</v>
      </c>
      <c r="AJ85" s="4569">
        <f>SUM(AJ56)</f>
        <v>307101</v>
      </c>
      <c r="AK85" s="4572">
        <v>153550.5</v>
      </c>
      <c r="AL85" s="4542">
        <f>SUM(AL56)</f>
        <v>86875</v>
      </c>
      <c r="AM85" s="4567">
        <v>43438</v>
      </c>
      <c r="AN85" s="4542">
        <f>SUM(AN56)</f>
        <v>2145</v>
      </c>
      <c r="AO85" s="4567">
        <v>1073</v>
      </c>
      <c r="AP85" s="4542">
        <v>12718</v>
      </c>
      <c r="AQ85" s="4567">
        <v>6359</v>
      </c>
      <c r="AR85" s="4542">
        <v>26</v>
      </c>
      <c r="AS85" s="4567">
        <v>13</v>
      </c>
      <c r="AT85" s="4542">
        <v>37</v>
      </c>
      <c r="AU85" s="4567">
        <v>18.5</v>
      </c>
      <c r="AV85" s="4542" t="s">
        <v>767</v>
      </c>
      <c r="AW85" s="4567" t="s">
        <v>767</v>
      </c>
      <c r="AX85" s="4569" t="s">
        <v>767</v>
      </c>
      <c r="AY85" s="4572" t="s">
        <v>767</v>
      </c>
      <c r="AZ85" s="4542">
        <v>53164</v>
      </c>
      <c r="BA85" s="4572">
        <v>26582</v>
      </c>
      <c r="BB85" s="4542">
        <v>16982</v>
      </c>
      <c r="BC85" s="4567">
        <v>8491</v>
      </c>
      <c r="BD85" s="4569">
        <v>60013</v>
      </c>
      <c r="BE85" s="4572">
        <v>30006.5</v>
      </c>
      <c r="BF85" s="4542">
        <v>575010</v>
      </c>
      <c r="BG85" s="4572">
        <v>287505</v>
      </c>
      <c r="BH85" s="4542">
        <v>10</v>
      </c>
      <c r="BI85" s="4575">
        <f>SUM(X85:X105)</f>
        <v>97950000</v>
      </c>
      <c r="BJ85" s="4575">
        <f>SUM(Y85:Y105)</f>
        <v>39172000</v>
      </c>
      <c r="BK85" s="3184">
        <f>BJ85/BI85</f>
        <v>0.39991832567636548</v>
      </c>
      <c r="BL85" s="4542" t="s">
        <v>768</v>
      </c>
      <c r="BM85" s="4542" t="s">
        <v>803</v>
      </c>
      <c r="BN85" s="4553">
        <v>43467</v>
      </c>
      <c r="BO85" s="4553">
        <v>43830</v>
      </c>
      <c r="BP85" s="4553">
        <v>43830</v>
      </c>
      <c r="BQ85" s="4553">
        <v>43830</v>
      </c>
      <c r="BR85" s="4556" t="s">
        <v>770</v>
      </c>
    </row>
    <row r="86" spans="1:70" s="978" customFormat="1" ht="39" customHeight="1" x14ac:dyDescent="0.2">
      <c r="A86" s="971"/>
      <c r="B86" s="972"/>
      <c r="C86" s="973"/>
      <c r="D86" s="972"/>
      <c r="E86" s="972"/>
      <c r="F86" s="973"/>
      <c r="G86" s="979"/>
      <c r="H86" s="972"/>
      <c r="I86" s="973"/>
      <c r="J86" s="4518"/>
      <c r="K86" s="4521"/>
      <c r="L86" s="4524"/>
      <c r="M86" s="4524"/>
      <c r="N86" s="4526"/>
      <c r="O86" s="4524"/>
      <c r="P86" s="4528"/>
      <c r="Q86" s="4521"/>
      <c r="R86" s="4531"/>
      <c r="S86" s="4534"/>
      <c r="T86" s="4521"/>
      <c r="U86" s="4521"/>
      <c r="V86" s="4522"/>
      <c r="W86" s="2608">
        <v>13000000</v>
      </c>
      <c r="X86" s="2608">
        <v>7750000</v>
      </c>
      <c r="Y86" s="2608">
        <v>0</v>
      </c>
      <c r="Z86" s="977">
        <v>98</v>
      </c>
      <c r="AA86" s="4524"/>
      <c r="AB86" s="4524"/>
      <c r="AC86" s="4526"/>
      <c r="AD86" s="4524"/>
      <c r="AE86" s="4526"/>
      <c r="AF86" s="4543"/>
      <c r="AG86" s="4567"/>
      <c r="AH86" s="4543"/>
      <c r="AI86" s="4567"/>
      <c r="AJ86" s="4570"/>
      <c r="AK86" s="4572"/>
      <c r="AL86" s="4543"/>
      <c r="AM86" s="4567"/>
      <c r="AN86" s="4543"/>
      <c r="AO86" s="4567"/>
      <c r="AP86" s="4543"/>
      <c r="AQ86" s="4567"/>
      <c r="AR86" s="4543"/>
      <c r="AS86" s="4567"/>
      <c r="AT86" s="4543"/>
      <c r="AU86" s="4567"/>
      <c r="AV86" s="4543"/>
      <c r="AW86" s="4567"/>
      <c r="AX86" s="4570"/>
      <c r="AY86" s="4572"/>
      <c r="AZ86" s="4543"/>
      <c r="BA86" s="4572"/>
      <c r="BB86" s="4543"/>
      <c r="BC86" s="4567"/>
      <c r="BD86" s="4570"/>
      <c r="BE86" s="4572"/>
      <c r="BF86" s="4543"/>
      <c r="BG86" s="4572"/>
      <c r="BH86" s="4543"/>
      <c r="BI86" s="4543"/>
      <c r="BJ86" s="4543"/>
      <c r="BK86" s="3185"/>
      <c r="BL86" s="4543"/>
      <c r="BM86" s="4543"/>
      <c r="BN86" s="4554"/>
      <c r="BO86" s="4554"/>
      <c r="BP86" s="4554"/>
      <c r="BQ86" s="4554"/>
      <c r="BR86" s="4557"/>
    </row>
    <row r="87" spans="1:70" s="978" customFormat="1" ht="32.25" customHeight="1" x14ac:dyDescent="0.2">
      <c r="A87" s="971"/>
      <c r="B87" s="972"/>
      <c r="C87" s="973"/>
      <c r="D87" s="972"/>
      <c r="E87" s="972"/>
      <c r="F87" s="973"/>
      <c r="G87" s="979"/>
      <c r="H87" s="972"/>
      <c r="I87" s="973"/>
      <c r="J87" s="4518"/>
      <c r="K87" s="4521"/>
      <c r="L87" s="4524"/>
      <c r="M87" s="4524"/>
      <c r="N87" s="4526"/>
      <c r="O87" s="4524"/>
      <c r="P87" s="4528"/>
      <c r="Q87" s="4521"/>
      <c r="R87" s="4531"/>
      <c r="S87" s="4534"/>
      <c r="T87" s="4521"/>
      <c r="U87" s="4521"/>
      <c r="V87" s="4573" t="s">
        <v>853</v>
      </c>
      <c r="W87" s="2608">
        <v>3000000</v>
      </c>
      <c r="X87" s="2608">
        <v>1388800</v>
      </c>
      <c r="Y87" s="2608">
        <v>0</v>
      </c>
      <c r="Z87" s="977">
        <v>61</v>
      </c>
      <c r="AA87" s="4524"/>
      <c r="AB87" s="4524"/>
      <c r="AC87" s="4526"/>
      <c r="AD87" s="4524"/>
      <c r="AE87" s="4526"/>
      <c r="AF87" s="4543"/>
      <c r="AG87" s="4567"/>
      <c r="AH87" s="4543"/>
      <c r="AI87" s="4567"/>
      <c r="AJ87" s="4570"/>
      <c r="AK87" s="4572"/>
      <c r="AL87" s="4543"/>
      <c r="AM87" s="4567"/>
      <c r="AN87" s="4543"/>
      <c r="AO87" s="4567"/>
      <c r="AP87" s="4543"/>
      <c r="AQ87" s="4567"/>
      <c r="AR87" s="4543"/>
      <c r="AS87" s="4567"/>
      <c r="AT87" s="4543"/>
      <c r="AU87" s="4567"/>
      <c r="AV87" s="4543"/>
      <c r="AW87" s="4567"/>
      <c r="AX87" s="4570"/>
      <c r="AY87" s="4572"/>
      <c r="AZ87" s="4543"/>
      <c r="BA87" s="4572"/>
      <c r="BB87" s="4543"/>
      <c r="BC87" s="4567"/>
      <c r="BD87" s="4570"/>
      <c r="BE87" s="4572"/>
      <c r="BF87" s="4543"/>
      <c r="BG87" s="4572"/>
      <c r="BH87" s="4543"/>
      <c r="BI87" s="4543"/>
      <c r="BJ87" s="4543"/>
      <c r="BK87" s="3185"/>
      <c r="BL87" s="4543"/>
      <c r="BM87" s="4543"/>
      <c r="BN87" s="4554"/>
      <c r="BO87" s="4554"/>
      <c r="BP87" s="4554"/>
      <c r="BQ87" s="4554"/>
      <c r="BR87" s="4557"/>
    </row>
    <row r="88" spans="1:70" s="978" customFormat="1" ht="44.25" customHeight="1" x14ac:dyDescent="0.2">
      <c r="A88" s="971"/>
      <c r="B88" s="972"/>
      <c r="C88" s="973"/>
      <c r="D88" s="972"/>
      <c r="E88" s="972"/>
      <c r="F88" s="973"/>
      <c r="G88" s="979"/>
      <c r="H88" s="972"/>
      <c r="I88" s="973"/>
      <c r="J88" s="4518"/>
      <c r="K88" s="4521"/>
      <c r="L88" s="4524"/>
      <c r="M88" s="4524"/>
      <c r="N88" s="4526"/>
      <c r="O88" s="4524"/>
      <c r="P88" s="4528"/>
      <c r="Q88" s="4521"/>
      <c r="R88" s="4531"/>
      <c r="S88" s="4534"/>
      <c r="T88" s="4521"/>
      <c r="U88" s="4521"/>
      <c r="V88" s="4574"/>
      <c r="W88" s="2608">
        <v>13000000</v>
      </c>
      <c r="X88" s="2608">
        <v>7750000</v>
      </c>
      <c r="Y88" s="2608">
        <v>0</v>
      </c>
      <c r="Z88" s="977">
        <v>98</v>
      </c>
      <c r="AA88" s="4524"/>
      <c r="AB88" s="4524"/>
      <c r="AC88" s="4526"/>
      <c r="AD88" s="4524"/>
      <c r="AE88" s="4526"/>
      <c r="AF88" s="4543"/>
      <c r="AG88" s="4567"/>
      <c r="AH88" s="4543"/>
      <c r="AI88" s="4567"/>
      <c r="AJ88" s="4570"/>
      <c r="AK88" s="4572"/>
      <c r="AL88" s="4543"/>
      <c r="AM88" s="4567"/>
      <c r="AN88" s="4543"/>
      <c r="AO88" s="4567"/>
      <c r="AP88" s="4543"/>
      <c r="AQ88" s="4567"/>
      <c r="AR88" s="4543"/>
      <c r="AS88" s="4567"/>
      <c r="AT88" s="4543"/>
      <c r="AU88" s="4567"/>
      <c r="AV88" s="4543"/>
      <c r="AW88" s="4567"/>
      <c r="AX88" s="4570"/>
      <c r="AY88" s="4572"/>
      <c r="AZ88" s="4543"/>
      <c r="BA88" s="4572"/>
      <c r="BB88" s="4543"/>
      <c r="BC88" s="4567"/>
      <c r="BD88" s="4570"/>
      <c r="BE88" s="4572"/>
      <c r="BF88" s="4543"/>
      <c r="BG88" s="4572"/>
      <c r="BH88" s="4543"/>
      <c r="BI88" s="4543"/>
      <c r="BJ88" s="4543"/>
      <c r="BK88" s="3185"/>
      <c r="BL88" s="4543"/>
      <c r="BM88" s="4543"/>
      <c r="BN88" s="4554"/>
      <c r="BO88" s="4554"/>
      <c r="BP88" s="4554"/>
      <c r="BQ88" s="4554"/>
      <c r="BR88" s="4557"/>
    </row>
    <row r="89" spans="1:70" s="978" customFormat="1" ht="71.25" x14ac:dyDescent="0.2">
      <c r="A89" s="971"/>
      <c r="B89" s="972"/>
      <c r="C89" s="973"/>
      <c r="D89" s="972"/>
      <c r="E89" s="972"/>
      <c r="F89" s="973"/>
      <c r="G89" s="979"/>
      <c r="H89" s="972"/>
      <c r="I89" s="973"/>
      <c r="J89" s="4518"/>
      <c r="K89" s="4521"/>
      <c r="L89" s="4524"/>
      <c r="M89" s="4524"/>
      <c r="N89" s="4526"/>
      <c r="O89" s="4524"/>
      <c r="P89" s="4528"/>
      <c r="Q89" s="4521"/>
      <c r="R89" s="4531"/>
      <c r="S89" s="4534"/>
      <c r="T89" s="4521"/>
      <c r="U89" s="4521"/>
      <c r="V89" s="1005" t="s">
        <v>854</v>
      </c>
      <c r="W89" s="2608">
        <v>3000000</v>
      </c>
      <c r="X89" s="2608">
        <v>1388800</v>
      </c>
      <c r="Y89" s="2608">
        <v>0</v>
      </c>
      <c r="Z89" s="977">
        <v>61</v>
      </c>
      <c r="AA89" s="4524"/>
      <c r="AB89" s="4524"/>
      <c r="AC89" s="4526"/>
      <c r="AD89" s="4524"/>
      <c r="AE89" s="4526"/>
      <c r="AF89" s="4543"/>
      <c r="AG89" s="4567"/>
      <c r="AH89" s="4543"/>
      <c r="AI89" s="4567"/>
      <c r="AJ89" s="4570"/>
      <c r="AK89" s="4572"/>
      <c r="AL89" s="4543"/>
      <c r="AM89" s="4567"/>
      <c r="AN89" s="4543"/>
      <c r="AO89" s="4567"/>
      <c r="AP89" s="4543"/>
      <c r="AQ89" s="4567"/>
      <c r="AR89" s="4543"/>
      <c r="AS89" s="4567"/>
      <c r="AT89" s="4543"/>
      <c r="AU89" s="4567"/>
      <c r="AV89" s="4543"/>
      <c r="AW89" s="4567"/>
      <c r="AX89" s="4570"/>
      <c r="AY89" s="4572"/>
      <c r="AZ89" s="4543"/>
      <c r="BA89" s="4572"/>
      <c r="BB89" s="4543"/>
      <c r="BC89" s="4567"/>
      <c r="BD89" s="4570"/>
      <c r="BE89" s="4572"/>
      <c r="BF89" s="4543"/>
      <c r="BG89" s="4572"/>
      <c r="BH89" s="4543"/>
      <c r="BI89" s="4543"/>
      <c r="BJ89" s="4543"/>
      <c r="BK89" s="3185"/>
      <c r="BL89" s="4543"/>
      <c r="BM89" s="4543"/>
      <c r="BN89" s="4554"/>
      <c r="BO89" s="4554"/>
      <c r="BP89" s="4554"/>
      <c r="BQ89" s="4554"/>
      <c r="BR89" s="4557"/>
    </row>
    <row r="90" spans="1:70" s="978" customFormat="1" ht="57" x14ac:dyDescent="0.2">
      <c r="A90" s="971"/>
      <c r="B90" s="972"/>
      <c r="C90" s="973"/>
      <c r="D90" s="972"/>
      <c r="E90" s="972"/>
      <c r="F90" s="973"/>
      <c r="G90" s="979"/>
      <c r="H90" s="972"/>
      <c r="I90" s="973"/>
      <c r="J90" s="4518"/>
      <c r="K90" s="4521"/>
      <c r="L90" s="4524"/>
      <c r="M90" s="4524"/>
      <c r="N90" s="4526"/>
      <c r="O90" s="4524"/>
      <c r="P90" s="4528"/>
      <c r="Q90" s="4521"/>
      <c r="R90" s="4531"/>
      <c r="S90" s="4534"/>
      <c r="T90" s="4521"/>
      <c r="U90" s="4521"/>
      <c r="V90" s="1005" t="s">
        <v>855</v>
      </c>
      <c r="W90" s="2300">
        <v>3000000</v>
      </c>
      <c r="X90" s="2608">
        <v>1388800</v>
      </c>
      <c r="Y90" s="2608">
        <v>0</v>
      </c>
      <c r="Z90" s="977">
        <v>61</v>
      </c>
      <c r="AA90" s="4524"/>
      <c r="AB90" s="4524"/>
      <c r="AC90" s="4526"/>
      <c r="AD90" s="4524"/>
      <c r="AE90" s="4526"/>
      <c r="AF90" s="4543"/>
      <c r="AG90" s="4567"/>
      <c r="AH90" s="4543"/>
      <c r="AI90" s="4567"/>
      <c r="AJ90" s="4570"/>
      <c r="AK90" s="4572"/>
      <c r="AL90" s="4543"/>
      <c r="AM90" s="4567"/>
      <c r="AN90" s="4543"/>
      <c r="AO90" s="4567"/>
      <c r="AP90" s="4543"/>
      <c r="AQ90" s="4567"/>
      <c r="AR90" s="4543"/>
      <c r="AS90" s="4567"/>
      <c r="AT90" s="4543"/>
      <c r="AU90" s="4567"/>
      <c r="AV90" s="4543"/>
      <c r="AW90" s="4567"/>
      <c r="AX90" s="4570"/>
      <c r="AY90" s="4572"/>
      <c r="AZ90" s="4543"/>
      <c r="BA90" s="4572"/>
      <c r="BB90" s="4543"/>
      <c r="BC90" s="4567"/>
      <c r="BD90" s="4570"/>
      <c r="BE90" s="4572"/>
      <c r="BF90" s="4543"/>
      <c r="BG90" s="4572"/>
      <c r="BH90" s="4543"/>
      <c r="BI90" s="4543"/>
      <c r="BJ90" s="4543"/>
      <c r="BK90" s="3185"/>
      <c r="BL90" s="4543"/>
      <c r="BM90" s="4543"/>
      <c r="BN90" s="4554"/>
      <c r="BO90" s="4554"/>
      <c r="BP90" s="4554"/>
      <c r="BQ90" s="4554"/>
      <c r="BR90" s="4557"/>
    </row>
    <row r="91" spans="1:70" s="978" customFormat="1" ht="110.25" customHeight="1" x14ac:dyDescent="0.2">
      <c r="A91" s="971"/>
      <c r="B91" s="972"/>
      <c r="C91" s="973"/>
      <c r="D91" s="972"/>
      <c r="E91" s="972"/>
      <c r="F91" s="973"/>
      <c r="G91" s="979"/>
      <c r="H91" s="972"/>
      <c r="I91" s="973"/>
      <c r="J91" s="4518"/>
      <c r="K91" s="4521"/>
      <c r="L91" s="4524"/>
      <c r="M91" s="4524"/>
      <c r="N91" s="4526"/>
      <c r="O91" s="4524"/>
      <c r="P91" s="4528"/>
      <c r="Q91" s="4521"/>
      <c r="R91" s="4531"/>
      <c r="S91" s="4534"/>
      <c r="T91" s="4521"/>
      <c r="U91" s="4521"/>
      <c r="V91" s="1005" t="s">
        <v>856</v>
      </c>
      <c r="W91" s="2300">
        <v>3000000</v>
      </c>
      <c r="X91" s="2608">
        <v>1388800</v>
      </c>
      <c r="Y91" s="2608">
        <v>0</v>
      </c>
      <c r="Z91" s="977">
        <v>61</v>
      </c>
      <c r="AA91" s="4524"/>
      <c r="AB91" s="4524"/>
      <c r="AC91" s="4526"/>
      <c r="AD91" s="4524"/>
      <c r="AE91" s="4526"/>
      <c r="AF91" s="4543"/>
      <c r="AG91" s="4567"/>
      <c r="AH91" s="4543"/>
      <c r="AI91" s="4567"/>
      <c r="AJ91" s="4570"/>
      <c r="AK91" s="4572"/>
      <c r="AL91" s="4543"/>
      <c r="AM91" s="4567"/>
      <c r="AN91" s="4543"/>
      <c r="AO91" s="4567"/>
      <c r="AP91" s="4543"/>
      <c r="AQ91" s="4567"/>
      <c r="AR91" s="4543"/>
      <c r="AS91" s="4567"/>
      <c r="AT91" s="4543"/>
      <c r="AU91" s="4567"/>
      <c r="AV91" s="4543"/>
      <c r="AW91" s="4567"/>
      <c r="AX91" s="4570"/>
      <c r="AY91" s="4572"/>
      <c r="AZ91" s="4543"/>
      <c r="BA91" s="4572"/>
      <c r="BB91" s="4543"/>
      <c r="BC91" s="4567"/>
      <c r="BD91" s="4570"/>
      <c r="BE91" s="4572"/>
      <c r="BF91" s="4543"/>
      <c r="BG91" s="4572"/>
      <c r="BH91" s="4543"/>
      <c r="BI91" s="4543"/>
      <c r="BJ91" s="4543"/>
      <c r="BK91" s="3185"/>
      <c r="BL91" s="4543"/>
      <c r="BM91" s="4543"/>
      <c r="BN91" s="4554"/>
      <c r="BO91" s="4554"/>
      <c r="BP91" s="4554"/>
      <c r="BQ91" s="4554"/>
      <c r="BR91" s="4557"/>
    </row>
    <row r="92" spans="1:70" s="978" customFormat="1" ht="123" customHeight="1" x14ac:dyDescent="0.2">
      <c r="A92" s="971"/>
      <c r="B92" s="972"/>
      <c r="C92" s="973"/>
      <c r="D92" s="972"/>
      <c r="E92" s="972"/>
      <c r="F92" s="973"/>
      <c r="G92" s="979"/>
      <c r="H92" s="972"/>
      <c r="I92" s="973"/>
      <c r="J92" s="4518"/>
      <c r="K92" s="4521"/>
      <c r="L92" s="4524"/>
      <c r="M92" s="4524"/>
      <c r="N92" s="4526"/>
      <c r="O92" s="4524"/>
      <c r="P92" s="4528"/>
      <c r="Q92" s="4521"/>
      <c r="R92" s="4531"/>
      <c r="S92" s="4534"/>
      <c r="T92" s="4521"/>
      <c r="U92" s="4521"/>
      <c r="V92" s="1005" t="s">
        <v>857</v>
      </c>
      <c r="W92" s="2300">
        <v>3000000</v>
      </c>
      <c r="X92" s="2608">
        <v>1389000</v>
      </c>
      <c r="Y92" s="2608">
        <v>0</v>
      </c>
      <c r="Z92" s="977">
        <v>61</v>
      </c>
      <c r="AA92" s="4524"/>
      <c r="AB92" s="4524"/>
      <c r="AC92" s="4526"/>
      <c r="AD92" s="4524"/>
      <c r="AE92" s="4526"/>
      <c r="AF92" s="4543"/>
      <c r="AG92" s="4567"/>
      <c r="AH92" s="4543"/>
      <c r="AI92" s="4567"/>
      <c r="AJ92" s="4570"/>
      <c r="AK92" s="4572"/>
      <c r="AL92" s="4543"/>
      <c r="AM92" s="4567"/>
      <c r="AN92" s="4543"/>
      <c r="AO92" s="4567"/>
      <c r="AP92" s="4543"/>
      <c r="AQ92" s="4567"/>
      <c r="AR92" s="4543"/>
      <c r="AS92" s="4567"/>
      <c r="AT92" s="4543"/>
      <c r="AU92" s="4567"/>
      <c r="AV92" s="4543"/>
      <c r="AW92" s="4567"/>
      <c r="AX92" s="4570"/>
      <c r="AY92" s="4572"/>
      <c r="AZ92" s="4543"/>
      <c r="BA92" s="4572"/>
      <c r="BB92" s="4543"/>
      <c r="BC92" s="4567"/>
      <c r="BD92" s="4570"/>
      <c r="BE92" s="4572"/>
      <c r="BF92" s="4543"/>
      <c r="BG92" s="4572"/>
      <c r="BH92" s="4543"/>
      <c r="BI92" s="4543"/>
      <c r="BJ92" s="4543"/>
      <c r="BK92" s="3185"/>
      <c r="BL92" s="4543"/>
      <c r="BM92" s="4543"/>
      <c r="BN92" s="4554"/>
      <c r="BO92" s="4554"/>
      <c r="BP92" s="4554"/>
      <c r="BQ92" s="4554"/>
      <c r="BR92" s="4557"/>
    </row>
    <row r="93" spans="1:70" s="978" customFormat="1" ht="71.25" x14ac:dyDescent="0.2">
      <c r="A93" s="971"/>
      <c r="B93" s="972"/>
      <c r="C93" s="973"/>
      <c r="D93" s="972"/>
      <c r="E93" s="972"/>
      <c r="F93" s="973"/>
      <c r="G93" s="979"/>
      <c r="H93" s="972"/>
      <c r="I93" s="973"/>
      <c r="J93" s="4518"/>
      <c r="K93" s="4521"/>
      <c r="L93" s="4524"/>
      <c r="M93" s="4524"/>
      <c r="N93" s="4526"/>
      <c r="O93" s="4524"/>
      <c r="P93" s="4528"/>
      <c r="Q93" s="4521"/>
      <c r="R93" s="4531"/>
      <c r="S93" s="4534"/>
      <c r="T93" s="4521"/>
      <c r="U93" s="4521"/>
      <c r="V93" s="1005" t="s">
        <v>858</v>
      </c>
      <c r="W93" s="2300">
        <v>3000000</v>
      </c>
      <c r="X93" s="2608">
        <v>1389000</v>
      </c>
      <c r="Y93" s="2608">
        <v>0</v>
      </c>
      <c r="Z93" s="977">
        <v>61</v>
      </c>
      <c r="AA93" s="4524"/>
      <c r="AB93" s="4524"/>
      <c r="AC93" s="4526"/>
      <c r="AD93" s="4524"/>
      <c r="AE93" s="4526"/>
      <c r="AF93" s="4543"/>
      <c r="AG93" s="4567"/>
      <c r="AH93" s="4543"/>
      <c r="AI93" s="4567"/>
      <c r="AJ93" s="4570"/>
      <c r="AK93" s="4572"/>
      <c r="AL93" s="4543"/>
      <c r="AM93" s="4567"/>
      <c r="AN93" s="4543"/>
      <c r="AO93" s="4567"/>
      <c r="AP93" s="4543"/>
      <c r="AQ93" s="4567"/>
      <c r="AR93" s="4543"/>
      <c r="AS93" s="4567"/>
      <c r="AT93" s="4543"/>
      <c r="AU93" s="4567"/>
      <c r="AV93" s="4543"/>
      <c r="AW93" s="4567"/>
      <c r="AX93" s="4570"/>
      <c r="AY93" s="4572"/>
      <c r="AZ93" s="4543"/>
      <c r="BA93" s="4572"/>
      <c r="BB93" s="4543"/>
      <c r="BC93" s="4567"/>
      <c r="BD93" s="4570"/>
      <c r="BE93" s="4572"/>
      <c r="BF93" s="4543"/>
      <c r="BG93" s="4572"/>
      <c r="BH93" s="4543"/>
      <c r="BI93" s="4543"/>
      <c r="BJ93" s="4543"/>
      <c r="BK93" s="3185"/>
      <c r="BL93" s="4543"/>
      <c r="BM93" s="4543"/>
      <c r="BN93" s="4554"/>
      <c r="BO93" s="4554"/>
      <c r="BP93" s="4554"/>
      <c r="BQ93" s="4554"/>
      <c r="BR93" s="4557"/>
    </row>
    <row r="94" spans="1:70" s="978" customFormat="1" ht="57" x14ac:dyDescent="0.2">
      <c r="A94" s="971"/>
      <c r="B94" s="972"/>
      <c r="C94" s="973"/>
      <c r="D94" s="972"/>
      <c r="E94" s="972"/>
      <c r="F94" s="973"/>
      <c r="G94" s="979"/>
      <c r="H94" s="972"/>
      <c r="I94" s="973"/>
      <c r="J94" s="4518"/>
      <c r="K94" s="4521"/>
      <c r="L94" s="4524"/>
      <c r="M94" s="4524"/>
      <c r="N94" s="4526"/>
      <c r="O94" s="4524"/>
      <c r="P94" s="4528"/>
      <c r="Q94" s="4521"/>
      <c r="R94" s="4531"/>
      <c r="S94" s="4534"/>
      <c r="T94" s="4521"/>
      <c r="U94" s="4521"/>
      <c r="V94" s="1005" t="s">
        <v>859</v>
      </c>
      <c r="W94" s="2300">
        <v>3000000</v>
      </c>
      <c r="X94" s="2608">
        <v>1389000</v>
      </c>
      <c r="Y94" s="2608">
        <v>0</v>
      </c>
      <c r="Z94" s="977">
        <v>61</v>
      </c>
      <c r="AA94" s="4524"/>
      <c r="AB94" s="4524"/>
      <c r="AC94" s="4526"/>
      <c r="AD94" s="4524"/>
      <c r="AE94" s="4526"/>
      <c r="AF94" s="4543"/>
      <c r="AG94" s="4567"/>
      <c r="AH94" s="4543"/>
      <c r="AI94" s="4567"/>
      <c r="AJ94" s="4570"/>
      <c r="AK94" s="4572"/>
      <c r="AL94" s="4543"/>
      <c r="AM94" s="4567"/>
      <c r="AN94" s="4543"/>
      <c r="AO94" s="4567"/>
      <c r="AP94" s="4543"/>
      <c r="AQ94" s="4567"/>
      <c r="AR94" s="4543"/>
      <c r="AS94" s="4567"/>
      <c r="AT94" s="4543"/>
      <c r="AU94" s="4567"/>
      <c r="AV94" s="4543"/>
      <c r="AW94" s="4567"/>
      <c r="AX94" s="4570"/>
      <c r="AY94" s="4572"/>
      <c r="AZ94" s="4543"/>
      <c r="BA94" s="4572"/>
      <c r="BB94" s="4543"/>
      <c r="BC94" s="4567"/>
      <c r="BD94" s="4570"/>
      <c r="BE94" s="4572"/>
      <c r="BF94" s="4543"/>
      <c r="BG94" s="4572"/>
      <c r="BH94" s="4543"/>
      <c r="BI94" s="4543"/>
      <c r="BJ94" s="4543"/>
      <c r="BK94" s="3185"/>
      <c r="BL94" s="4543"/>
      <c r="BM94" s="4543"/>
      <c r="BN94" s="4554"/>
      <c r="BO94" s="4554"/>
      <c r="BP94" s="4554"/>
      <c r="BQ94" s="4554"/>
      <c r="BR94" s="4557"/>
    </row>
    <row r="95" spans="1:70" s="978" customFormat="1" ht="107.25" customHeight="1" x14ac:dyDescent="0.2">
      <c r="A95" s="971"/>
      <c r="B95" s="972"/>
      <c r="C95" s="973"/>
      <c r="D95" s="972"/>
      <c r="E95" s="972"/>
      <c r="F95" s="973"/>
      <c r="G95" s="979"/>
      <c r="H95" s="972"/>
      <c r="I95" s="973"/>
      <c r="J95" s="4519"/>
      <c r="K95" s="4522"/>
      <c r="L95" s="4525"/>
      <c r="M95" s="4525"/>
      <c r="N95" s="4526"/>
      <c r="O95" s="4524"/>
      <c r="P95" s="4528"/>
      <c r="Q95" s="4521"/>
      <c r="R95" s="4532"/>
      <c r="S95" s="4534"/>
      <c r="T95" s="4521"/>
      <c r="U95" s="4522"/>
      <c r="V95" s="1005" t="s">
        <v>860</v>
      </c>
      <c r="W95" s="2300">
        <v>4000000</v>
      </c>
      <c r="X95" s="2608">
        <v>1389000</v>
      </c>
      <c r="Y95" s="2608">
        <v>0</v>
      </c>
      <c r="Z95" s="977">
        <v>61</v>
      </c>
      <c r="AA95" s="4524"/>
      <c r="AB95" s="4524"/>
      <c r="AC95" s="4526"/>
      <c r="AD95" s="4524"/>
      <c r="AE95" s="4526"/>
      <c r="AF95" s="4543"/>
      <c r="AG95" s="4567"/>
      <c r="AH95" s="4543"/>
      <c r="AI95" s="4567"/>
      <c r="AJ95" s="4570"/>
      <c r="AK95" s="4572"/>
      <c r="AL95" s="4543"/>
      <c r="AM95" s="4567"/>
      <c r="AN95" s="4543"/>
      <c r="AO95" s="4567"/>
      <c r="AP95" s="4543"/>
      <c r="AQ95" s="4567"/>
      <c r="AR95" s="4543"/>
      <c r="AS95" s="4567"/>
      <c r="AT95" s="4543"/>
      <c r="AU95" s="4567"/>
      <c r="AV95" s="4543"/>
      <c r="AW95" s="4567"/>
      <c r="AX95" s="4570"/>
      <c r="AY95" s="4572"/>
      <c r="AZ95" s="4543"/>
      <c r="BA95" s="4572"/>
      <c r="BB95" s="4543"/>
      <c r="BC95" s="4567"/>
      <c r="BD95" s="4570"/>
      <c r="BE95" s="4572"/>
      <c r="BF95" s="4543"/>
      <c r="BG95" s="4572"/>
      <c r="BH95" s="4543"/>
      <c r="BI95" s="4543"/>
      <c r="BJ95" s="4543"/>
      <c r="BK95" s="3185"/>
      <c r="BL95" s="4543"/>
      <c r="BM95" s="4543"/>
      <c r="BN95" s="4554"/>
      <c r="BO95" s="4554"/>
      <c r="BP95" s="4554"/>
      <c r="BQ95" s="4554"/>
      <c r="BR95" s="4557"/>
    </row>
    <row r="96" spans="1:70" s="978" customFormat="1" ht="57" x14ac:dyDescent="0.2">
      <c r="A96" s="971"/>
      <c r="B96" s="972"/>
      <c r="C96" s="973"/>
      <c r="D96" s="972"/>
      <c r="E96" s="972"/>
      <c r="F96" s="973"/>
      <c r="G96" s="979"/>
      <c r="H96" s="972"/>
      <c r="I96" s="973"/>
      <c r="J96" s="4517">
        <v>137</v>
      </c>
      <c r="K96" s="4520" t="s">
        <v>861</v>
      </c>
      <c r="L96" s="4523" t="s">
        <v>759</v>
      </c>
      <c r="M96" s="4523">
        <v>12</v>
      </c>
      <c r="N96" s="4526">
        <v>7</v>
      </c>
      <c r="O96" s="4524"/>
      <c r="P96" s="4528"/>
      <c r="Q96" s="4521"/>
      <c r="R96" s="4530">
        <f>SUM(W96:W100)/S85</f>
        <v>0.40579710144927539</v>
      </c>
      <c r="S96" s="4534"/>
      <c r="T96" s="4521"/>
      <c r="U96" s="4520" t="s">
        <v>862</v>
      </c>
      <c r="V96" s="1005" t="s">
        <v>863</v>
      </c>
      <c r="W96" s="2300">
        <v>11000000</v>
      </c>
      <c r="X96" s="2596">
        <v>8394000</v>
      </c>
      <c r="Y96" s="2596">
        <v>3917200</v>
      </c>
      <c r="Z96" s="977">
        <v>61</v>
      </c>
      <c r="AA96" s="4524"/>
      <c r="AB96" s="4524"/>
      <c r="AC96" s="4526"/>
      <c r="AD96" s="4524"/>
      <c r="AE96" s="4526"/>
      <c r="AF96" s="4543"/>
      <c r="AG96" s="4567"/>
      <c r="AH96" s="4543"/>
      <c r="AI96" s="4567"/>
      <c r="AJ96" s="4570"/>
      <c r="AK96" s="4572"/>
      <c r="AL96" s="4543"/>
      <c r="AM96" s="4567"/>
      <c r="AN96" s="4543"/>
      <c r="AO96" s="4567"/>
      <c r="AP96" s="4543"/>
      <c r="AQ96" s="4567"/>
      <c r="AR96" s="4543"/>
      <c r="AS96" s="4567"/>
      <c r="AT96" s="4543"/>
      <c r="AU96" s="4567"/>
      <c r="AV96" s="4543"/>
      <c r="AW96" s="4567"/>
      <c r="AX96" s="4570"/>
      <c r="AY96" s="4572"/>
      <c r="AZ96" s="4543"/>
      <c r="BA96" s="4572"/>
      <c r="BB96" s="4543"/>
      <c r="BC96" s="4567"/>
      <c r="BD96" s="4570"/>
      <c r="BE96" s="4572"/>
      <c r="BF96" s="4543"/>
      <c r="BG96" s="4572"/>
      <c r="BH96" s="4543"/>
      <c r="BI96" s="4543"/>
      <c r="BJ96" s="4543"/>
      <c r="BK96" s="3185"/>
      <c r="BL96" s="4543"/>
      <c r="BM96" s="4543"/>
      <c r="BN96" s="4554"/>
      <c r="BO96" s="4554"/>
      <c r="BP96" s="4554"/>
      <c r="BQ96" s="4554"/>
      <c r="BR96" s="4557"/>
    </row>
    <row r="97" spans="1:316" s="978" customFormat="1" ht="96" customHeight="1" x14ac:dyDescent="0.2">
      <c r="A97" s="971"/>
      <c r="B97" s="972"/>
      <c r="C97" s="973"/>
      <c r="D97" s="972"/>
      <c r="E97" s="972"/>
      <c r="F97" s="973"/>
      <c r="G97" s="979"/>
      <c r="H97" s="972"/>
      <c r="I97" s="973"/>
      <c r="J97" s="4518"/>
      <c r="K97" s="4521"/>
      <c r="L97" s="4524"/>
      <c r="M97" s="4524"/>
      <c r="N97" s="4526"/>
      <c r="O97" s="4524"/>
      <c r="P97" s="4528"/>
      <c r="Q97" s="4521"/>
      <c r="R97" s="4531"/>
      <c r="S97" s="4534"/>
      <c r="T97" s="4521"/>
      <c r="U97" s="4521"/>
      <c r="V97" s="1005" t="s">
        <v>864</v>
      </c>
      <c r="W97" s="2300">
        <v>11000000</v>
      </c>
      <c r="X97" s="2596">
        <v>8394000</v>
      </c>
      <c r="Y97" s="2596">
        <v>3917200</v>
      </c>
      <c r="Z97" s="977">
        <v>61</v>
      </c>
      <c r="AA97" s="4524"/>
      <c r="AB97" s="4524"/>
      <c r="AC97" s="4526"/>
      <c r="AD97" s="4524"/>
      <c r="AE97" s="4526"/>
      <c r="AF97" s="4543"/>
      <c r="AG97" s="4567"/>
      <c r="AH97" s="4543"/>
      <c r="AI97" s="4567"/>
      <c r="AJ97" s="4570"/>
      <c r="AK97" s="4572"/>
      <c r="AL97" s="4543"/>
      <c r="AM97" s="4567"/>
      <c r="AN97" s="4543"/>
      <c r="AO97" s="4567"/>
      <c r="AP97" s="4543"/>
      <c r="AQ97" s="4567"/>
      <c r="AR97" s="4543"/>
      <c r="AS97" s="4567"/>
      <c r="AT97" s="4543"/>
      <c r="AU97" s="4567"/>
      <c r="AV97" s="4543"/>
      <c r="AW97" s="4567"/>
      <c r="AX97" s="4570"/>
      <c r="AY97" s="4572"/>
      <c r="AZ97" s="4543"/>
      <c r="BA97" s="4572"/>
      <c r="BB97" s="4543"/>
      <c r="BC97" s="4567"/>
      <c r="BD97" s="4570"/>
      <c r="BE97" s="4572"/>
      <c r="BF97" s="4543"/>
      <c r="BG97" s="4572"/>
      <c r="BH97" s="4543"/>
      <c r="BI97" s="4543"/>
      <c r="BJ97" s="4543"/>
      <c r="BK97" s="3185"/>
      <c r="BL97" s="4543"/>
      <c r="BM97" s="4543"/>
      <c r="BN97" s="4554"/>
      <c r="BO97" s="4554"/>
      <c r="BP97" s="4554"/>
      <c r="BQ97" s="4554"/>
      <c r="BR97" s="4557"/>
    </row>
    <row r="98" spans="1:316" s="978" customFormat="1" ht="66.75" customHeight="1" x14ac:dyDescent="0.2">
      <c r="A98" s="971"/>
      <c r="B98" s="972"/>
      <c r="C98" s="973"/>
      <c r="D98" s="972"/>
      <c r="E98" s="972"/>
      <c r="F98" s="973"/>
      <c r="G98" s="979"/>
      <c r="H98" s="972"/>
      <c r="I98" s="973"/>
      <c r="J98" s="4518"/>
      <c r="K98" s="4521"/>
      <c r="L98" s="4524"/>
      <c r="M98" s="4524"/>
      <c r="N98" s="4526"/>
      <c r="O98" s="4524"/>
      <c r="P98" s="4528"/>
      <c r="Q98" s="4521"/>
      <c r="R98" s="4531"/>
      <c r="S98" s="4534"/>
      <c r="T98" s="4521"/>
      <c r="U98" s="4521"/>
      <c r="V98" s="1005" t="s">
        <v>865</v>
      </c>
      <c r="W98" s="2300">
        <v>11000000</v>
      </c>
      <c r="X98" s="2596">
        <v>8394000</v>
      </c>
      <c r="Y98" s="2596">
        <v>3917200</v>
      </c>
      <c r="Z98" s="977">
        <v>61</v>
      </c>
      <c r="AA98" s="4524"/>
      <c r="AB98" s="4524"/>
      <c r="AC98" s="4526"/>
      <c r="AD98" s="4524"/>
      <c r="AE98" s="4526"/>
      <c r="AF98" s="4543"/>
      <c r="AG98" s="4567"/>
      <c r="AH98" s="4543"/>
      <c r="AI98" s="4567"/>
      <c r="AJ98" s="4570"/>
      <c r="AK98" s="4572"/>
      <c r="AL98" s="4543"/>
      <c r="AM98" s="4567"/>
      <c r="AN98" s="4543"/>
      <c r="AO98" s="4567"/>
      <c r="AP98" s="4543"/>
      <c r="AQ98" s="4567"/>
      <c r="AR98" s="4543"/>
      <c r="AS98" s="4567"/>
      <c r="AT98" s="4543"/>
      <c r="AU98" s="4567"/>
      <c r="AV98" s="4543"/>
      <c r="AW98" s="4567"/>
      <c r="AX98" s="4570"/>
      <c r="AY98" s="4572"/>
      <c r="AZ98" s="4543"/>
      <c r="BA98" s="4572"/>
      <c r="BB98" s="4543"/>
      <c r="BC98" s="4567"/>
      <c r="BD98" s="4570"/>
      <c r="BE98" s="4572"/>
      <c r="BF98" s="4543"/>
      <c r="BG98" s="4572"/>
      <c r="BH98" s="4543"/>
      <c r="BI98" s="4543"/>
      <c r="BJ98" s="4543"/>
      <c r="BK98" s="3185"/>
      <c r="BL98" s="4543"/>
      <c r="BM98" s="4543"/>
      <c r="BN98" s="4554"/>
      <c r="BO98" s="4554"/>
      <c r="BP98" s="4554"/>
      <c r="BQ98" s="4554"/>
      <c r="BR98" s="4557"/>
    </row>
    <row r="99" spans="1:316" s="978" customFormat="1" ht="84" customHeight="1" x14ac:dyDescent="0.2">
      <c r="A99" s="971"/>
      <c r="B99" s="972"/>
      <c r="C99" s="973"/>
      <c r="D99" s="972"/>
      <c r="E99" s="972"/>
      <c r="F99" s="973"/>
      <c r="G99" s="979"/>
      <c r="H99" s="972"/>
      <c r="I99" s="973"/>
      <c r="J99" s="4518"/>
      <c r="K99" s="4521"/>
      <c r="L99" s="4524"/>
      <c r="M99" s="4524"/>
      <c r="N99" s="4526"/>
      <c r="O99" s="4524"/>
      <c r="P99" s="4528"/>
      <c r="Q99" s="4521"/>
      <c r="R99" s="4531"/>
      <c r="S99" s="4534"/>
      <c r="T99" s="4521"/>
      <c r="U99" s="4521"/>
      <c r="V99" s="1005" t="s">
        <v>866</v>
      </c>
      <c r="W99" s="2300">
        <v>11000000</v>
      </c>
      <c r="X99" s="2596">
        <v>8394000</v>
      </c>
      <c r="Y99" s="2596">
        <v>3917200</v>
      </c>
      <c r="Z99" s="977">
        <v>61</v>
      </c>
      <c r="AA99" s="4524"/>
      <c r="AB99" s="4524"/>
      <c r="AC99" s="4526"/>
      <c r="AD99" s="4524"/>
      <c r="AE99" s="4526"/>
      <c r="AF99" s="4543"/>
      <c r="AG99" s="4567"/>
      <c r="AH99" s="4543"/>
      <c r="AI99" s="4567"/>
      <c r="AJ99" s="4570"/>
      <c r="AK99" s="4572"/>
      <c r="AL99" s="4543"/>
      <c r="AM99" s="4567"/>
      <c r="AN99" s="4543"/>
      <c r="AO99" s="4567"/>
      <c r="AP99" s="4543"/>
      <c r="AQ99" s="4567"/>
      <c r="AR99" s="4543"/>
      <c r="AS99" s="4567"/>
      <c r="AT99" s="4543"/>
      <c r="AU99" s="4567"/>
      <c r="AV99" s="4543"/>
      <c r="AW99" s="4567"/>
      <c r="AX99" s="4570"/>
      <c r="AY99" s="4572"/>
      <c r="AZ99" s="4543"/>
      <c r="BA99" s="4572"/>
      <c r="BB99" s="4543"/>
      <c r="BC99" s="4567"/>
      <c r="BD99" s="4570"/>
      <c r="BE99" s="4572"/>
      <c r="BF99" s="4543"/>
      <c r="BG99" s="4572"/>
      <c r="BH99" s="4543"/>
      <c r="BI99" s="4543"/>
      <c r="BJ99" s="4543"/>
      <c r="BK99" s="3185"/>
      <c r="BL99" s="4543"/>
      <c r="BM99" s="4543"/>
      <c r="BN99" s="4554"/>
      <c r="BO99" s="4554"/>
      <c r="BP99" s="4554"/>
      <c r="BQ99" s="4554"/>
      <c r="BR99" s="4557"/>
    </row>
    <row r="100" spans="1:316" s="978" customFormat="1" ht="75" customHeight="1" x14ac:dyDescent="0.2">
      <c r="A100" s="971"/>
      <c r="B100" s="972"/>
      <c r="C100" s="973"/>
      <c r="D100" s="972"/>
      <c r="E100" s="972"/>
      <c r="F100" s="973"/>
      <c r="G100" s="979"/>
      <c r="H100" s="972"/>
      <c r="I100" s="973"/>
      <c r="J100" s="4519"/>
      <c r="K100" s="4522"/>
      <c r="L100" s="4525"/>
      <c r="M100" s="4525"/>
      <c r="N100" s="4526"/>
      <c r="O100" s="4524"/>
      <c r="P100" s="4528"/>
      <c r="Q100" s="4521"/>
      <c r="R100" s="4532"/>
      <c r="S100" s="4534"/>
      <c r="T100" s="4521"/>
      <c r="U100" s="4522"/>
      <c r="V100" s="1005" t="s">
        <v>867</v>
      </c>
      <c r="W100" s="2300">
        <v>12000000</v>
      </c>
      <c r="X100" s="2596">
        <v>8394000</v>
      </c>
      <c r="Y100" s="2596">
        <v>3917200</v>
      </c>
      <c r="Z100" s="977">
        <v>61</v>
      </c>
      <c r="AA100" s="4524"/>
      <c r="AB100" s="4524"/>
      <c r="AC100" s="4526"/>
      <c r="AD100" s="4524"/>
      <c r="AE100" s="4526"/>
      <c r="AF100" s="4543"/>
      <c r="AG100" s="4567"/>
      <c r="AH100" s="4543"/>
      <c r="AI100" s="4567"/>
      <c r="AJ100" s="4570"/>
      <c r="AK100" s="4572"/>
      <c r="AL100" s="4543"/>
      <c r="AM100" s="4567"/>
      <c r="AN100" s="4543"/>
      <c r="AO100" s="4567"/>
      <c r="AP100" s="4543"/>
      <c r="AQ100" s="4567"/>
      <c r="AR100" s="4543"/>
      <c r="AS100" s="4567"/>
      <c r="AT100" s="4543"/>
      <c r="AU100" s="4567"/>
      <c r="AV100" s="4543"/>
      <c r="AW100" s="4567"/>
      <c r="AX100" s="4570"/>
      <c r="AY100" s="4572"/>
      <c r="AZ100" s="4543"/>
      <c r="BA100" s="4572"/>
      <c r="BB100" s="4543"/>
      <c r="BC100" s="4567"/>
      <c r="BD100" s="4570"/>
      <c r="BE100" s="4572"/>
      <c r="BF100" s="4543"/>
      <c r="BG100" s="4572"/>
      <c r="BH100" s="4543"/>
      <c r="BI100" s="4543"/>
      <c r="BJ100" s="4543"/>
      <c r="BK100" s="3185"/>
      <c r="BL100" s="4543"/>
      <c r="BM100" s="4543"/>
      <c r="BN100" s="4554"/>
      <c r="BO100" s="4554"/>
      <c r="BP100" s="4554"/>
      <c r="BQ100" s="4554"/>
      <c r="BR100" s="4557"/>
    </row>
    <row r="101" spans="1:316" s="978" customFormat="1" ht="85.5" x14ac:dyDescent="0.2">
      <c r="A101" s="971"/>
      <c r="B101" s="972"/>
      <c r="C101" s="973"/>
      <c r="D101" s="972"/>
      <c r="E101" s="972"/>
      <c r="F101" s="973"/>
      <c r="G101" s="979"/>
      <c r="H101" s="972"/>
      <c r="I101" s="973"/>
      <c r="J101" s="4517">
        <v>138</v>
      </c>
      <c r="K101" s="4520" t="s">
        <v>868</v>
      </c>
      <c r="L101" s="4523" t="s">
        <v>759</v>
      </c>
      <c r="M101" s="4523">
        <v>12</v>
      </c>
      <c r="N101" s="4526">
        <v>11</v>
      </c>
      <c r="O101" s="4524"/>
      <c r="P101" s="4528"/>
      <c r="Q101" s="4521"/>
      <c r="R101" s="4530">
        <f>SUM(W101:W105)/S85</f>
        <v>0.20289855072463769</v>
      </c>
      <c r="S101" s="4534"/>
      <c r="T101" s="4521"/>
      <c r="U101" s="4520" t="s">
        <v>869</v>
      </c>
      <c r="V101" s="1006" t="s">
        <v>870</v>
      </c>
      <c r="W101" s="2300">
        <v>5000000</v>
      </c>
      <c r="X101" s="2596">
        <v>5000000</v>
      </c>
      <c r="Y101" s="2596">
        <v>3917200</v>
      </c>
      <c r="Z101" s="977">
        <v>61</v>
      </c>
      <c r="AA101" s="4524"/>
      <c r="AB101" s="4524"/>
      <c r="AC101" s="4526"/>
      <c r="AD101" s="4524"/>
      <c r="AE101" s="4526"/>
      <c r="AF101" s="4543"/>
      <c r="AG101" s="4567"/>
      <c r="AH101" s="4543"/>
      <c r="AI101" s="4567"/>
      <c r="AJ101" s="4570"/>
      <c r="AK101" s="4572"/>
      <c r="AL101" s="4543"/>
      <c r="AM101" s="4567"/>
      <c r="AN101" s="4543"/>
      <c r="AO101" s="4567"/>
      <c r="AP101" s="4543"/>
      <c r="AQ101" s="4567"/>
      <c r="AR101" s="4543"/>
      <c r="AS101" s="4567"/>
      <c r="AT101" s="4543"/>
      <c r="AU101" s="4567"/>
      <c r="AV101" s="4543"/>
      <c r="AW101" s="4567"/>
      <c r="AX101" s="4570"/>
      <c r="AY101" s="4572"/>
      <c r="AZ101" s="4543"/>
      <c r="BA101" s="4572"/>
      <c r="BB101" s="4543"/>
      <c r="BC101" s="4567"/>
      <c r="BD101" s="4570"/>
      <c r="BE101" s="4572"/>
      <c r="BF101" s="4543"/>
      <c r="BG101" s="4572"/>
      <c r="BH101" s="4543"/>
      <c r="BI101" s="4543"/>
      <c r="BJ101" s="4543"/>
      <c r="BK101" s="3185"/>
      <c r="BL101" s="4543"/>
      <c r="BM101" s="4543"/>
      <c r="BN101" s="4554"/>
      <c r="BO101" s="4554"/>
      <c r="BP101" s="4554"/>
      <c r="BQ101" s="4554"/>
      <c r="BR101" s="4557"/>
    </row>
    <row r="102" spans="1:316" s="978" customFormat="1" ht="60" customHeight="1" x14ac:dyDescent="0.2">
      <c r="A102" s="971"/>
      <c r="B102" s="972"/>
      <c r="C102" s="973"/>
      <c r="D102" s="972"/>
      <c r="E102" s="972"/>
      <c r="F102" s="973"/>
      <c r="G102" s="979"/>
      <c r="H102" s="972"/>
      <c r="I102" s="973"/>
      <c r="J102" s="4518"/>
      <c r="K102" s="4521"/>
      <c r="L102" s="4524"/>
      <c r="M102" s="4524"/>
      <c r="N102" s="4526"/>
      <c r="O102" s="4524"/>
      <c r="P102" s="4528"/>
      <c r="Q102" s="4521"/>
      <c r="R102" s="4531"/>
      <c r="S102" s="4534"/>
      <c r="T102" s="4521"/>
      <c r="U102" s="4521"/>
      <c r="V102" s="1006" t="s">
        <v>871</v>
      </c>
      <c r="W102" s="2300">
        <v>5000000</v>
      </c>
      <c r="X102" s="2596">
        <v>5000000</v>
      </c>
      <c r="Y102" s="2596">
        <v>3917200</v>
      </c>
      <c r="Z102" s="977">
        <v>61</v>
      </c>
      <c r="AA102" s="4524"/>
      <c r="AB102" s="4524"/>
      <c r="AC102" s="4526"/>
      <c r="AD102" s="4524"/>
      <c r="AE102" s="4526"/>
      <c r="AF102" s="4543"/>
      <c r="AG102" s="4567"/>
      <c r="AH102" s="4543"/>
      <c r="AI102" s="4567"/>
      <c r="AJ102" s="4570"/>
      <c r="AK102" s="4572"/>
      <c r="AL102" s="4543"/>
      <c r="AM102" s="4567"/>
      <c r="AN102" s="4543"/>
      <c r="AO102" s="4567"/>
      <c r="AP102" s="4543"/>
      <c r="AQ102" s="4567"/>
      <c r="AR102" s="4543"/>
      <c r="AS102" s="4567"/>
      <c r="AT102" s="4543"/>
      <c r="AU102" s="4567"/>
      <c r="AV102" s="4543"/>
      <c r="AW102" s="4567"/>
      <c r="AX102" s="4570"/>
      <c r="AY102" s="4572"/>
      <c r="AZ102" s="4543"/>
      <c r="BA102" s="4572"/>
      <c r="BB102" s="4543"/>
      <c r="BC102" s="4567"/>
      <c r="BD102" s="4570"/>
      <c r="BE102" s="4572"/>
      <c r="BF102" s="4543"/>
      <c r="BG102" s="4572"/>
      <c r="BH102" s="4543"/>
      <c r="BI102" s="4543"/>
      <c r="BJ102" s="4543"/>
      <c r="BK102" s="3185"/>
      <c r="BL102" s="4543"/>
      <c r="BM102" s="4543"/>
      <c r="BN102" s="4554"/>
      <c r="BO102" s="4554"/>
      <c r="BP102" s="4554"/>
      <c r="BQ102" s="4554"/>
      <c r="BR102" s="4557"/>
    </row>
    <row r="103" spans="1:316" s="978" customFormat="1" ht="42.75" x14ac:dyDescent="0.2">
      <c r="A103" s="971"/>
      <c r="B103" s="972"/>
      <c r="C103" s="973"/>
      <c r="D103" s="972"/>
      <c r="E103" s="972"/>
      <c r="F103" s="973"/>
      <c r="G103" s="979"/>
      <c r="H103" s="972"/>
      <c r="I103" s="973"/>
      <c r="J103" s="4518"/>
      <c r="K103" s="4521"/>
      <c r="L103" s="4524"/>
      <c r="M103" s="4524"/>
      <c r="N103" s="4526"/>
      <c r="O103" s="4524"/>
      <c r="P103" s="4528"/>
      <c r="Q103" s="4521"/>
      <c r="R103" s="4531"/>
      <c r="S103" s="4534"/>
      <c r="T103" s="4521"/>
      <c r="U103" s="4521"/>
      <c r="V103" s="1006" t="s">
        <v>872</v>
      </c>
      <c r="W103" s="2300">
        <v>5000000</v>
      </c>
      <c r="X103" s="2596">
        <v>5000000</v>
      </c>
      <c r="Y103" s="2596">
        <v>3917200</v>
      </c>
      <c r="Z103" s="977">
        <v>61</v>
      </c>
      <c r="AA103" s="4524"/>
      <c r="AB103" s="4524"/>
      <c r="AC103" s="4526"/>
      <c r="AD103" s="4524"/>
      <c r="AE103" s="4526"/>
      <c r="AF103" s="4543"/>
      <c r="AG103" s="4567"/>
      <c r="AH103" s="4543"/>
      <c r="AI103" s="4567"/>
      <c r="AJ103" s="4570"/>
      <c r="AK103" s="4572"/>
      <c r="AL103" s="4543"/>
      <c r="AM103" s="4567"/>
      <c r="AN103" s="4543"/>
      <c r="AO103" s="4567"/>
      <c r="AP103" s="4543"/>
      <c r="AQ103" s="4567"/>
      <c r="AR103" s="4543"/>
      <c r="AS103" s="4567"/>
      <c r="AT103" s="4543"/>
      <c r="AU103" s="4567"/>
      <c r="AV103" s="4543"/>
      <c r="AW103" s="4567"/>
      <c r="AX103" s="4570"/>
      <c r="AY103" s="4572"/>
      <c r="AZ103" s="4543"/>
      <c r="BA103" s="4572"/>
      <c r="BB103" s="4543"/>
      <c r="BC103" s="4567"/>
      <c r="BD103" s="4570"/>
      <c r="BE103" s="4572"/>
      <c r="BF103" s="4543"/>
      <c r="BG103" s="4572"/>
      <c r="BH103" s="4543"/>
      <c r="BI103" s="4543"/>
      <c r="BJ103" s="4543"/>
      <c r="BK103" s="3185"/>
      <c r="BL103" s="4543"/>
      <c r="BM103" s="4543"/>
      <c r="BN103" s="4554"/>
      <c r="BO103" s="4554"/>
      <c r="BP103" s="4554"/>
      <c r="BQ103" s="4554"/>
      <c r="BR103" s="4557"/>
    </row>
    <row r="104" spans="1:316" s="978" customFormat="1" ht="87" customHeight="1" x14ac:dyDescent="0.2">
      <c r="A104" s="971"/>
      <c r="B104" s="972"/>
      <c r="C104" s="973"/>
      <c r="D104" s="972"/>
      <c r="E104" s="972"/>
      <c r="F104" s="973"/>
      <c r="G104" s="979"/>
      <c r="H104" s="972"/>
      <c r="I104" s="973"/>
      <c r="J104" s="4518"/>
      <c r="K104" s="4521"/>
      <c r="L104" s="4524"/>
      <c r="M104" s="4524"/>
      <c r="N104" s="4526"/>
      <c r="O104" s="4524"/>
      <c r="P104" s="4528"/>
      <c r="Q104" s="4521"/>
      <c r="R104" s="4531"/>
      <c r="S104" s="4534"/>
      <c r="T104" s="4521"/>
      <c r="U104" s="4521"/>
      <c r="V104" s="1006" t="s">
        <v>873</v>
      </c>
      <c r="W104" s="2300">
        <v>5000000</v>
      </c>
      <c r="X104" s="2596">
        <v>5000000</v>
      </c>
      <c r="Y104" s="2596">
        <v>3917200</v>
      </c>
      <c r="Z104" s="977">
        <v>61</v>
      </c>
      <c r="AA104" s="4524"/>
      <c r="AB104" s="4524"/>
      <c r="AC104" s="4526"/>
      <c r="AD104" s="4524"/>
      <c r="AE104" s="4526"/>
      <c r="AF104" s="4543"/>
      <c r="AG104" s="4567"/>
      <c r="AH104" s="4543"/>
      <c r="AI104" s="4567"/>
      <c r="AJ104" s="4570"/>
      <c r="AK104" s="4572"/>
      <c r="AL104" s="4543"/>
      <c r="AM104" s="4567"/>
      <c r="AN104" s="4543"/>
      <c r="AO104" s="4567"/>
      <c r="AP104" s="4543"/>
      <c r="AQ104" s="4567"/>
      <c r="AR104" s="4543"/>
      <c r="AS104" s="4567"/>
      <c r="AT104" s="4543"/>
      <c r="AU104" s="4567"/>
      <c r="AV104" s="4543"/>
      <c r="AW104" s="4567"/>
      <c r="AX104" s="4570"/>
      <c r="AY104" s="4572"/>
      <c r="AZ104" s="4543"/>
      <c r="BA104" s="4572"/>
      <c r="BB104" s="4543"/>
      <c r="BC104" s="4567"/>
      <c r="BD104" s="4570"/>
      <c r="BE104" s="4572"/>
      <c r="BF104" s="4543"/>
      <c r="BG104" s="4572"/>
      <c r="BH104" s="4543"/>
      <c r="BI104" s="4543"/>
      <c r="BJ104" s="4543"/>
      <c r="BK104" s="3185"/>
      <c r="BL104" s="4543"/>
      <c r="BM104" s="4543"/>
      <c r="BN104" s="4554"/>
      <c r="BO104" s="4554"/>
      <c r="BP104" s="4554"/>
      <c r="BQ104" s="4554"/>
      <c r="BR104" s="4557"/>
    </row>
    <row r="105" spans="1:316" s="1007" customFormat="1" ht="129" customHeight="1" x14ac:dyDescent="0.2">
      <c r="A105" s="971"/>
      <c r="B105" s="972"/>
      <c r="C105" s="973"/>
      <c r="D105" s="972"/>
      <c r="E105" s="972"/>
      <c r="F105" s="973"/>
      <c r="G105" s="983"/>
      <c r="H105" s="981"/>
      <c r="I105" s="982"/>
      <c r="J105" s="4519"/>
      <c r="K105" s="4522"/>
      <c r="L105" s="4525"/>
      <c r="M105" s="4525"/>
      <c r="N105" s="4526"/>
      <c r="O105" s="4524"/>
      <c r="P105" s="4529"/>
      <c r="Q105" s="4522"/>
      <c r="R105" s="4532"/>
      <c r="S105" s="4535"/>
      <c r="T105" s="4522"/>
      <c r="U105" s="4522"/>
      <c r="V105" s="1006" t="s">
        <v>874</v>
      </c>
      <c r="W105" s="2300">
        <v>8000000</v>
      </c>
      <c r="X105" s="2596">
        <v>7980000</v>
      </c>
      <c r="Y105" s="2596">
        <v>3917200</v>
      </c>
      <c r="Z105" s="977">
        <v>61</v>
      </c>
      <c r="AA105" s="4525"/>
      <c r="AB105" s="4525"/>
      <c r="AC105" s="4526"/>
      <c r="AD105" s="4525"/>
      <c r="AE105" s="4526"/>
      <c r="AF105" s="4544"/>
      <c r="AG105" s="4567"/>
      <c r="AH105" s="4544"/>
      <c r="AI105" s="4567"/>
      <c r="AJ105" s="4571"/>
      <c r="AK105" s="4572"/>
      <c r="AL105" s="4544"/>
      <c r="AM105" s="4567"/>
      <c r="AN105" s="4544"/>
      <c r="AO105" s="4567"/>
      <c r="AP105" s="4544"/>
      <c r="AQ105" s="4567"/>
      <c r="AR105" s="4544"/>
      <c r="AS105" s="4567"/>
      <c r="AT105" s="4544"/>
      <c r="AU105" s="4567"/>
      <c r="AV105" s="4544"/>
      <c r="AW105" s="4567"/>
      <c r="AX105" s="4571"/>
      <c r="AY105" s="4572"/>
      <c r="AZ105" s="4544"/>
      <c r="BA105" s="4572"/>
      <c r="BB105" s="4544"/>
      <c r="BC105" s="4567"/>
      <c r="BD105" s="4571"/>
      <c r="BE105" s="4572"/>
      <c r="BF105" s="4544"/>
      <c r="BG105" s="4572"/>
      <c r="BH105" s="4544"/>
      <c r="BI105" s="4544"/>
      <c r="BJ105" s="4544"/>
      <c r="BK105" s="3186"/>
      <c r="BL105" s="4544"/>
      <c r="BM105" s="4544"/>
      <c r="BN105" s="4555"/>
      <c r="BO105" s="4555"/>
      <c r="BP105" s="4555"/>
      <c r="BQ105" s="4555"/>
      <c r="BR105" s="4558"/>
      <c r="BS105" s="978"/>
      <c r="BT105" s="978"/>
      <c r="BU105" s="978"/>
      <c r="BV105" s="978"/>
      <c r="BW105" s="978"/>
      <c r="BX105" s="978"/>
      <c r="BY105" s="978"/>
      <c r="BZ105" s="978"/>
      <c r="CA105" s="978"/>
      <c r="CB105" s="978"/>
      <c r="CC105" s="978"/>
      <c r="CD105" s="978"/>
      <c r="CE105" s="978"/>
      <c r="CF105" s="978"/>
      <c r="CG105" s="978"/>
      <c r="CH105" s="978"/>
      <c r="CI105" s="978"/>
      <c r="CJ105" s="978"/>
      <c r="CK105" s="978"/>
      <c r="CL105" s="978"/>
      <c r="CM105" s="978"/>
      <c r="CN105" s="978"/>
      <c r="CO105" s="978"/>
      <c r="CP105" s="978"/>
      <c r="CQ105" s="978"/>
      <c r="CR105" s="978"/>
      <c r="CS105" s="978"/>
      <c r="CT105" s="978"/>
      <c r="CU105" s="978"/>
      <c r="CV105" s="978"/>
      <c r="CW105" s="978"/>
      <c r="CX105" s="978"/>
      <c r="CY105" s="978"/>
      <c r="CZ105" s="978"/>
      <c r="DA105" s="978"/>
      <c r="DB105" s="978"/>
      <c r="DC105" s="978"/>
      <c r="DD105" s="978"/>
      <c r="DE105" s="978"/>
      <c r="DF105" s="978"/>
      <c r="DG105" s="978"/>
      <c r="DH105" s="978"/>
      <c r="DI105" s="978"/>
      <c r="DJ105" s="978"/>
      <c r="DK105" s="978"/>
      <c r="DL105" s="978"/>
      <c r="DM105" s="978"/>
      <c r="DN105" s="978"/>
      <c r="DO105" s="978"/>
      <c r="DP105" s="978"/>
      <c r="DQ105" s="978"/>
      <c r="DR105" s="978"/>
      <c r="DS105" s="978"/>
      <c r="DT105" s="978"/>
      <c r="DU105" s="978"/>
      <c r="DV105" s="978"/>
      <c r="DW105" s="978"/>
      <c r="DX105" s="978"/>
      <c r="DY105" s="978"/>
      <c r="DZ105" s="978"/>
      <c r="EA105" s="978"/>
      <c r="EB105" s="978"/>
      <c r="EC105" s="978"/>
      <c r="ED105" s="978"/>
      <c r="EE105" s="978"/>
      <c r="EF105" s="978"/>
      <c r="EG105" s="978"/>
      <c r="EH105" s="978"/>
      <c r="EI105" s="978"/>
      <c r="EJ105" s="978"/>
      <c r="EK105" s="978"/>
      <c r="EL105" s="978"/>
      <c r="EM105" s="978"/>
      <c r="EN105" s="978"/>
      <c r="EO105" s="978"/>
      <c r="EP105" s="978"/>
      <c r="EQ105" s="978"/>
      <c r="ER105" s="978"/>
      <c r="ES105" s="978"/>
      <c r="ET105" s="978"/>
      <c r="EU105" s="978"/>
      <c r="EV105" s="978"/>
      <c r="EW105" s="978"/>
      <c r="EX105" s="978"/>
      <c r="EY105" s="978"/>
      <c r="EZ105" s="978"/>
      <c r="FA105" s="978"/>
      <c r="FB105" s="978"/>
      <c r="FC105" s="978"/>
      <c r="FD105" s="978"/>
      <c r="FE105" s="978"/>
      <c r="FF105" s="978"/>
      <c r="FG105" s="978"/>
      <c r="FH105" s="978"/>
      <c r="FI105" s="978"/>
      <c r="FJ105" s="978"/>
      <c r="FK105" s="978"/>
      <c r="FL105" s="978"/>
      <c r="FM105" s="978"/>
      <c r="FN105" s="978"/>
      <c r="FO105" s="978"/>
      <c r="FP105" s="978"/>
      <c r="FQ105" s="978"/>
      <c r="FR105" s="978"/>
      <c r="FS105" s="978"/>
      <c r="FT105" s="978"/>
      <c r="FU105" s="978"/>
      <c r="FV105" s="978"/>
      <c r="FW105" s="978"/>
      <c r="FX105" s="978"/>
      <c r="FY105" s="978"/>
      <c r="FZ105" s="978"/>
      <c r="GA105" s="978"/>
      <c r="GB105" s="978"/>
      <c r="GC105" s="978"/>
      <c r="GD105" s="978"/>
      <c r="GE105" s="978"/>
      <c r="GF105" s="978"/>
      <c r="GG105" s="978"/>
      <c r="GH105" s="978"/>
      <c r="GI105" s="978"/>
      <c r="GJ105" s="978"/>
      <c r="GK105" s="978"/>
      <c r="GL105" s="978"/>
      <c r="GM105" s="978"/>
      <c r="GN105" s="978"/>
      <c r="GO105" s="978"/>
      <c r="GP105" s="978"/>
      <c r="GQ105" s="978"/>
      <c r="GR105" s="978"/>
      <c r="GS105" s="978"/>
      <c r="GT105" s="978"/>
      <c r="GU105" s="978"/>
      <c r="GV105" s="978"/>
      <c r="GW105" s="978"/>
      <c r="GX105" s="978"/>
      <c r="GY105" s="978"/>
      <c r="GZ105" s="978"/>
      <c r="HA105" s="978"/>
      <c r="HB105" s="978"/>
      <c r="HC105" s="978"/>
      <c r="HD105" s="978"/>
      <c r="HE105" s="978"/>
      <c r="HF105" s="978"/>
      <c r="HG105" s="978"/>
      <c r="HH105" s="978"/>
      <c r="HI105" s="978"/>
      <c r="HJ105" s="978"/>
      <c r="HK105" s="978"/>
      <c r="HL105" s="978"/>
      <c r="HM105" s="978"/>
      <c r="HN105" s="978"/>
      <c r="HO105" s="978"/>
      <c r="HP105" s="978"/>
      <c r="HQ105" s="978"/>
      <c r="HR105" s="978"/>
      <c r="HS105" s="978"/>
      <c r="HT105" s="978"/>
      <c r="HU105" s="978"/>
      <c r="HV105" s="978"/>
      <c r="HW105" s="978"/>
      <c r="HX105" s="978"/>
      <c r="HY105" s="978"/>
      <c r="HZ105" s="978"/>
      <c r="IA105" s="978"/>
      <c r="IB105" s="978"/>
      <c r="IC105" s="978"/>
      <c r="ID105" s="978"/>
      <c r="IE105" s="978"/>
      <c r="IF105" s="978"/>
      <c r="IG105" s="978"/>
      <c r="IH105" s="978"/>
      <c r="II105" s="978"/>
      <c r="IJ105" s="978"/>
      <c r="IK105" s="978"/>
      <c r="IL105" s="978"/>
      <c r="IM105" s="978"/>
      <c r="IN105" s="978"/>
      <c r="IO105" s="978"/>
      <c r="IP105" s="978"/>
      <c r="IQ105" s="978"/>
      <c r="IR105" s="978"/>
      <c r="IS105" s="978"/>
      <c r="IT105" s="978"/>
      <c r="IU105" s="978"/>
      <c r="IV105" s="978"/>
      <c r="IW105" s="978"/>
      <c r="IX105" s="978"/>
      <c r="IY105" s="978"/>
      <c r="IZ105" s="978"/>
      <c r="JA105" s="978"/>
      <c r="JB105" s="978"/>
      <c r="JC105" s="978"/>
      <c r="JD105" s="978"/>
      <c r="JE105" s="978"/>
      <c r="JF105" s="978"/>
      <c r="JG105" s="978"/>
      <c r="JH105" s="978"/>
      <c r="JI105" s="978"/>
      <c r="JJ105" s="978"/>
      <c r="JK105" s="978"/>
      <c r="JL105" s="978"/>
      <c r="JM105" s="978"/>
      <c r="JN105" s="978"/>
      <c r="JO105" s="978"/>
      <c r="JP105" s="978"/>
      <c r="JQ105" s="978"/>
      <c r="JR105" s="978"/>
      <c r="JS105" s="978"/>
      <c r="JT105" s="978"/>
      <c r="JU105" s="978"/>
      <c r="JV105" s="978"/>
      <c r="JW105" s="978"/>
      <c r="JX105" s="978"/>
      <c r="JY105" s="978"/>
      <c r="JZ105" s="978"/>
      <c r="KA105" s="978"/>
      <c r="KB105" s="978"/>
      <c r="KC105" s="978"/>
      <c r="KD105" s="978"/>
      <c r="KE105" s="978"/>
      <c r="KF105" s="978"/>
      <c r="KG105" s="978"/>
      <c r="KH105" s="978"/>
      <c r="KI105" s="978"/>
      <c r="KJ105" s="978"/>
      <c r="KK105" s="978"/>
      <c r="KL105" s="978"/>
      <c r="KM105" s="978"/>
      <c r="KN105" s="978"/>
      <c r="KO105" s="978"/>
      <c r="KP105" s="978"/>
      <c r="KQ105" s="978"/>
      <c r="KR105" s="978"/>
      <c r="KS105" s="978"/>
      <c r="KT105" s="978"/>
      <c r="KU105" s="978"/>
      <c r="KV105" s="978"/>
      <c r="KW105" s="978"/>
      <c r="KX105" s="978"/>
      <c r="KY105" s="978"/>
      <c r="KZ105" s="978"/>
      <c r="LA105" s="978"/>
      <c r="LB105" s="978"/>
      <c r="LC105" s="978"/>
      <c r="LD105" s="978"/>
    </row>
    <row r="106" spans="1:316" ht="36" customHeight="1" x14ac:dyDescent="0.2">
      <c r="A106" s="957"/>
      <c r="B106" s="958"/>
      <c r="C106" s="959"/>
      <c r="D106" s="958"/>
      <c r="E106" s="958"/>
      <c r="F106" s="959"/>
      <c r="G106" s="991">
        <v>39</v>
      </c>
      <c r="H106" s="963" t="s">
        <v>875</v>
      </c>
      <c r="I106" s="963"/>
      <c r="J106" s="963"/>
      <c r="K106" s="964"/>
      <c r="L106" s="963"/>
      <c r="M106" s="963"/>
      <c r="N106" s="963"/>
      <c r="O106" s="965"/>
      <c r="P106" s="992"/>
      <c r="Q106" s="964"/>
      <c r="R106" s="963"/>
      <c r="S106" s="993"/>
      <c r="T106" s="963"/>
      <c r="U106" s="964"/>
      <c r="V106" s="964"/>
      <c r="W106" s="2607"/>
      <c r="X106" s="2607"/>
      <c r="Y106" s="2607"/>
      <c r="Z106" s="994"/>
      <c r="AA106" s="965"/>
      <c r="AB106" s="965"/>
      <c r="AC106" s="965"/>
      <c r="AD106" s="965"/>
      <c r="AE106" s="965"/>
      <c r="AF106" s="965"/>
      <c r="AG106" s="965"/>
      <c r="AH106" s="965"/>
      <c r="AI106" s="965"/>
      <c r="AJ106" s="965"/>
      <c r="AK106" s="965"/>
      <c r="AL106" s="965"/>
      <c r="AM106" s="965"/>
      <c r="AN106" s="965"/>
      <c r="AO106" s="965"/>
      <c r="AP106" s="965"/>
      <c r="AQ106" s="965"/>
      <c r="AR106" s="965"/>
      <c r="AS106" s="965"/>
      <c r="AT106" s="965"/>
      <c r="AU106" s="965"/>
      <c r="AV106" s="965"/>
      <c r="AW106" s="965"/>
      <c r="AX106" s="965"/>
      <c r="AY106" s="965"/>
      <c r="AZ106" s="965"/>
      <c r="BA106" s="965"/>
      <c r="BB106" s="965"/>
      <c r="BC106" s="965"/>
      <c r="BD106" s="965"/>
      <c r="BE106" s="965"/>
      <c r="BF106" s="965"/>
      <c r="BG106" s="965"/>
      <c r="BH106" s="965"/>
      <c r="BI106" s="965"/>
      <c r="BJ106" s="965"/>
      <c r="BK106" s="965"/>
      <c r="BL106" s="965"/>
      <c r="BM106" s="965"/>
      <c r="BN106" s="965"/>
      <c r="BO106" s="965"/>
      <c r="BP106" s="963"/>
      <c r="BQ106" s="963"/>
      <c r="BR106" s="970"/>
    </row>
    <row r="107" spans="1:316" s="978" customFormat="1" ht="114" x14ac:dyDescent="0.2">
      <c r="A107" s="971"/>
      <c r="B107" s="972"/>
      <c r="C107" s="973"/>
      <c r="D107" s="972"/>
      <c r="E107" s="972"/>
      <c r="F107" s="973"/>
      <c r="G107" s="974"/>
      <c r="H107" s="975"/>
      <c r="I107" s="976"/>
      <c r="J107" s="4517">
        <v>139</v>
      </c>
      <c r="K107" s="4520" t="s">
        <v>876</v>
      </c>
      <c r="L107" s="4523" t="s">
        <v>759</v>
      </c>
      <c r="M107" s="4523">
        <v>1</v>
      </c>
      <c r="N107" s="4526">
        <v>0.5</v>
      </c>
      <c r="O107" s="4523" t="s">
        <v>877</v>
      </c>
      <c r="P107" s="4523" t="s">
        <v>878</v>
      </c>
      <c r="Q107" s="4520" t="s">
        <v>879</v>
      </c>
      <c r="R107" s="4530">
        <f>SUM(W107:W111)/S107</f>
        <v>0.65300546448087426</v>
      </c>
      <c r="S107" s="4533">
        <f>SUM(W107:W119)</f>
        <v>183000000</v>
      </c>
      <c r="T107" s="4520" t="s">
        <v>880</v>
      </c>
      <c r="U107" s="4520" t="s">
        <v>881</v>
      </c>
      <c r="V107" s="980" t="s">
        <v>882</v>
      </c>
      <c r="W107" s="2300">
        <v>28000000</v>
      </c>
      <c r="X107" s="1809">
        <v>20721250</v>
      </c>
      <c r="Y107" s="1809">
        <v>13828750</v>
      </c>
      <c r="Z107" s="977">
        <v>61</v>
      </c>
      <c r="AA107" s="1008" t="s">
        <v>883</v>
      </c>
      <c r="AB107" s="4523">
        <v>292684</v>
      </c>
      <c r="AC107" s="4523">
        <v>187318</v>
      </c>
      <c r="AD107" s="4523">
        <v>282326</v>
      </c>
      <c r="AE107" s="4526">
        <v>180689</v>
      </c>
      <c r="AF107" s="4542">
        <v>135912</v>
      </c>
      <c r="AG107" s="4567">
        <v>86984</v>
      </c>
      <c r="AH107" s="4542">
        <v>45122</v>
      </c>
      <c r="AI107" s="4567">
        <v>28878</v>
      </c>
      <c r="AJ107" s="4569">
        <f>SUM(AJ85)</f>
        <v>307101</v>
      </c>
      <c r="AK107" s="4572">
        <v>196545</v>
      </c>
      <c r="AL107" s="4542">
        <f>SUM(AL85)</f>
        <v>86875</v>
      </c>
      <c r="AM107" s="4542">
        <v>55600</v>
      </c>
      <c r="AN107" s="4542">
        <f>SUM(AN85)</f>
        <v>2145</v>
      </c>
      <c r="AO107" s="4542">
        <v>1373</v>
      </c>
      <c r="AP107" s="4542">
        <v>12718</v>
      </c>
      <c r="AQ107" s="4567">
        <v>8140</v>
      </c>
      <c r="AR107" s="4542">
        <v>26</v>
      </c>
      <c r="AS107" s="4567">
        <v>17</v>
      </c>
      <c r="AT107" s="4542">
        <v>37</v>
      </c>
      <c r="AU107" s="4567">
        <v>24</v>
      </c>
      <c r="AV107" s="4542" t="s">
        <v>767</v>
      </c>
      <c r="AW107" s="4567" t="s">
        <v>767</v>
      </c>
      <c r="AX107" s="4569" t="s">
        <v>767</v>
      </c>
      <c r="AY107" s="4572" t="s">
        <v>767</v>
      </c>
      <c r="AZ107" s="4542">
        <v>53164</v>
      </c>
      <c r="BA107" s="4572">
        <v>34025</v>
      </c>
      <c r="BB107" s="4542">
        <v>16982</v>
      </c>
      <c r="BC107" s="4567">
        <v>10868</v>
      </c>
      <c r="BD107" s="4569">
        <v>60013</v>
      </c>
      <c r="BE107" s="4572">
        <v>38408</v>
      </c>
      <c r="BF107" s="4542">
        <v>575010</v>
      </c>
      <c r="BG107" s="4572">
        <v>368006</v>
      </c>
      <c r="BH107" s="4542">
        <v>8</v>
      </c>
      <c r="BI107" s="4568">
        <f>SUM(X107:X119)</f>
        <v>110865000</v>
      </c>
      <c r="BJ107" s="4568">
        <f>SUM(Y107:Y119)</f>
        <v>72103000</v>
      </c>
      <c r="BK107" s="3184">
        <f>+BJ107/BI107</f>
        <v>0.6503675641546024</v>
      </c>
      <c r="BL107" s="4542" t="s">
        <v>768</v>
      </c>
      <c r="BM107" s="4542" t="s">
        <v>884</v>
      </c>
      <c r="BN107" s="4553">
        <v>43467</v>
      </c>
      <c r="BO107" s="4553">
        <v>43830</v>
      </c>
      <c r="BP107" s="4553">
        <v>43830</v>
      </c>
      <c r="BQ107" s="4553">
        <v>43830</v>
      </c>
      <c r="BR107" s="4556" t="s">
        <v>770</v>
      </c>
    </row>
    <row r="108" spans="1:316" s="978" customFormat="1" ht="71.25" customHeight="1" x14ac:dyDescent="0.2">
      <c r="A108" s="971"/>
      <c r="B108" s="972"/>
      <c r="C108" s="973"/>
      <c r="D108" s="972"/>
      <c r="E108" s="972"/>
      <c r="F108" s="973"/>
      <c r="G108" s="979"/>
      <c r="H108" s="972"/>
      <c r="I108" s="973"/>
      <c r="J108" s="4518"/>
      <c r="K108" s="4521"/>
      <c r="L108" s="4524"/>
      <c r="M108" s="4524"/>
      <c r="N108" s="4526"/>
      <c r="O108" s="4524"/>
      <c r="P108" s="4524"/>
      <c r="Q108" s="4521"/>
      <c r="R108" s="4531"/>
      <c r="S108" s="4534"/>
      <c r="T108" s="4521"/>
      <c r="U108" s="4521"/>
      <c r="V108" s="4551" t="s">
        <v>885</v>
      </c>
      <c r="W108" s="2300">
        <v>28000000</v>
      </c>
      <c r="X108" s="1809">
        <v>20721250</v>
      </c>
      <c r="Y108" s="1809">
        <v>13828750</v>
      </c>
      <c r="Z108" s="977">
        <v>61</v>
      </c>
      <c r="AA108" s="1008" t="s">
        <v>883</v>
      </c>
      <c r="AB108" s="4524"/>
      <c r="AC108" s="4524"/>
      <c r="AD108" s="4524"/>
      <c r="AE108" s="4526"/>
      <c r="AF108" s="4543"/>
      <c r="AG108" s="4567"/>
      <c r="AH108" s="4543"/>
      <c r="AI108" s="4567"/>
      <c r="AJ108" s="4570"/>
      <c r="AK108" s="4572"/>
      <c r="AL108" s="4543"/>
      <c r="AM108" s="4543"/>
      <c r="AN108" s="4543"/>
      <c r="AO108" s="4543"/>
      <c r="AP108" s="4543"/>
      <c r="AQ108" s="4567"/>
      <c r="AR108" s="4543"/>
      <c r="AS108" s="4567"/>
      <c r="AT108" s="4543"/>
      <c r="AU108" s="4567"/>
      <c r="AV108" s="4543"/>
      <c r="AW108" s="4567"/>
      <c r="AX108" s="4570"/>
      <c r="AY108" s="4572"/>
      <c r="AZ108" s="4543"/>
      <c r="BA108" s="4572"/>
      <c r="BB108" s="4543"/>
      <c r="BC108" s="4567"/>
      <c r="BD108" s="4570"/>
      <c r="BE108" s="4572"/>
      <c r="BF108" s="4543"/>
      <c r="BG108" s="4572"/>
      <c r="BH108" s="4543"/>
      <c r="BI108" s="4543"/>
      <c r="BJ108" s="4543"/>
      <c r="BK108" s="3185"/>
      <c r="BL108" s="4543"/>
      <c r="BM108" s="4543"/>
      <c r="BN108" s="4554"/>
      <c r="BO108" s="4554"/>
      <c r="BP108" s="4554"/>
      <c r="BQ108" s="4554"/>
      <c r="BR108" s="4557"/>
    </row>
    <row r="109" spans="1:316" s="978" customFormat="1" ht="49.5" customHeight="1" x14ac:dyDescent="0.2">
      <c r="A109" s="971"/>
      <c r="B109" s="972"/>
      <c r="C109" s="973"/>
      <c r="D109" s="972"/>
      <c r="E109" s="972"/>
      <c r="F109" s="973"/>
      <c r="G109" s="979"/>
      <c r="H109" s="972"/>
      <c r="I109" s="973"/>
      <c r="J109" s="4518"/>
      <c r="K109" s="4521"/>
      <c r="L109" s="4524"/>
      <c r="M109" s="4524"/>
      <c r="N109" s="4526"/>
      <c r="O109" s="4524"/>
      <c r="P109" s="4524"/>
      <c r="Q109" s="4521"/>
      <c r="R109" s="4531"/>
      <c r="S109" s="4534"/>
      <c r="T109" s="4521"/>
      <c r="U109" s="4521"/>
      <c r="V109" s="4552"/>
      <c r="W109" s="2608">
        <v>7500000</v>
      </c>
      <c r="X109" s="2608">
        <v>0</v>
      </c>
      <c r="Y109" s="2608">
        <v>0</v>
      </c>
      <c r="Z109" s="1009">
        <v>98</v>
      </c>
      <c r="AA109" s="1010" t="s">
        <v>886</v>
      </c>
      <c r="AB109" s="4524"/>
      <c r="AC109" s="4524"/>
      <c r="AD109" s="4524"/>
      <c r="AE109" s="4526"/>
      <c r="AF109" s="4543"/>
      <c r="AG109" s="4567"/>
      <c r="AH109" s="4543"/>
      <c r="AI109" s="4567"/>
      <c r="AJ109" s="4570"/>
      <c r="AK109" s="4572"/>
      <c r="AL109" s="4543"/>
      <c r="AM109" s="4543"/>
      <c r="AN109" s="4543"/>
      <c r="AO109" s="4543"/>
      <c r="AP109" s="4543"/>
      <c r="AQ109" s="4567"/>
      <c r="AR109" s="4543"/>
      <c r="AS109" s="4567"/>
      <c r="AT109" s="4543"/>
      <c r="AU109" s="4567"/>
      <c r="AV109" s="4543"/>
      <c r="AW109" s="4567"/>
      <c r="AX109" s="4570"/>
      <c r="AY109" s="4572"/>
      <c r="AZ109" s="4543"/>
      <c r="BA109" s="4572"/>
      <c r="BB109" s="4543"/>
      <c r="BC109" s="4567"/>
      <c r="BD109" s="4570"/>
      <c r="BE109" s="4572"/>
      <c r="BF109" s="4543"/>
      <c r="BG109" s="4572"/>
      <c r="BH109" s="4543"/>
      <c r="BI109" s="4543"/>
      <c r="BJ109" s="4543"/>
      <c r="BK109" s="3185"/>
      <c r="BL109" s="4543"/>
      <c r="BM109" s="4543"/>
      <c r="BN109" s="4554"/>
      <c r="BO109" s="4554"/>
      <c r="BP109" s="4554"/>
      <c r="BQ109" s="4554"/>
      <c r="BR109" s="4557"/>
    </row>
    <row r="110" spans="1:316" s="978" customFormat="1" ht="71.25" x14ac:dyDescent="0.2">
      <c r="A110" s="971"/>
      <c r="B110" s="972"/>
      <c r="C110" s="973"/>
      <c r="D110" s="972"/>
      <c r="E110" s="972"/>
      <c r="F110" s="973"/>
      <c r="G110" s="979"/>
      <c r="H110" s="972"/>
      <c r="I110" s="973"/>
      <c r="J110" s="4518"/>
      <c r="K110" s="4521"/>
      <c r="L110" s="4524"/>
      <c r="M110" s="4524"/>
      <c r="N110" s="4526"/>
      <c r="O110" s="4524"/>
      <c r="P110" s="4524"/>
      <c r="Q110" s="4521"/>
      <c r="R110" s="4531"/>
      <c r="S110" s="4534"/>
      <c r="T110" s="4521"/>
      <c r="U110" s="4521"/>
      <c r="V110" s="980" t="s">
        <v>887</v>
      </c>
      <c r="W110" s="2300">
        <v>28000000</v>
      </c>
      <c r="X110" s="1809">
        <v>20721250</v>
      </c>
      <c r="Y110" s="1809">
        <v>13828750</v>
      </c>
      <c r="Z110" s="977">
        <v>61</v>
      </c>
      <c r="AA110" s="1008" t="s">
        <v>883</v>
      </c>
      <c r="AB110" s="4524"/>
      <c r="AC110" s="4524"/>
      <c r="AD110" s="4524"/>
      <c r="AE110" s="4526"/>
      <c r="AF110" s="4543"/>
      <c r="AG110" s="4567"/>
      <c r="AH110" s="4543"/>
      <c r="AI110" s="4567"/>
      <c r="AJ110" s="4570"/>
      <c r="AK110" s="4572"/>
      <c r="AL110" s="4543"/>
      <c r="AM110" s="4543"/>
      <c r="AN110" s="4543"/>
      <c r="AO110" s="4543"/>
      <c r="AP110" s="4543"/>
      <c r="AQ110" s="4567"/>
      <c r="AR110" s="4543"/>
      <c r="AS110" s="4567"/>
      <c r="AT110" s="4543"/>
      <c r="AU110" s="4567"/>
      <c r="AV110" s="4543"/>
      <c r="AW110" s="4567"/>
      <c r="AX110" s="4570"/>
      <c r="AY110" s="4572"/>
      <c r="AZ110" s="4543"/>
      <c r="BA110" s="4572"/>
      <c r="BB110" s="4543"/>
      <c r="BC110" s="4567"/>
      <c r="BD110" s="4570"/>
      <c r="BE110" s="4572"/>
      <c r="BF110" s="4543"/>
      <c r="BG110" s="4572"/>
      <c r="BH110" s="4543"/>
      <c r="BI110" s="4543"/>
      <c r="BJ110" s="4543"/>
      <c r="BK110" s="3185"/>
      <c r="BL110" s="4543"/>
      <c r="BM110" s="4543"/>
      <c r="BN110" s="4554"/>
      <c r="BO110" s="4554"/>
      <c r="BP110" s="4554"/>
      <c r="BQ110" s="4554"/>
      <c r="BR110" s="4557"/>
    </row>
    <row r="111" spans="1:316" s="978" customFormat="1" ht="85.5" x14ac:dyDescent="0.2">
      <c r="A111" s="971"/>
      <c r="B111" s="972"/>
      <c r="C111" s="973"/>
      <c r="D111" s="972"/>
      <c r="E111" s="972"/>
      <c r="F111" s="973"/>
      <c r="G111" s="979"/>
      <c r="H111" s="972"/>
      <c r="I111" s="973"/>
      <c r="J111" s="4519"/>
      <c r="K111" s="4522"/>
      <c r="L111" s="4525"/>
      <c r="M111" s="4525"/>
      <c r="N111" s="4526"/>
      <c r="O111" s="4524"/>
      <c r="P111" s="4524"/>
      <c r="Q111" s="4521"/>
      <c r="R111" s="4532"/>
      <c r="S111" s="4534"/>
      <c r="T111" s="4521"/>
      <c r="U111" s="4522"/>
      <c r="V111" s="980" t="s">
        <v>888</v>
      </c>
      <c r="W111" s="2300">
        <v>28000000</v>
      </c>
      <c r="X111" s="1809">
        <v>20721250</v>
      </c>
      <c r="Y111" s="1809">
        <v>13828750</v>
      </c>
      <c r="Z111" s="977">
        <v>61</v>
      </c>
      <c r="AA111" s="1008" t="s">
        <v>883</v>
      </c>
      <c r="AB111" s="4524"/>
      <c r="AC111" s="4524"/>
      <c r="AD111" s="4524"/>
      <c r="AE111" s="4526"/>
      <c r="AF111" s="4543"/>
      <c r="AG111" s="4567"/>
      <c r="AH111" s="4543"/>
      <c r="AI111" s="4567"/>
      <c r="AJ111" s="4570"/>
      <c r="AK111" s="4572"/>
      <c r="AL111" s="4543"/>
      <c r="AM111" s="4543"/>
      <c r="AN111" s="4543"/>
      <c r="AO111" s="4543"/>
      <c r="AP111" s="4543"/>
      <c r="AQ111" s="4567"/>
      <c r="AR111" s="4543"/>
      <c r="AS111" s="4567"/>
      <c r="AT111" s="4543"/>
      <c r="AU111" s="4567"/>
      <c r="AV111" s="4543"/>
      <c r="AW111" s="4567"/>
      <c r="AX111" s="4570"/>
      <c r="AY111" s="4572"/>
      <c r="AZ111" s="4543"/>
      <c r="BA111" s="4572"/>
      <c r="BB111" s="4543"/>
      <c r="BC111" s="4567"/>
      <c r="BD111" s="4570"/>
      <c r="BE111" s="4572"/>
      <c r="BF111" s="4543"/>
      <c r="BG111" s="4572"/>
      <c r="BH111" s="4543"/>
      <c r="BI111" s="4543"/>
      <c r="BJ111" s="4543"/>
      <c r="BK111" s="3185"/>
      <c r="BL111" s="4543"/>
      <c r="BM111" s="4543"/>
      <c r="BN111" s="4554"/>
      <c r="BO111" s="4554"/>
      <c r="BP111" s="4554"/>
      <c r="BQ111" s="4554"/>
      <c r="BR111" s="4557"/>
    </row>
    <row r="112" spans="1:316" s="978" customFormat="1" ht="71.25" x14ac:dyDescent="0.2">
      <c r="A112" s="971"/>
      <c r="B112" s="972"/>
      <c r="C112" s="973"/>
      <c r="D112" s="972"/>
      <c r="E112" s="972"/>
      <c r="F112" s="973"/>
      <c r="G112" s="979"/>
      <c r="H112" s="972"/>
      <c r="I112" s="973"/>
      <c r="J112" s="4517">
        <v>140</v>
      </c>
      <c r="K112" s="4520" t="s">
        <v>889</v>
      </c>
      <c r="L112" s="4523" t="s">
        <v>759</v>
      </c>
      <c r="M112" s="4523">
        <v>1</v>
      </c>
      <c r="N112" s="4526">
        <v>0.5</v>
      </c>
      <c r="O112" s="4524"/>
      <c r="P112" s="4524"/>
      <c r="Q112" s="4521"/>
      <c r="R112" s="4530">
        <f>SUM(W112:W115)/S107</f>
        <v>0.15300546448087432</v>
      </c>
      <c r="S112" s="4534"/>
      <c r="T112" s="4521"/>
      <c r="U112" s="4520" t="s">
        <v>890</v>
      </c>
      <c r="V112" s="980" t="s">
        <v>891</v>
      </c>
      <c r="W112" s="2300">
        <v>7000000</v>
      </c>
      <c r="X112" s="1809">
        <v>3497500</v>
      </c>
      <c r="Y112" s="1809">
        <v>2798000</v>
      </c>
      <c r="Z112" s="977">
        <v>61</v>
      </c>
      <c r="AA112" s="1008" t="s">
        <v>883</v>
      </c>
      <c r="AB112" s="4524"/>
      <c r="AC112" s="4524"/>
      <c r="AD112" s="4524"/>
      <c r="AE112" s="4526"/>
      <c r="AF112" s="4543"/>
      <c r="AG112" s="4567"/>
      <c r="AH112" s="4543"/>
      <c r="AI112" s="4567"/>
      <c r="AJ112" s="4570"/>
      <c r="AK112" s="4572"/>
      <c r="AL112" s="4543"/>
      <c r="AM112" s="4543"/>
      <c r="AN112" s="4543"/>
      <c r="AO112" s="4543"/>
      <c r="AP112" s="4543"/>
      <c r="AQ112" s="4567"/>
      <c r="AR112" s="4543"/>
      <c r="AS112" s="4567"/>
      <c r="AT112" s="4543"/>
      <c r="AU112" s="4567"/>
      <c r="AV112" s="4543"/>
      <c r="AW112" s="4567"/>
      <c r="AX112" s="4570"/>
      <c r="AY112" s="4572"/>
      <c r="AZ112" s="4543"/>
      <c r="BA112" s="4572"/>
      <c r="BB112" s="4543"/>
      <c r="BC112" s="4567"/>
      <c r="BD112" s="4570"/>
      <c r="BE112" s="4572"/>
      <c r="BF112" s="4543"/>
      <c r="BG112" s="4572"/>
      <c r="BH112" s="4543"/>
      <c r="BI112" s="4543"/>
      <c r="BJ112" s="4543"/>
      <c r="BK112" s="3185"/>
      <c r="BL112" s="4543"/>
      <c r="BM112" s="4543"/>
      <c r="BN112" s="4554"/>
      <c r="BO112" s="4554"/>
      <c r="BP112" s="4554"/>
      <c r="BQ112" s="4554"/>
      <c r="BR112" s="4557"/>
    </row>
    <row r="113" spans="1:70" s="978" customFormat="1" ht="99.75" x14ac:dyDescent="0.2">
      <c r="A113" s="971"/>
      <c r="B113" s="972"/>
      <c r="C113" s="973"/>
      <c r="D113" s="972"/>
      <c r="E113" s="972"/>
      <c r="F113" s="973"/>
      <c r="G113" s="979"/>
      <c r="H113" s="972"/>
      <c r="I113" s="973"/>
      <c r="J113" s="4518"/>
      <c r="K113" s="4521"/>
      <c r="L113" s="4524"/>
      <c r="M113" s="4524"/>
      <c r="N113" s="4526"/>
      <c r="O113" s="4524"/>
      <c r="P113" s="4524"/>
      <c r="Q113" s="4521"/>
      <c r="R113" s="4531"/>
      <c r="S113" s="4534"/>
      <c r="T113" s="4521"/>
      <c r="U113" s="4521"/>
      <c r="V113" s="980" t="s">
        <v>892</v>
      </c>
      <c r="W113" s="2300">
        <v>7000000</v>
      </c>
      <c r="X113" s="1809">
        <v>3497500</v>
      </c>
      <c r="Y113" s="1809">
        <v>2798000</v>
      </c>
      <c r="Z113" s="977">
        <v>61</v>
      </c>
      <c r="AA113" s="1008" t="s">
        <v>883</v>
      </c>
      <c r="AB113" s="4524"/>
      <c r="AC113" s="4524"/>
      <c r="AD113" s="4524"/>
      <c r="AE113" s="4526"/>
      <c r="AF113" s="4543"/>
      <c r="AG113" s="4567"/>
      <c r="AH113" s="4543"/>
      <c r="AI113" s="4567"/>
      <c r="AJ113" s="4570"/>
      <c r="AK113" s="4572"/>
      <c r="AL113" s="4543"/>
      <c r="AM113" s="4543"/>
      <c r="AN113" s="4543"/>
      <c r="AO113" s="4543"/>
      <c r="AP113" s="4543"/>
      <c r="AQ113" s="4567"/>
      <c r="AR113" s="4543"/>
      <c r="AS113" s="4567"/>
      <c r="AT113" s="4543"/>
      <c r="AU113" s="4567"/>
      <c r="AV113" s="4543"/>
      <c r="AW113" s="4567"/>
      <c r="AX113" s="4570"/>
      <c r="AY113" s="4572"/>
      <c r="AZ113" s="4543"/>
      <c r="BA113" s="4572"/>
      <c r="BB113" s="4543"/>
      <c r="BC113" s="4567"/>
      <c r="BD113" s="4570"/>
      <c r="BE113" s="4572"/>
      <c r="BF113" s="4543"/>
      <c r="BG113" s="4572"/>
      <c r="BH113" s="4543"/>
      <c r="BI113" s="4543"/>
      <c r="BJ113" s="4543"/>
      <c r="BK113" s="3185"/>
      <c r="BL113" s="4543"/>
      <c r="BM113" s="4543"/>
      <c r="BN113" s="4554"/>
      <c r="BO113" s="4554"/>
      <c r="BP113" s="4554"/>
      <c r="BQ113" s="4554"/>
      <c r="BR113" s="4557"/>
    </row>
    <row r="114" spans="1:70" s="978" customFormat="1" ht="42.75" x14ac:dyDescent="0.2">
      <c r="A114" s="971"/>
      <c r="B114" s="972"/>
      <c r="C114" s="973"/>
      <c r="D114" s="972"/>
      <c r="E114" s="972"/>
      <c r="F114" s="973"/>
      <c r="G114" s="979"/>
      <c r="H114" s="972"/>
      <c r="I114" s="973"/>
      <c r="J114" s="4518"/>
      <c r="K114" s="4521"/>
      <c r="L114" s="4524"/>
      <c r="M114" s="4524"/>
      <c r="N114" s="4526"/>
      <c r="O114" s="4524"/>
      <c r="P114" s="4524"/>
      <c r="Q114" s="4521"/>
      <c r="R114" s="4531"/>
      <c r="S114" s="4534"/>
      <c r="T114" s="4521"/>
      <c r="U114" s="4521"/>
      <c r="V114" s="980" t="s">
        <v>893</v>
      </c>
      <c r="W114" s="2300">
        <v>7000000</v>
      </c>
      <c r="X114" s="1809">
        <v>3497500</v>
      </c>
      <c r="Y114" s="1809">
        <v>2798000</v>
      </c>
      <c r="Z114" s="977">
        <v>61</v>
      </c>
      <c r="AA114" s="1008" t="s">
        <v>883</v>
      </c>
      <c r="AB114" s="4524"/>
      <c r="AC114" s="4524"/>
      <c r="AD114" s="4524"/>
      <c r="AE114" s="4526"/>
      <c r="AF114" s="4543"/>
      <c r="AG114" s="4567"/>
      <c r="AH114" s="4543"/>
      <c r="AI114" s="4567"/>
      <c r="AJ114" s="4570"/>
      <c r="AK114" s="4572"/>
      <c r="AL114" s="4543"/>
      <c r="AM114" s="4543"/>
      <c r="AN114" s="4543"/>
      <c r="AO114" s="4543"/>
      <c r="AP114" s="4543"/>
      <c r="AQ114" s="4567"/>
      <c r="AR114" s="4543"/>
      <c r="AS114" s="4567"/>
      <c r="AT114" s="4543"/>
      <c r="AU114" s="4567"/>
      <c r="AV114" s="4543"/>
      <c r="AW114" s="4567"/>
      <c r="AX114" s="4570"/>
      <c r="AY114" s="4572"/>
      <c r="AZ114" s="4543"/>
      <c r="BA114" s="4572"/>
      <c r="BB114" s="4543"/>
      <c r="BC114" s="4567"/>
      <c r="BD114" s="4570"/>
      <c r="BE114" s="4572"/>
      <c r="BF114" s="4543"/>
      <c r="BG114" s="4572"/>
      <c r="BH114" s="4543"/>
      <c r="BI114" s="4543"/>
      <c r="BJ114" s="4543"/>
      <c r="BK114" s="3185"/>
      <c r="BL114" s="4543"/>
      <c r="BM114" s="4543"/>
      <c r="BN114" s="4554"/>
      <c r="BO114" s="4554"/>
      <c r="BP114" s="4554"/>
      <c r="BQ114" s="4554"/>
      <c r="BR114" s="4557"/>
    </row>
    <row r="115" spans="1:70" s="978" customFormat="1" ht="85.5" x14ac:dyDescent="0.2">
      <c r="A115" s="971"/>
      <c r="B115" s="972"/>
      <c r="C115" s="973"/>
      <c r="D115" s="972"/>
      <c r="E115" s="972"/>
      <c r="F115" s="973"/>
      <c r="G115" s="979"/>
      <c r="H115" s="972"/>
      <c r="I115" s="973"/>
      <c r="J115" s="4519"/>
      <c r="K115" s="4522"/>
      <c r="L115" s="4525"/>
      <c r="M115" s="4525"/>
      <c r="N115" s="4526"/>
      <c r="O115" s="4524"/>
      <c r="P115" s="4524"/>
      <c r="Q115" s="4521"/>
      <c r="R115" s="4532"/>
      <c r="S115" s="4534"/>
      <c r="T115" s="4521"/>
      <c r="U115" s="4522"/>
      <c r="V115" s="980" t="s">
        <v>894</v>
      </c>
      <c r="W115" s="2300">
        <v>7000000</v>
      </c>
      <c r="X115" s="1809">
        <v>3497500</v>
      </c>
      <c r="Y115" s="1809">
        <v>2798000</v>
      </c>
      <c r="Z115" s="977">
        <v>61</v>
      </c>
      <c r="AA115" s="1008" t="s">
        <v>883</v>
      </c>
      <c r="AB115" s="4524"/>
      <c r="AC115" s="4524"/>
      <c r="AD115" s="4524"/>
      <c r="AE115" s="4526"/>
      <c r="AF115" s="4543"/>
      <c r="AG115" s="4567"/>
      <c r="AH115" s="4543"/>
      <c r="AI115" s="4567"/>
      <c r="AJ115" s="4570"/>
      <c r="AK115" s="4572"/>
      <c r="AL115" s="4543"/>
      <c r="AM115" s="4543"/>
      <c r="AN115" s="4543"/>
      <c r="AO115" s="4543"/>
      <c r="AP115" s="4543"/>
      <c r="AQ115" s="4567"/>
      <c r="AR115" s="4543"/>
      <c r="AS115" s="4567"/>
      <c r="AT115" s="4543"/>
      <c r="AU115" s="4567"/>
      <c r="AV115" s="4543"/>
      <c r="AW115" s="4567"/>
      <c r="AX115" s="4570"/>
      <c r="AY115" s="4572"/>
      <c r="AZ115" s="4543"/>
      <c r="BA115" s="4572"/>
      <c r="BB115" s="4543"/>
      <c r="BC115" s="4567"/>
      <c r="BD115" s="4570"/>
      <c r="BE115" s="4572"/>
      <c r="BF115" s="4543"/>
      <c r="BG115" s="4572"/>
      <c r="BH115" s="4543"/>
      <c r="BI115" s="4543"/>
      <c r="BJ115" s="4543"/>
      <c r="BK115" s="3185"/>
      <c r="BL115" s="4543"/>
      <c r="BM115" s="4543"/>
      <c r="BN115" s="4554"/>
      <c r="BO115" s="4554"/>
      <c r="BP115" s="4554"/>
      <c r="BQ115" s="4554"/>
      <c r="BR115" s="4557"/>
    </row>
    <row r="116" spans="1:70" s="978" customFormat="1" ht="71.25" x14ac:dyDescent="0.2">
      <c r="A116" s="971"/>
      <c r="B116" s="972"/>
      <c r="C116" s="973"/>
      <c r="D116" s="972"/>
      <c r="E116" s="972"/>
      <c r="F116" s="973"/>
      <c r="G116" s="979"/>
      <c r="H116" s="972"/>
      <c r="I116" s="973"/>
      <c r="J116" s="4517">
        <v>141</v>
      </c>
      <c r="K116" s="4520" t="s">
        <v>895</v>
      </c>
      <c r="L116" s="4523" t="s">
        <v>759</v>
      </c>
      <c r="M116" s="4523">
        <v>1</v>
      </c>
      <c r="N116" s="4526">
        <v>0.5</v>
      </c>
      <c r="O116" s="4524"/>
      <c r="P116" s="4524"/>
      <c r="Q116" s="4521"/>
      <c r="R116" s="4530">
        <f>SUM(W116:W119)/S107</f>
        <v>0.19398907103825136</v>
      </c>
      <c r="S116" s="4534"/>
      <c r="T116" s="4521"/>
      <c r="U116" s="4520" t="s">
        <v>896</v>
      </c>
      <c r="V116" s="980" t="s">
        <v>897</v>
      </c>
      <c r="W116" s="2300">
        <v>10000000</v>
      </c>
      <c r="X116" s="1809">
        <v>4664000</v>
      </c>
      <c r="Y116" s="1809">
        <v>1865300</v>
      </c>
      <c r="Z116" s="977">
        <v>61</v>
      </c>
      <c r="AA116" s="1008" t="s">
        <v>883</v>
      </c>
      <c r="AB116" s="4524"/>
      <c r="AC116" s="4524"/>
      <c r="AD116" s="4524"/>
      <c r="AE116" s="4526"/>
      <c r="AF116" s="4543"/>
      <c r="AG116" s="4567"/>
      <c r="AH116" s="4543"/>
      <c r="AI116" s="4567"/>
      <c r="AJ116" s="4570"/>
      <c r="AK116" s="4572"/>
      <c r="AL116" s="4543"/>
      <c r="AM116" s="4543"/>
      <c r="AN116" s="4543"/>
      <c r="AO116" s="4543"/>
      <c r="AP116" s="4543"/>
      <c r="AQ116" s="4567"/>
      <c r="AR116" s="4543"/>
      <c r="AS116" s="4567"/>
      <c r="AT116" s="4543"/>
      <c r="AU116" s="4567"/>
      <c r="AV116" s="4543"/>
      <c r="AW116" s="4567"/>
      <c r="AX116" s="4570"/>
      <c r="AY116" s="4572"/>
      <c r="AZ116" s="4543"/>
      <c r="BA116" s="4572"/>
      <c r="BB116" s="4543"/>
      <c r="BC116" s="4567"/>
      <c r="BD116" s="4570"/>
      <c r="BE116" s="4572"/>
      <c r="BF116" s="4543"/>
      <c r="BG116" s="4572"/>
      <c r="BH116" s="4543"/>
      <c r="BI116" s="4543"/>
      <c r="BJ116" s="4543"/>
      <c r="BK116" s="3185"/>
      <c r="BL116" s="4543"/>
      <c r="BM116" s="4543"/>
      <c r="BN116" s="4554"/>
      <c r="BO116" s="4554"/>
      <c r="BP116" s="4554"/>
      <c r="BQ116" s="4554"/>
      <c r="BR116" s="4557"/>
    </row>
    <row r="117" spans="1:70" s="978" customFormat="1" ht="142.5" x14ac:dyDescent="0.2">
      <c r="A117" s="971"/>
      <c r="B117" s="972"/>
      <c r="C117" s="973"/>
      <c r="D117" s="972"/>
      <c r="E117" s="972"/>
      <c r="F117" s="973"/>
      <c r="G117" s="979"/>
      <c r="H117" s="972"/>
      <c r="I117" s="973"/>
      <c r="J117" s="4518"/>
      <c r="K117" s="4521"/>
      <c r="L117" s="4524"/>
      <c r="M117" s="4524"/>
      <c r="N117" s="4526"/>
      <c r="O117" s="4524"/>
      <c r="P117" s="4524"/>
      <c r="Q117" s="4521"/>
      <c r="R117" s="4531"/>
      <c r="S117" s="4534"/>
      <c r="T117" s="4521"/>
      <c r="U117" s="4521"/>
      <c r="V117" s="980" t="s">
        <v>898</v>
      </c>
      <c r="W117" s="2300">
        <v>10000000</v>
      </c>
      <c r="X117" s="1809">
        <v>4663000</v>
      </c>
      <c r="Y117" s="1809">
        <v>1865300</v>
      </c>
      <c r="Z117" s="977">
        <v>61</v>
      </c>
      <c r="AA117" s="1008" t="s">
        <v>883</v>
      </c>
      <c r="AB117" s="4524"/>
      <c r="AC117" s="4524"/>
      <c r="AD117" s="4524"/>
      <c r="AE117" s="4526"/>
      <c r="AF117" s="4543"/>
      <c r="AG117" s="4567"/>
      <c r="AH117" s="4543"/>
      <c r="AI117" s="4567"/>
      <c r="AJ117" s="4570"/>
      <c r="AK117" s="4572"/>
      <c r="AL117" s="4543"/>
      <c r="AM117" s="4543"/>
      <c r="AN117" s="4543"/>
      <c r="AO117" s="4543"/>
      <c r="AP117" s="4543"/>
      <c r="AQ117" s="4567"/>
      <c r="AR117" s="4543"/>
      <c r="AS117" s="4567"/>
      <c r="AT117" s="4543"/>
      <c r="AU117" s="4567"/>
      <c r="AV117" s="4543"/>
      <c r="AW117" s="4567"/>
      <c r="AX117" s="4570"/>
      <c r="AY117" s="4572"/>
      <c r="AZ117" s="4543"/>
      <c r="BA117" s="4572"/>
      <c r="BB117" s="4543"/>
      <c r="BC117" s="4567"/>
      <c r="BD117" s="4570"/>
      <c r="BE117" s="4572"/>
      <c r="BF117" s="4543"/>
      <c r="BG117" s="4572"/>
      <c r="BH117" s="4543"/>
      <c r="BI117" s="4543"/>
      <c r="BJ117" s="4543"/>
      <c r="BK117" s="3185"/>
      <c r="BL117" s="4543"/>
      <c r="BM117" s="4543"/>
      <c r="BN117" s="4554"/>
      <c r="BO117" s="4554"/>
      <c r="BP117" s="4554"/>
      <c r="BQ117" s="4554"/>
      <c r="BR117" s="4557"/>
    </row>
    <row r="118" spans="1:70" s="978" customFormat="1" ht="55.5" customHeight="1" x14ac:dyDescent="0.2">
      <c r="A118" s="971"/>
      <c r="B118" s="972"/>
      <c r="C118" s="973"/>
      <c r="D118" s="972"/>
      <c r="E118" s="972"/>
      <c r="F118" s="973"/>
      <c r="G118" s="979"/>
      <c r="H118" s="972"/>
      <c r="I118" s="973"/>
      <c r="J118" s="4518"/>
      <c r="K118" s="4521"/>
      <c r="L118" s="4524"/>
      <c r="M118" s="4524"/>
      <c r="N118" s="4526"/>
      <c r="O118" s="4524"/>
      <c r="P118" s="4524"/>
      <c r="Q118" s="4521"/>
      <c r="R118" s="4531"/>
      <c r="S118" s="4534"/>
      <c r="T118" s="4521"/>
      <c r="U118" s="4521"/>
      <c r="V118" s="4551" t="s">
        <v>899</v>
      </c>
      <c r="W118" s="2608">
        <v>7500000</v>
      </c>
      <c r="X118" s="1809">
        <v>0</v>
      </c>
      <c r="Y118" s="1809">
        <v>0</v>
      </c>
      <c r="Z118" s="1009">
        <v>98</v>
      </c>
      <c r="AA118" s="1010" t="s">
        <v>886</v>
      </c>
      <c r="AB118" s="4524"/>
      <c r="AC118" s="4524"/>
      <c r="AD118" s="4524"/>
      <c r="AE118" s="4526"/>
      <c r="AF118" s="4543"/>
      <c r="AG118" s="4567"/>
      <c r="AH118" s="4543"/>
      <c r="AI118" s="4567"/>
      <c r="AJ118" s="4570"/>
      <c r="AK118" s="4572"/>
      <c r="AL118" s="4543"/>
      <c r="AM118" s="4543"/>
      <c r="AN118" s="4543"/>
      <c r="AO118" s="4543"/>
      <c r="AP118" s="4543"/>
      <c r="AQ118" s="4567"/>
      <c r="AR118" s="4543"/>
      <c r="AS118" s="4567"/>
      <c r="AT118" s="4543"/>
      <c r="AU118" s="4567"/>
      <c r="AV118" s="4543"/>
      <c r="AW118" s="4567"/>
      <c r="AX118" s="4570"/>
      <c r="AY118" s="4572"/>
      <c r="AZ118" s="4543"/>
      <c r="BA118" s="4572"/>
      <c r="BB118" s="4543"/>
      <c r="BC118" s="4567"/>
      <c r="BD118" s="4570"/>
      <c r="BE118" s="4572"/>
      <c r="BF118" s="4543"/>
      <c r="BG118" s="4572"/>
      <c r="BH118" s="4543"/>
      <c r="BI118" s="4543"/>
      <c r="BJ118" s="4543"/>
      <c r="BK118" s="3185"/>
      <c r="BL118" s="4543"/>
      <c r="BM118" s="4543"/>
      <c r="BN118" s="4554"/>
      <c r="BO118" s="4554"/>
      <c r="BP118" s="4554"/>
      <c r="BQ118" s="4554"/>
      <c r="BR118" s="4557"/>
    </row>
    <row r="119" spans="1:70" s="978" customFormat="1" ht="37.5" customHeight="1" x14ac:dyDescent="0.2">
      <c r="A119" s="971"/>
      <c r="B119" s="972"/>
      <c r="C119" s="973"/>
      <c r="D119" s="972"/>
      <c r="E119" s="972"/>
      <c r="F119" s="973"/>
      <c r="G119" s="983"/>
      <c r="H119" s="981"/>
      <c r="I119" s="982"/>
      <c r="J119" s="4519"/>
      <c r="K119" s="4522"/>
      <c r="L119" s="4525"/>
      <c r="M119" s="4525"/>
      <c r="N119" s="4526"/>
      <c r="O119" s="4525"/>
      <c r="P119" s="4525"/>
      <c r="Q119" s="4522"/>
      <c r="R119" s="4532"/>
      <c r="S119" s="4535"/>
      <c r="T119" s="4522"/>
      <c r="U119" s="4522"/>
      <c r="V119" s="4552"/>
      <c r="W119" s="2300">
        <v>8000000</v>
      </c>
      <c r="X119" s="1809">
        <v>4663000</v>
      </c>
      <c r="Y119" s="1809">
        <v>1865400</v>
      </c>
      <c r="Z119" s="977">
        <v>61</v>
      </c>
      <c r="AA119" s="1008" t="s">
        <v>883</v>
      </c>
      <c r="AB119" s="4525"/>
      <c r="AC119" s="4525"/>
      <c r="AD119" s="4525"/>
      <c r="AE119" s="4526"/>
      <c r="AF119" s="4544"/>
      <c r="AG119" s="4567"/>
      <c r="AH119" s="4544"/>
      <c r="AI119" s="4567"/>
      <c r="AJ119" s="4571"/>
      <c r="AK119" s="4572"/>
      <c r="AL119" s="4544"/>
      <c r="AM119" s="4544"/>
      <c r="AN119" s="4544"/>
      <c r="AO119" s="4544"/>
      <c r="AP119" s="4544"/>
      <c r="AQ119" s="4567"/>
      <c r="AR119" s="4544"/>
      <c r="AS119" s="4567"/>
      <c r="AT119" s="4544"/>
      <c r="AU119" s="4567"/>
      <c r="AV119" s="4544"/>
      <c r="AW119" s="4567"/>
      <c r="AX119" s="4571"/>
      <c r="AY119" s="4572"/>
      <c r="AZ119" s="4544"/>
      <c r="BA119" s="4572"/>
      <c r="BB119" s="4544"/>
      <c r="BC119" s="4567"/>
      <c r="BD119" s="4571"/>
      <c r="BE119" s="4572"/>
      <c r="BF119" s="4544"/>
      <c r="BG119" s="4572"/>
      <c r="BH119" s="4544"/>
      <c r="BI119" s="4544"/>
      <c r="BJ119" s="4544"/>
      <c r="BK119" s="3186"/>
      <c r="BL119" s="4544"/>
      <c r="BM119" s="4544"/>
      <c r="BN119" s="4554"/>
      <c r="BO119" s="4554"/>
      <c r="BP119" s="4554"/>
      <c r="BQ119" s="4554"/>
      <c r="BR119" s="4558"/>
    </row>
    <row r="120" spans="1:70" ht="36" customHeight="1" x14ac:dyDescent="0.2">
      <c r="A120" s="957"/>
      <c r="B120" s="958"/>
      <c r="C120" s="959"/>
      <c r="D120" s="958"/>
      <c r="E120" s="958"/>
      <c r="F120" s="959"/>
      <c r="G120" s="991">
        <v>40</v>
      </c>
      <c r="H120" s="963" t="s">
        <v>900</v>
      </c>
      <c r="I120" s="963"/>
      <c r="J120" s="963"/>
      <c r="K120" s="964"/>
      <c r="L120" s="963"/>
      <c r="M120" s="963"/>
      <c r="N120" s="963"/>
      <c r="O120" s="965"/>
      <c r="P120" s="992"/>
      <c r="Q120" s="964"/>
      <c r="R120" s="963"/>
      <c r="S120" s="993"/>
      <c r="T120" s="963"/>
      <c r="U120" s="964"/>
      <c r="V120" s="964"/>
      <c r="W120" s="2607"/>
      <c r="X120" s="2607"/>
      <c r="Y120" s="2607"/>
      <c r="Z120" s="994"/>
      <c r="AA120" s="1011"/>
      <c r="AB120" s="965"/>
      <c r="AC120" s="965"/>
      <c r="AD120" s="965"/>
      <c r="AE120" s="965"/>
      <c r="AF120" s="965"/>
      <c r="AG120" s="965"/>
      <c r="AH120" s="965"/>
      <c r="AI120" s="965"/>
      <c r="AJ120" s="965"/>
      <c r="AK120" s="965"/>
      <c r="AL120" s="965"/>
      <c r="AM120" s="965"/>
      <c r="AN120" s="965"/>
      <c r="AO120" s="965"/>
      <c r="AP120" s="965"/>
      <c r="AQ120" s="965"/>
      <c r="AR120" s="965"/>
      <c r="AS120" s="965"/>
      <c r="AT120" s="965"/>
      <c r="AU120" s="965"/>
      <c r="AV120" s="965"/>
      <c r="AW120" s="965"/>
      <c r="AX120" s="965"/>
      <c r="AY120" s="965"/>
      <c r="AZ120" s="965"/>
      <c r="BA120" s="965"/>
      <c r="BB120" s="965"/>
      <c r="BC120" s="965"/>
      <c r="BD120" s="965"/>
      <c r="BE120" s="965"/>
      <c r="BF120" s="965"/>
      <c r="BG120" s="965"/>
      <c r="BH120" s="965"/>
      <c r="BI120" s="965"/>
      <c r="BJ120" s="965"/>
      <c r="BK120" s="965"/>
      <c r="BL120" s="965"/>
      <c r="BM120" s="965"/>
      <c r="BN120" s="965"/>
      <c r="BO120" s="965"/>
      <c r="BP120" s="963"/>
      <c r="BQ120" s="963"/>
      <c r="BR120" s="970"/>
    </row>
    <row r="121" spans="1:70" ht="60" customHeight="1" x14ac:dyDescent="0.2">
      <c r="A121" s="995"/>
      <c r="B121" s="996"/>
      <c r="C121" s="997"/>
      <c r="D121" s="996"/>
      <c r="E121" s="996"/>
      <c r="F121" s="997"/>
      <c r="G121" s="998"/>
      <c r="H121" s="999"/>
      <c r="I121" s="1000"/>
      <c r="J121" s="4517">
        <v>142</v>
      </c>
      <c r="K121" s="4548" t="s">
        <v>901</v>
      </c>
      <c r="L121" s="4523" t="s">
        <v>759</v>
      </c>
      <c r="M121" s="4523">
        <v>12</v>
      </c>
      <c r="N121" s="4526">
        <v>6</v>
      </c>
      <c r="O121" s="4523" t="s">
        <v>902</v>
      </c>
      <c r="P121" s="4527" t="s">
        <v>903</v>
      </c>
      <c r="Q121" s="4520" t="s">
        <v>904</v>
      </c>
      <c r="R121" s="4576">
        <f>SUM(W121:W125)/S121</f>
        <v>0.74584771050059628</v>
      </c>
      <c r="S121" s="4533">
        <f>SUM(W121:W130)</f>
        <v>151105914</v>
      </c>
      <c r="T121" s="4520" t="s">
        <v>905</v>
      </c>
      <c r="U121" s="4548" t="s">
        <v>906</v>
      </c>
      <c r="V121" s="1012" t="s">
        <v>907</v>
      </c>
      <c r="W121" s="2601">
        <v>25000000</v>
      </c>
      <c r="X121" s="1809">
        <v>15513750</v>
      </c>
      <c r="Y121" s="1809">
        <v>12411000</v>
      </c>
      <c r="Z121" s="1013">
        <v>61</v>
      </c>
      <c r="AA121" s="4580" t="s">
        <v>908</v>
      </c>
      <c r="AB121" s="4577" t="s">
        <v>767</v>
      </c>
      <c r="AC121" s="4542" t="s">
        <v>767</v>
      </c>
      <c r="AD121" s="4577" t="s">
        <v>767</v>
      </c>
      <c r="AE121" s="4542" t="s">
        <v>767</v>
      </c>
      <c r="AF121" s="4577">
        <v>64149</v>
      </c>
      <c r="AG121" s="4542">
        <f t="shared" ref="AG121:AG130" si="0">SUM(AF121*0.57)</f>
        <v>36564.93</v>
      </c>
      <c r="AH121" s="4577" t="s">
        <v>767</v>
      </c>
      <c r="AI121" s="4542" t="s">
        <v>767</v>
      </c>
      <c r="AJ121" s="4577" t="s">
        <v>767</v>
      </c>
      <c r="AK121" s="4542" t="s">
        <v>767</v>
      </c>
      <c r="AL121" s="4577" t="s">
        <v>767</v>
      </c>
      <c r="AM121" s="4542" t="s">
        <v>767</v>
      </c>
      <c r="AN121" s="4577" t="s">
        <v>767</v>
      </c>
      <c r="AO121" s="4542" t="s">
        <v>767</v>
      </c>
      <c r="AP121" s="4577" t="s">
        <v>767</v>
      </c>
      <c r="AQ121" s="4542" t="s">
        <v>767</v>
      </c>
      <c r="AR121" s="4577" t="s">
        <v>767</v>
      </c>
      <c r="AS121" s="4542" t="s">
        <v>767</v>
      </c>
      <c r="AT121" s="4577" t="s">
        <v>767</v>
      </c>
      <c r="AU121" s="4542" t="s">
        <v>767</v>
      </c>
      <c r="AV121" s="4577" t="s">
        <v>767</v>
      </c>
      <c r="AW121" s="4542" t="s">
        <v>767</v>
      </c>
      <c r="AX121" s="4577" t="s">
        <v>767</v>
      </c>
      <c r="AY121" s="4542" t="s">
        <v>767</v>
      </c>
      <c r="AZ121" s="4577" t="s">
        <v>767</v>
      </c>
      <c r="BA121" s="4542" t="s">
        <v>767</v>
      </c>
      <c r="BB121" s="4577" t="s">
        <v>767</v>
      </c>
      <c r="BC121" s="4542" t="s">
        <v>767</v>
      </c>
      <c r="BD121" s="4577" t="s">
        <v>767</v>
      </c>
      <c r="BE121" s="4542" t="s">
        <v>767</v>
      </c>
      <c r="BF121" s="4577" t="s">
        <v>767</v>
      </c>
      <c r="BG121" s="4542" t="s">
        <v>767</v>
      </c>
      <c r="BH121" s="4542">
        <v>7</v>
      </c>
      <c r="BI121" s="4568">
        <f>SUM(X121:X130)</f>
        <v>92346373</v>
      </c>
      <c r="BJ121" s="4568">
        <f>SUM(Y121:Y130)</f>
        <v>58599000</v>
      </c>
      <c r="BK121" s="3184">
        <f>+BJ121/BI121</f>
        <v>0.63455659487568616</v>
      </c>
      <c r="BL121" s="4542" t="s">
        <v>909</v>
      </c>
      <c r="BM121" s="4542" t="s">
        <v>769</v>
      </c>
      <c r="BN121" s="4586">
        <v>43467</v>
      </c>
      <c r="BO121" s="4586">
        <v>43830</v>
      </c>
      <c r="BP121" s="4586">
        <v>43830</v>
      </c>
      <c r="BQ121" s="4586">
        <v>43830</v>
      </c>
      <c r="BR121" s="4556" t="s">
        <v>770</v>
      </c>
    </row>
    <row r="122" spans="1:70" ht="71.25" x14ac:dyDescent="0.2">
      <c r="A122" s="995"/>
      <c r="B122" s="996"/>
      <c r="C122" s="997"/>
      <c r="D122" s="996"/>
      <c r="E122" s="996"/>
      <c r="F122" s="997"/>
      <c r="G122" s="1001"/>
      <c r="H122" s="996"/>
      <c r="I122" s="997"/>
      <c r="J122" s="4518"/>
      <c r="K122" s="4549"/>
      <c r="L122" s="4524"/>
      <c r="M122" s="4524"/>
      <c r="N122" s="4526"/>
      <c r="O122" s="4524"/>
      <c r="P122" s="4528"/>
      <c r="Q122" s="4521"/>
      <c r="R122" s="4576"/>
      <c r="S122" s="4534"/>
      <c r="T122" s="4521"/>
      <c r="U122" s="4549"/>
      <c r="V122" s="1012" t="s">
        <v>910</v>
      </c>
      <c r="W122" s="2600">
        <v>25000000</v>
      </c>
      <c r="X122" s="1809">
        <v>15513750</v>
      </c>
      <c r="Y122" s="1809">
        <v>12411000</v>
      </c>
      <c r="Z122" s="1013">
        <v>61</v>
      </c>
      <c r="AA122" s="4580"/>
      <c r="AB122" s="4578"/>
      <c r="AC122" s="4543"/>
      <c r="AD122" s="4578" t="s">
        <v>767</v>
      </c>
      <c r="AE122" s="4543" t="s">
        <v>767</v>
      </c>
      <c r="AF122" s="4578">
        <v>64149</v>
      </c>
      <c r="AG122" s="4543">
        <f t="shared" si="0"/>
        <v>36564.93</v>
      </c>
      <c r="AH122" s="4578" t="s">
        <v>767</v>
      </c>
      <c r="AI122" s="4543" t="s">
        <v>767</v>
      </c>
      <c r="AJ122" s="4578" t="s">
        <v>767</v>
      </c>
      <c r="AK122" s="4543" t="s">
        <v>767</v>
      </c>
      <c r="AL122" s="4578" t="s">
        <v>767</v>
      </c>
      <c r="AM122" s="4543" t="s">
        <v>767</v>
      </c>
      <c r="AN122" s="4578" t="s">
        <v>767</v>
      </c>
      <c r="AO122" s="4543" t="s">
        <v>767</v>
      </c>
      <c r="AP122" s="4578" t="s">
        <v>767</v>
      </c>
      <c r="AQ122" s="4543" t="s">
        <v>767</v>
      </c>
      <c r="AR122" s="4578" t="s">
        <v>767</v>
      </c>
      <c r="AS122" s="4543" t="s">
        <v>767</v>
      </c>
      <c r="AT122" s="4578" t="s">
        <v>767</v>
      </c>
      <c r="AU122" s="4543" t="s">
        <v>767</v>
      </c>
      <c r="AV122" s="4578" t="s">
        <v>767</v>
      </c>
      <c r="AW122" s="4543" t="s">
        <v>767</v>
      </c>
      <c r="AX122" s="4578" t="s">
        <v>767</v>
      </c>
      <c r="AY122" s="4543" t="s">
        <v>767</v>
      </c>
      <c r="AZ122" s="4578" t="s">
        <v>767</v>
      </c>
      <c r="BA122" s="4543" t="s">
        <v>767</v>
      </c>
      <c r="BB122" s="4578" t="s">
        <v>767</v>
      </c>
      <c r="BC122" s="4543" t="s">
        <v>767</v>
      </c>
      <c r="BD122" s="4578" t="s">
        <v>767</v>
      </c>
      <c r="BE122" s="4543" t="s">
        <v>767</v>
      </c>
      <c r="BF122" s="4578" t="s">
        <v>767</v>
      </c>
      <c r="BG122" s="4543" t="s">
        <v>767</v>
      </c>
      <c r="BH122" s="4543"/>
      <c r="BI122" s="4543"/>
      <c r="BJ122" s="4543"/>
      <c r="BK122" s="3185"/>
      <c r="BL122" s="4543"/>
      <c r="BM122" s="4543"/>
      <c r="BN122" s="4587"/>
      <c r="BO122" s="4587"/>
      <c r="BP122" s="4587"/>
      <c r="BQ122" s="4587"/>
      <c r="BR122" s="4557"/>
    </row>
    <row r="123" spans="1:70" ht="77.25" customHeight="1" x14ac:dyDescent="0.2">
      <c r="A123" s="995"/>
      <c r="B123" s="996"/>
      <c r="C123" s="997"/>
      <c r="D123" s="996"/>
      <c r="E123" s="996"/>
      <c r="F123" s="997"/>
      <c r="G123" s="1001"/>
      <c r="H123" s="996"/>
      <c r="I123" s="997"/>
      <c r="J123" s="4518"/>
      <c r="K123" s="4549"/>
      <c r="L123" s="4524"/>
      <c r="M123" s="4524"/>
      <c r="N123" s="4526"/>
      <c r="O123" s="4524"/>
      <c r="P123" s="4528"/>
      <c r="Q123" s="4521"/>
      <c r="R123" s="4576"/>
      <c r="S123" s="4534"/>
      <c r="T123" s="4521"/>
      <c r="U123" s="4549"/>
      <c r="V123" s="1012" t="s">
        <v>911</v>
      </c>
      <c r="W123" s="2600">
        <v>25000000</v>
      </c>
      <c r="X123" s="1809">
        <v>15513750</v>
      </c>
      <c r="Y123" s="1809">
        <v>12411000</v>
      </c>
      <c r="Z123" s="1013">
        <v>61</v>
      </c>
      <c r="AA123" s="4580"/>
      <c r="AB123" s="4578"/>
      <c r="AC123" s="4543"/>
      <c r="AD123" s="4578" t="s">
        <v>767</v>
      </c>
      <c r="AE123" s="4543" t="s">
        <v>767</v>
      </c>
      <c r="AF123" s="4578">
        <v>64149</v>
      </c>
      <c r="AG123" s="4543">
        <f t="shared" si="0"/>
        <v>36564.93</v>
      </c>
      <c r="AH123" s="4578" t="s">
        <v>767</v>
      </c>
      <c r="AI123" s="4543" t="s">
        <v>767</v>
      </c>
      <c r="AJ123" s="4578" t="s">
        <v>767</v>
      </c>
      <c r="AK123" s="4543" t="s">
        <v>767</v>
      </c>
      <c r="AL123" s="4578" t="s">
        <v>767</v>
      </c>
      <c r="AM123" s="4543" t="s">
        <v>767</v>
      </c>
      <c r="AN123" s="4578" t="s">
        <v>767</v>
      </c>
      <c r="AO123" s="4543" t="s">
        <v>767</v>
      </c>
      <c r="AP123" s="4578" t="s">
        <v>767</v>
      </c>
      <c r="AQ123" s="4543" t="s">
        <v>767</v>
      </c>
      <c r="AR123" s="4578" t="s">
        <v>767</v>
      </c>
      <c r="AS123" s="4543" t="s">
        <v>767</v>
      </c>
      <c r="AT123" s="4578" t="s">
        <v>767</v>
      </c>
      <c r="AU123" s="4543" t="s">
        <v>767</v>
      </c>
      <c r="AV123" s="4578" t="s">
        <v>767</v>
      </c>
      <c r="AW123" s="4543" t="s">
        <v>767</v>
      </c>
      <c r="AX123" s="4578" t="s">
        <v>767</v>
      </c>
      <c r="AY123" s="4543" t="s">
        <v>767</v>
      </c>
      <c r="AZ123" s="4578" t="s">
        <v>767</v>
      </c>
      <c r="BA123" s="4543" t="s">
        <v>767</v>
      </c>
      <c r="BB123" s="4578" t="s">
        <v>767</v>
      </c>
      <c r="BC123" s="4543" t="s">
        <v>767</v>
      </c>
      <c r="BD123" s="4578" t="s">
        <v>767</v>
      </c>
      <c r="BE123" s="4543" t="s">
        <v>767</v>
      </c>
      <c r="BF123" s="4578" t="s">
        <v>767</v>
      </c>
      <c r="BG123" s="4543" t="s">
        <v>767</v>
      </c>
      <c r="BH123" s="4543"/>
      <c r="BI123" s="4543"/>
      <c r="BJ123" s="4543"/>
      <c r="BK123" s="3185"/>
      <c r="BL123" s="4543"/>
      <c r="BM123" s="4543"/>
      <c r="BN123" s="4587"/>
      <c r="BO123" s="4587"/>
      <c r="BP123" s="4587"/>
      <c r="BQ123" s="4587"/>
      <c r="BR123" s="4557"/>
    </row>
    <row r="124" spans="1:70" ht="40.5" customHeight="1" x14ac:dyDescent="0.2">
      <c r="A124" s="995"/>
      <c r="B124" s="996"/>
      <c r="C124" s="997"/>
      <c r="D124" s="996"/>
      <c r="E124" s="996"/>
      <c r="F124" s="997"/>
      <c r="G124" s="1001"/>
      <c r="H124" s="996"/>
      <c r="I124" s="997"/>
      <c r="J124" s="4518"/>
      <c r="K124" s="4549"/>
      <c r="L124" s="4524"/>
      <c r="M124" s="4524"/>
      <c r="N124" s="4526"/>
      <c r="O124" s="4524"/>
      <c r="P124" s="4528"/>
      <c r="Q124" s="4521"/>
      <c r="R124" s="4576"/>
      <c r="S124" s="4534"/>
      <c r="T124" s="4521"/>
      <c r="U124" s="4549"/>
      <c r="V124" s="4520" t="s">
        <v>912</v>
      </c>
      <c r="W124" s="2600">
        <v>28702000</v>
      </c>
      <c r="X124" s="1809">
        <v>15513750</v>
      </c>
      <c r="Y124" s="1809">
        <v>12411000</v>
      </c>
      <c r="Z124" s="1013">
        <v>61</v>
      </c>
      <c r="AA124" s="4580"/>
      <c r="AB124" s="4578"/>
      <c r="AC124" s="4543"/>
      <c r="AD124" s="4578" t="s">
        <v>767</v>
      </c>
      <c r="AE124" s="4543" t="s">
        <v>767</v>
      </c>
      <c r="AF124" s="4578">
        <v>64149</v>
      </c>
      <c r="AG124" s="4543">
        <f t="shared" si="0"/>
        <v>36564.93</v>
      </c>
      <c r="AH124" s="4578" t="s">
        <v>767</v>
      </c>
      <c r="AI124" s="4543" t="s">
        <v>767</v>
      </c>
      <c r="AJ124" s="4578" t="s">
        <v>767</v>
      </c>
      <c r="AK124" s="4543" t="s">
        <v>767</v>
      </c>
      <c r="AL124" s="4578" t="s">
        <v>767</v>
      </c>
      <c r="AM124" s="4543" t="s">
        <v>767</v>
      </c>
      <c r="AN124" s="4578" t="s">
        <v>767</v>
      </c>
      <c r="AO124" s="4543" t="s">
        <v>767</v>
      </c>
      <c r="AP124" s="4578" t="s">
        <v>767</v>
      </c>
      <c r="AQ124" s="4543" t="s">
        <v>767</v>
      </c>
      <c r="AR124" s="4578" t="s">
        <v>767</v>
      </c>
      <c r="AS124" s="4543" t="s">
        <v>767</v>
      </c>
      <c r="AT124" s="4578" t="s">
        <v>767</v>
      </c>
      <c r="AU124" s="4543" t="s">
        <v>767</v>
      </c>
      <c r="AV124" s="4578" t="s">
        <v>767</v>
      </c>
      <c r="AW124" s="4543" t="s">
        <v>767</v>
      </c>
      <c r="AX124" s="4578" t="s">
        <v>767</v>
      </c>
      <c r="AY124" s="4543" t="s">
        <v>767</v>
      </c>
      <c r="AZ124" s="4578" t="s">
        <v>767</v>
      </c>
      <c r="BA124" s="4543" t="s">
        <v>767</v>
      </c>
      <c r="BB124" s="4578" t="s">
        <v>767</v>
      </c>
      <c r="BC124" s="4543" t="s">
        <v>767</v>
      </c>
      <c r="BD124" s="4578" t="s">
        <v>767</v>
      </c>
      <c r="BE124" s="4543" t="s">
        <v>767</v>
      </c>
      <c r="BF124" s="4578" t="s">
        <v>767</v>
      </c>
      <c r="BG124" s="4543" t="s">
        <v>767</v>
      </c>
      <c r="BH124" s="4543"/>
      <c r="BI124" s="4543"/>
      <c r="BJ124" s="4543"/>
      <c r="BK124" s="3185"/>
      <c r="BL124" s="4543"/>
      <c r="BM124" s="4543"/>
      <c r="BN124" s="4587"/>
      <c r="BO124" s="4587"/>
      <c r="BP124" s="4587"/>
      <c r="BQ124" s="4587"/>
      <c r="BR124" s="4557"/>
    </row>
    <row r="125" spans="1:70" ht="36.75" customHeight="1" x14ac:dyDescent="0.2">
      <c r="A125" s="995"/>
      <c r="B125" s="996"/>
      <c r="C125" s="997"/>
      <c r="D125" s="996"/>
      <c r="E125" s="996"/>
      <c r="F125" s="997"/>
      <c r="G125" s="1001"/>
      <c r="H125" s="996"/>
      <c r="I125" s="997"/>
      <c r="J125" s="4519"/>
      <c r="K125" s="4550"/>
      <c r="L125" s="4525"/>
      <c r="M125" s="4525"/>
      <c r="N125" s="4526"/>
      <c r="O125" s="4524"/>
      <c r="P125" s="4528"/>
      <c r="Q125" s="4521"/>
      <c r="R125" s="4576"/>
      <c r="S125" s="4534"/>
      <c r="T125" s="4521"/>
      <c r="U125" s="4550"/>
      <c r="V125" s="4522"/>
      <c r="W125" s="2600">
        <v>9000000</v>
      </c>
      <c r="X125" s="2609">
        <v>0</v>
      </c>
      <c r="Y125" s="2609">
        <v>0</v>
      </c>
      <c r="Z125" s="1013">
        <v>161</v>
      </c>
      <c r="AA125" s="4580"/>
      <c r="AB125" s="4578"/>
      <c r="AC125" s="4543"/>
      <c r="AD125" s="4578" t="s">
        <v>767</v>
      </c>
      <c r="AE125" s="4543" t="s">
        <v>767</v>
      </c>
      <c r="AF125" s="4578">
        <v>64149</v>
      </c>
      <c r="AG125" s="4543">
        <f t="shared" si="0"/>
        <v>36564.93</v>
      </c>
      <c r="AH125" s="4578" t="s">
        <v>767</v>
      </c>
      <c r="AI125" s="4543" t="s">
        <v>767</v>
      </c>
      <c r="AJ125" s="4578" t="s">
        <v>767</v>
      </c>
      <c r="AK125" s="4543" t="s">
        <v>767</v>
      </c>
      <c r="AL125" s="4578" t="s">
        <v>767</v>
      </c>
      <c r="AM125" s="4543" t="s">
        <v>767</v>
      </c>
      <c r="AN125" s="4578" t="s">
        <v>767</v>
      </c>
      <c r="AO125" s="4543" t="s">
        <v>767</v>
      </c>
      <c r="AP125" s="4578" t="s">
        <v>767</v>
      </c>
      <c r="AQ125" s="4543" t="s">
        <v>767</v>
      </c>
      <c r="AR125" s="4578" t="s">
        <v>767</v>
      </c>
      <c r="AS125" s="4543" t="s">
        <v>767</v>
      </c>
      <c r="AT125" s="4578" t="s">
        <v>767</v>
      </c>
      <c r="AU125" s="4543" t="s">
        <v>767</v>
      </c>
      <c r="AV125" s="4578" t="s">
        <v>767</v>
      </c>
      <c r="AW125" s="4543" t="s">
        <v>767</v>
      </c>
      <c r="AX125" s="4578" t="s">
        <v>767</v>
      </c>
      <c r="AY125" s="4543" t="s">
        <v>767</v>
      </c>
      <c r="AZ125" s="4578" t="s">
        <v>767</v>
      </c>
      <c r="BA125" s="4543" t="s">
        <v>767</v>
      </c>
      <c r="BB125" s="4578" t="s">
        <v>767</v>
      </c>
      <c r="BC125" s="4543" t="s">
        <v>767</v>
      </c>
      <c r="BD125" s="4578" t="s">
        <v>767</v>
      </c>
      <c r="BE125" s="4543" t="s">
        <v>767</v>
      </c>
      <c r="BF125" s="4578" t="s">
        <v>767</v>
      </c>
      <c r="BG125" s="4543" t="s">
        <v>767</v>
      </c>
      <c r="BH125" s="4543"/>
      <c r="BI125" s="4543"/>
      <c r="BJ125" s="4543"/>
      <c r="BK125" s="3185"/>
      <c r="BL125" s="4543"/>
      <c r="BM125" s="4543"/>
      <c r="BN125" s="4587"/>
      <c r="BO125" s="4587"/>
      <c r="BP125" s="4587"/>
      <c r="BQ125" s="4587"/>
      <c r="BR125" s="4557"/>
    </row>
    <row r="126" spans="1:70" ht="33" customHeight="1" x14ac:dyDescent="0.2">
      <c r="A126" s="995"/>
      <c r="B126" s="996"/>
      <c r="C126" s="997"/>
      <c r="D126" s="996"/>
      <c r="E126" s="996"/>
      <c r="F126" s="997"/>
      <c r="G126" s="1001"/>
      <c r="H126" s="996"/>
      <c r="I126" s="997"/>
      <c r="J126" s="4517">
        <v>143</v>
      </c>
      <c r="K126" s="4589" t="s">
        <v>913</v>
      </c>
      <c r="L126" s="4523" t="s">
        <v>759</v>
      </c>
      <c r="M126" s="4523">
        <v>1</v>
      </c>
      <c r="N126" s="4526">
        <v>0.6</v>
      </c>
      <c r="O126" s="4524"/>
      <c r="P126" s="4528"/>
      <c r="Q126" s="4521"/>
      <c r="R126" s="4530">
        <f>SUM(W126:W130)/S121</f>
        <v>0.25415228949940372</v>
      </c>
      <c r="S126" s="4534"/>
      <c r="T126" s="4521"/>
      <c r="U126" s="4589" t="s">
        <v>914</v>
      </c>
      <c r="V126" s="4520" t="s">
        <v>915</v>
      </c>
      <c r="W126" s="2600">
        <v>2500000</v>
      </c>
      <c r="X126" s="1809">
        <v>2238750</v>
      </c>
      <c r="Y126" s="1809">
        <v>2238750</v>
      </c>
      <c r="Z126" s="1013">
        <v>20</v>
      </c>
      <c r="AA126" s="4580" t="s">
        <v>916</v>
      </c>
      <c r="AB126" s="4578"/>
      <c r="AC126" s="4543"/>
      <c r="AD126" s="4578" t="s">
        <v>767</v>
      </c>
      <c r="AE126" s="4543" t="s">
        <v>767</v>
      </c>
      <c r="AF126" s="4578">
        <v>64149</v>
      </c>
      <c r="AG126" s="4543">
        <f t="shared" si="0"/>
        <v>36564.93</v>
      </c>
      <c r="AH126" s="4578" t="s">
        <v>767</v>
      </c>
      <c r="AI126" s="4543" t="s">
        <v>767</v>
      </c>
      <c r="AJ126" s="4578" t="s">
        <v>767</v>
      </c>
      <c r="AK126" s="4543" t="s">
        <v>767</v>
      </c>
      <c r="AL126" s="4578" t="s">
        <v>767</v>
      </c>
      <c r="AM126" s="4543" t="s">
        <v>767</v>
      </c>
      <c r="AN126" s="4578" t="s">
        <v>767</v>
      </c>
      <c r="AO126" s="4543" t="s">
        <v>767</v>
      </c>
      <c r="AP126" s="4578" t="s">
        <v>767</v>
      </c>
      <c r="AQ126" s="4543" t="s">
        <v>767</v>
      </c>
      <c r="AR126" s="4578" t="s">
        <v>767</v>
      </c>
      <c r="AS126" s="4543" t="s">
        <v>767</v>
      </c>
      <c r="AT126" s="4578" t="s">
        <v>767</v>
      </c>
      <c r="AU126" s="4543" t="s">
        <v>767</v>
      </c>
      <c r="AV126" s="4578" t="s">
        <v>767</v>
      </c>
      <c r="AW126" s="4543" t="s">
        <v>767</v>
      </c>
      <c r="AX126" s="4578" t="s">
        <v>767</v>
      </c>
      <c r="AY126" s="4543" t="s">
        <v>767</v>
      </c>
      <c r="AZ126" s="4578" t="s">
        <v>767</v>
      </c>
      <c r="BA126" s="4543" t="s">
        <v>767</v>
      </c>
      <c r="BB126" s="4578" t="s">
        <v>767</v>
      </c>
      <c r="BC126" s="4543" t="s">
        <v>767</v>
      </c>
      <c r="BD126" s="4578" t="s">
        <v>767</v>
      </c>
      <c r="BE126" s="4543" t="s">
        <v>767</v>
      </c>
      <c r="BF126" s="4578" t="s">
        <v>767</v>
      </c>
      <c r="BG126" s="4543" t="s">
        <v>767</v>
      </c>
      <c r="BH126" s="4543"/>
      <c r="BI126" s="4543"/>
      <c r="BJ126" s="4543"/>
      <c r="BK126" s="3185"/>
      <c r="BL126" s="4543"/>
      <c r="BM126" s="4543"/>
      <c r="BN126" s="4587"/>
      <c r="BO126" s="4587"/>
      <c r="BP126" s="4587"/>
      <c r="BQ126" s="4587"/>
      <c r="BR126" s="4557"/>
    </row>
    <row r="127" spans="1:70" ht="31.5" customHeight="1" x14ac:dyDescent="0.2">
      <c r="A127" s="995"/>
      <c r="B127" s="996"/>
      <c r="C127" s="997"/>
      <c r="D127" s="996"/>
      <c r="E127" s="996"/>
      <c r="F127" s="997"/>
      <c r="G127" s="1001"/>
      <c r="H127" s="996"/>
      <c r="I127" s="997"/>
      <c r="J127" s="4518"/>
      <c r="K127" s="4589"/>
      <c r="L127" s="4524"/>
      <c r="M127" s="4524"/>
      <c r="N127" s="4526"/>
      <c r="O127" s="4524"/>
      <c r="P127" s="4528"/>
      <c r="Q127" s="4521"/>
      <c r="R127" s="4531"/>
      <c r="S127" s="4534"/>
      <c r="T127" s="4521"/>
      <c r="U127" s="4589"/>
      <c r="V127" s="4522"/>
      <c r="W127" s="2600">
        <v>28403914</v>
      </c>
      <c r="X127" s="1809">
        <v>21336373</v>
      </c>
      <c r="Y127" s="1809">
        <v>0</v>
      </c>
      <c r="Z127" s="1013">
        <v>161</v>
      </c>
      <c r="AA127" s="4580"/>
      <c r="AB127" s="4578"/>
      <c r="AC127" s="4543"/>
      <c r="AD127" s="4578" t="s">
        <v>767</v>
      </c>
      <c r="AE127" s="4543" t="s">
        <v>767</v>
      </c>
      <c r="AF127" s="4578">
        <v>64149</v>
      </c>
      <c r="AG127" s="4543">
        <f t="shared" si="0"/>
        <v>36564.93</v>
      </c>
      <c r="AH127" s="4578" t="s">
        <v>767</v>
      </c>
      <c r="AI127" s="4543" t="s">
        <v>767</v>
      </c>
      <c r="AJ127" s="4578" t="s">
        <v>767</v>
      </c>
      <c r="AK127" s="4543" t="s">
        <v>767</v>
      </c>
      <c r="AL127" s="4578" t="s">
        <v>767</v>
      </c>
      <c r="AM127" s="4543" t="s">
        <v>767</v>
      </c>
      <c r="AN127" s="4578" t="s">
        <v>767</v>
      </c>
      <c r="AO127" s="4543" t="s">
        <v>767</v>
      </c>
      <c r="AP127" s="4578" t="s">
        <v>767</v>
      </c>
      <c r="AQ127" s="4543" t="s">
        <v>767</v>
      </c>
      <c r="AR127" s="4578" t="s">
        <v>767</v>
      </c>
      <c r="AS127" s="4543" t="s">
        <v>767</v>
      </c>
      <c r="AT127" s="4578" t="s">
        <v>767</v>
      </c>
      <c r="AU127" s="4543" t="s">
        <v>767</v>
      </c>
      <c r="AV127" s="4578" t="s">
        <v>767</v>
      </c>
      <c r="AW127" s="4543" t="s">
        <v>767</v>
      </c>
      <c r="AX127" s="4578" t="s">
        <v>767</v>
      </c>
      <c r="AY127" s="4543" t="s">
        <v>767</v>
      </c>
      <c r="AZ127" s="4578" t="s">
        <v>767</v>
      </c>
      <c r="BA127" s="4543" t="s">
        <v>767</v>
      </c>
      <c r="BB127" s="4578" t="s">
        <v>767</v>
      </c>
      <c r="BC127" s="4543" t="s">
        <v>767</v>
      </c>
      <c r="BD127" s="4578" t="s">
        <v>767</v>
      </c>
      <c r="BE127" s="4543" t="s">
        <v>767</v>
      </c>
      <c r="BF127" s="4578" t="s">
        <v>767</v>
      </c>
      <c r="BG127" s="4543" t="s">
        <v>767</v>
      </c>
      <c r="BH127" s="4543"/>
      <c r="BI127" s="4543"/>
      <c r="BJ127" s="4543"/>
      <c r="BK127" s="3185"/>
      <c r="BL127" s="4543"/>
      <c r="BM127" s="4543"/>
      <c r="BN127" s="4587"/>
      <c r="BO127" s="4587"/>
      <c r="BP127" s="4587"/>
      <c r="BQ127" s="4587"/>
      <c r="BR127" s="4557"/>
    </row>
    <row r="128" spans="1:70" ht="64.5" customHeight="1" x14ac:dyDescent="0.2">
      <c r="A128" s="995"/>
      <c r="B128" s="996"/>
      <c r="C128" s="997"/>
      <c r="D128" s="996"/>
      <c r="E128" s="996"/>
      <c r="F128" s="997"/>
      <c r="G128" s="1001"/>
      <c r="H128" s="996"/>
      <c r="I128" s="997"/>
      <c r="J128" s="4518"/>
      <c r="K128" s="4589"/>
      <c r="L128" s="4524"/>
      <c r="M128" s="4524"/>
      <c r="N128" s="4526"/>
      <c r="O128" s="4524"/>
      <c r="P128" s="4528"/>
      <c r="Q128" s="4521"/>
      <c r="R128" s="4531"/>
      <c r="S128" s="4534"/>
      <c r="T128" s="4521"/>
      <c r="U128" s="4589"/>
      <c r="V128" s="1005" t="s">
        <v>917</v>
      </c>
      <c r="W128" s="2600">
        <v>2500000</v>
      </c>
      <c r="X128" s="1809">
        <v>2238750</v>
      </c>
      <c r="Y128" s="1809">
        <v>2238750</v>
      </c>
      <c r="Z128" s="1013">
        <v>20</v>
      </c>
      <c r="AA128" s="4580"/>
      <c r="AB128" s="4578"/>
      <c r="AC128" s="4543"/>
      <c r="AD128" s="4578" t="s">
        <v>767</v>
      </c>
      <c r="AE128" s="4543" t="s">
        <v>767</v>
      </c>
      <c r="AF128" s="4578">
        <v>64149</v>
      </c>
      <c r="AG128" s="4543">
        <f t="shared" si="0"/>
        <v>36564.93</v>
      </c>
      <c r="AH128" s="4578" t="s">
        <v>767</v>
      </c>
      <c r="AI128" s="4543" t="s">
        <v>767</v>
      </c>
      <c r="AJ128" s="4578" t="s">
        <v>767</v>
      </c>
      <c r="AK128" s="4543" t="s">
        <v>767</v>
      </c>
      <c r="AL128" s="4578" t="s">
        <v>767</v>
      </c>
      <c r="AM128" s="4543" t="s">
        <v>767</v>
      </c>
      <c r="AN128" s="4578" t="s">
        <v>767</v>
      </c>
      <c r="AO128" s="4543" t="s">
        <v>767</v>
      </c>
      <c r="AP128" s="4578" t="s">
        <v>767</v>
      </c>
      <c r="AQ128" s="4543" t="s">
        <v>767</v>
      </c>
      <c r="AR128" s="4578" t="s">
        <v>767</v>
      </c>
      <c r="AS128" s="4543" t="s">
        <v>767</v>
      </c>
      <c r="AT128" s="4578" t="s">
        <v>767</v>
      </c>
      <c r="AU128" s="4543" t="s">
        <v>767</v>
      </c>
      <c r="AV128" s="4578" t="s">
        <v>767</v>
      </c>
      <c r="AW128" s="4543" t="s">
        <v>767</v>
      </c>
      <c r="AX128" s="4578" t="s">
        <v>767</v>
      </c>
      <c r="AY128" s="4543" t="s">
        <v>767</v>
      </c>
      <c r="AZ128" s="4578" t="s">
        <v>767</v>
      </c>
      <c r="BA128" s="4543" t="s">
        <v>767</v>
      </c>
      <c r="BB128" s="4578" t="s">
        <v>767</v>
      </c>
      <c r="BC128" s="4543" t="s">
        <v>767</v>
      </c>
      <c r="BD128" s="4578" t="s">
        <v>767</v>
      </c>
      <c r="BE128" s="4543" t="s">
        <v>767</v>
      </c>
      <c r="BF128" s="4578" t="s">
        <v>767</v>
      </c>
      <c r="BG128" s="4543" t="s">
        <v>767</v>
      </c>
      <c r="BH128" s="4543"/>
      <c r="BI128" s="4543"/>
      <c r="BJ128" s="4543"/>
      <c r="BK128" s="3185"/>
      <c r="BL128" s="4543"/>
      <c r="BM128" s="4543"/>
      <c r="BN128" s="4587"/>
      <c r="BO128" s="4587"/>
      <c r="BP128" s="4587"/>
      <c r="BQ128" s="4587"/>
      <c r="BR128" s="4557"/>
    </row>
    <row r="129" spans="1:70" ht="99" customHeight="1" x14ac:dyDescent="0.2">
      <c r="A129" s="995"/>
      <c r="B129" s="996"/>
      <c r="C129" s="997"/>
      <c r="D129" s="996"/>
      <c r="E129" s="996"/>
      <c r="F129" s="997"/>
      <c r="G129" s="1001"/>
      <c r="H129" s="996"/>
      <c r="I129" s="997"/>
      <c r="J129" s="4518"/>
      <c r="K129" s="4589"/>
      <c r="L129" s="4524"/>
      <c r="M129" s="4524"/>
      <c r="N129" s="4526"/>
      <c r="O129" s="4524"/>
      <c r="P129" s="4528"/>
      <c r="Q129" s="4521"/>
      <c r="R129" s="4531"/>
      <c r="S129" s="4534"/>
      <c r="T129" s="4521"/>
      <c r="U129" s="4589"/>
      <c r="V129" s="1005" t="s">
        <v>918</v>
      </c>
      <c r="W129" s="2600">
        <v>2500000</v>
      </c>
      <c r="X129" s="1809">
        <v>2238750</v>
      </c>
      <c r="Y129" s="1809">
        <v>2238750</v>
      </c>
      <c r="Z129" s="1013">
        <v>20</v>
      </c>
      <c r="AA129" s="4580"/>
      <c r="AB129" s="4578"/>
      <c r="AC129" s="4543"/>
      <c r="AD129" s="4578" t="s">
        <v>767</v>
      </c>
      <c r="AE129" s="4543" t="s">
        <v>767</v>
      </c>
      <c r="AF129" s="4578">
        <v>64149</v>
      </c>
      <c r="AG129" s="4543">
        <f t="shared" si="0"/>
        <v>36564.93</v>
      </c>
      <c r="AH129" s="4578" t="s">
        <v>767</v>
      </c>
      <c r="AI129" s="4543" t="s">
        <v>767</v>
      </c>
      <c r="AJ129" s="4578" t="s">
        <v>767</v>
      </c>
      <c r="AK129" s="4543" t="s">
        <v>767</v>
      </c>
      <c r="AL129" s="4578" t="s">
        <v>767</v>
      </c>
      <c r="AM129" s="4543" t="s">
        <v>767</v>
      </c>
      <c r="AN129" s="4578" t="s">
        <v>767</v>
      </c>
      <c r="AO129" s="4543" t="s">
        <v>767</v>
      </c>
      <c r="AP129" s="4578" t="s">
        <v>767</v>
      </c>
      <c r="AQ129" s="4543" t="s">
        <v>767</v>
      </c>
      <c r="AR129" s="4578" t="s">
        <v>767</v>
      </c>
      <c r="AS129" s="4543" t="s">
        <v>767</v>
      </c>
      <c r="AT129" s="4578" t="s">
        <v>767</v>
      </c>
      <c r="AU129" s="4543" t="s">
        <v>767</v>
      </c>
      <c r="AV129" s="4578" t="s">
        <v>767</v>
      </c>
      <c r="AW129" s="4543" t="s">
        <v>767</v>
      </c>
      <c r="AX129" s="4578" t="s">
        <v>767</v>
      </c>
      <c r="AY129" s="4543" t="s">
        <v>767</v>
      </c>
      <c r="AZ129" s="4578" t="s">
        <v>767</v>
      </c>
      <c r="BA129" s="4543" t="s">
        <v>767</v>
      </c>
      <c r="BB129" s="4578" t="s">
        <v>767</v>
      </c>
      <c r="BC129" s="4543" t="s">
        <v>767</v>
      </c>
      <c r="BD129" s="4578" t="s">
        <v>767</v>
      </c>
      <c r="BE129" s="4543" t="s">
        <v>767</v>
      </c>
      <c r="BF129" s="4578" t="s">
        <v>767</v>
      </c>
      <c r="BG129" s="4543" t="s">
        <v>767</v>
      </c>
      <c r="BH129" s="4543"/>
      <c r="BI129" s="4543"/>
      <c r="BJ129" s="4543"/>
      <c r="BK129" s="3185"/>
      <c r="BL129" s="4543"/>
      <c r="BM129" s="4543"/>
      <c r="BN129" s="4587"/>
      <c r="BO129" s="4587"/>
      <c r="BP129" s="4587"/>
      <c r="BQ129" s="4587"/>
      <c r="BR129" s="4557"/>
    </row>
    <row r="130" spans="1:70" ht="78" customHeight="1" x14ac:dyDescent="0.2">
      <c r="A130" s="995"/>
      <c r="B130" s="996"/>
      <c r="C130" s="997"/>
      <c r="D130" s="996"/>
      <c r="E130" s="996"/>
      <c r="F130" s="997"/>
      <c r="G130" s="1001"/>
      <c r="H130" s="996"/>
      <c r="I130" s="997"/>
      <c r="J130" s="4519"/>
      <c r="K130" s="4589"/>
      <c r="L130" s="4525"/>
      <c r="M130" s="4525"/>
      <c r="N130" s="4526"/>
      <c r="O130" s="4525"/>
      <c r="P130" s="4529"/>
      <c r="Q130" s="4521"/>
      <c r="R130" s="4531"/>
      <c r="S130" s="4535"/>
      <c r="T130" s="4522"/>
      <c r="U130" s="4589"/>
      <c r="V130" s="1005" t="s">
        <v>919</v>
      </c>
      <c r="W130" s="2601">
        <v>2500000</v>
      </c>
      <c r="X130" s="1809">
        <v>2238750</v>
      </c>
      <c r="Y130" s="1809">
        <v>2238750</v>
      </c>
      <c r="Z130" s="1013">
        <v>20</v>
      </c>
      <c r="AA130" s="4580"/>
      <c r="AB130" s="4579"/>
      <c r="AC130" s="4544"/>
      <c r="AD130" s="4579" t="s">
        <v>767</v>
      </c>
      <c r="AE130" s="4544" t="s">
        <v>767</v>
      </c>
      <c r="AF130" s="4579">
        <v>64149</v>
      </c>
      <c r="AG130" s="4544">
        <f t="shared" si="0"/>
        <v>36564.93</v>
      </c>
      <c r="AH130" s="4579" t="s">
        <v>767</v>
      </c>
      <c r="AI130" s="4544" t="s">
        <v>767</v>
      </c>
      <c r="AJ130" s="4579" t="s">
        <v>767</v>
      </c>
      <c r="AK130" s="4544" t="s">
        <v>767</v>
      </c>
      <c r="AL130" s="4579" t="s">
        <v>767</v>
      </c>
      <c r="AM130" s="4544" t="s">
        <v>767</v>
      </c>
      <c r="AN130" s="4579" t="s">
        <v>767</v>
      </c>
      <c r="AO130" s="4544" t="s">
        <v>767</v>
      </c>
      <c r="AP130" s="4579" t="s">
        <v>767</v>
      </c>
      <c r="AQ130" s="4544" t="s">
        <v>767</v>
      </c>
      <c r="AR130" s="4579" t="s">
        <v>767</v>
      </c>
      <c r="AS130" s="4544" t="s">
        <v>767</v>
      </c>
      <c r="AT130" s="4579" t="s">
        <v>767</v>
      </c>
      <c r="AU130" s="4544" t="s">
        <v>767</v>
      </c>
      <c r="AV130" s="4579" t="s">
        <v>767</v>
      </c>
      <c r="AW130" s="4544" t="s">
        <v>767</v>
      </c>
      <c r="AX130" s="4579" t="s">
        <v>767</v>
      </c>
      <c r="AY130" s="4544" t="s">
        <v>767</v>
      </c>
      <c r="AZ130" s="4579" t="s">
        <v>767</v>
      </c>
      <c r="BA130" s="4544" t="s">
        <v>767</v>
      </c>
      <c r="BB130" s="4579" t="s">
        <v>767</v>
      </c>
      <c r="BC130" s="4544" t="s">
        <v>767</v>
      </c>
      <c r="BD130" s="4579" t="s">
        <v>767</v>
      </c>
      <c r="BE130" s="4544" t="s">
        <v>767</v>
      </c>
      <c r="BF130" s="4579" t="s">
        <v>767</v>
      </c>
      <c r="BG130" s="4544" t="s">
        <v>767</v>
      </c>
      <c r="BH130" s="4544"/>
      <c r="BI130" s="4544"/>
      <c r="BJ130" s="4544"/>
      <c r="BK130" s="3186"/>
      <c r="BL130" s="4544"/>
      <c r="BM130" s="4544"/>
      <c r="BN130" s="4588"/>
      <c r="BO130" s="4588"/>
      <c r="BP130" s="4588"/>
      <c r="BQ130" s="4588"/>
      <c r="BR130" s="4558"/>
    </row>
    <row r="131" spans="1:70" ht="36" customHeight="1" x14ac:dyDescent="0.2">
      <c r="A131" s="1014"/>
      <c r="B131" s="1015"/>
      <c r="C131" s="1016"/>
      <c r="D131" s="1015"/>
      <c r="E131" s="1015"/>
      <c r="F131" s="1016"/>
      <c r="G131" s="1017"/>
      <c r="H131" s="1015"/>
      <c r="I131" s="1016"/>
      <c r="J131" s="4517">
        <v>144</v>
      </c>
      <c r="K131" s="4600" t="s">
        <v>920</v>
      </c>
      <c r="L131" s="4517" t="s">
        <v>759</v>
      </c>
      <c r="M131" s="4517">
        <v>5</v>
      </c>
      <c r="N131" s="4626">
        <v>4</v>
      </c>
      <c r="O131" s="4517" t="s">
        <v>921</v>
      </c>
      <c r="P131" s="4581" t="s">
        <v>922</v>
      </c>
      <c r="Q131" s="4584" t="s">
        <v>923</v>
      </c>
      <c r="R131" s="4596">
        <f>SUM(W131:W146)/S131</f>
        <v>0.79234010091706719</v>
      </c>
      <c r="S131" s="4598">
        <f>SUM(W131:W154)</f>
        <v>561917638</v>
      </c>
      <c r="T131" s="4600" t="s">
        <v>924</v>
      </c>
      <c r="U131" s="4600" t="s">
        <v>925</v>
      </c>
      <c r="V131" s="4604" t="s">
        <v>926</v>
      </c>
      <c r="W131" s="2595">
        <v>242840543</v>
      </c>
      <c r="X131" s="1809">
        <v>43034728</v>
      </c>
      <c r="Y131" s="1809">
        <v>40085683</v>
      </c>
      <c r="Z131" s="1018">
        <v>111</v>
      </c>
      <c r="AA131" s="1019" t="s">
        <v>927</v>
      </c>
      <c r="AB131" s="4593">
        <v>292684</v>
      </c>
      <c r="AC131" s="4590">
        <f>SUM(AB131*0.33)</f>
        <v>96585.72</v>
      </c>
      <c r="AD131" s="4593">
        <v>282326</v>
      </c>
      <c r="AE131" s="4590">
        <f t="shared" ref="AE131:AE154" si="1">SUM(AD131*0.33)</f>
        <v>93167.58</v>
      </c>
      <c r="AF131" s="4593">
        <v>135912</v>
      </c>
      <c r="AG131" s="4590">
        <f t="shared" ref="AG131:AG154" si="2">SUM(AF131*0.33)</f>
        <v>44850.96</v>
      </c>
      <c r="AH131" s="4593">
        <v>45122</v>
      </c>
      <c r="AI131" s="4590">
        <f t="shared" ref="AI131:AI154" si="3">SUM(AH131*0.33)</f>
        <v>14890.26</v>
      </c>
      <c r="AJ131" s="4593">
        <v>307101</v>
      </c>
      <c r="AK131" s="4590">
        <f t="shared" ref="AK131:AK154" si="4">SUM(AJ131*0.33)</f>
        <v>101343.33</v>
      </c>
      <c r="AL131" s="4593">
        <v>86875</v>
      </c>
      <c r="AM131" s="4590">
        <f t="shared" ref="AM131:AM154" si="5">SUM(AL131*0.33)</f>
        <v>28668.75</v>
      </c>
      <c r="AN131" s="4593">
        <v>2145</v>
      </c>
      <c r="AO131" s="4590">
        <f t="shared" ref="AO131:AO154" si="6">SUM(AN131*0.33)</f>
        <v>707.85</v>
      </c>
      <c r="AP131" s="4593">
        <v>12718</v>
      </c>
      <c r="AQ131" s="4590">
        <f t="shared" ref="AQ131:AQ154" si="7">SUM(AP131*0.33)</f>
        <v>4196.9400000000005</v>
      </c>
      <c r="AR131" s="4593">
        <v>26</v>
      </c>
      <c r="AS131" s="4590">
        <f t="shared" ref="AS131:AS154" si="8">SUM(AR131*0.33)</f>
        <v>8.58</v>
      </c>
      <c r="AT131" s="4593">
        <v>37</v>
      </c>
      <c r="AU131" s="4590">
        <f t="shared" ref="AU131:AU154" si="9">SUM(AT131*0.33)</f>
        <v>12.21</v>
      </c>
      <c r="AV131" s="4593" t="s">
        <v>767</v>
      </c>
      <c r="AW131" s="4590" t="s">
        <v>767</v>
      </c>
      <c r="AX131" s="4593" t="s">
        <v>767</v>
      </c>
      <c r="AY131" s="4590" t="s">
        <v>767</v>
      </c>
      <c r="AZ131" s="4593">
        <v>53164</v>
      </c>
      <c r="BA131" s="4590">
        <f t="shared" ref="BA131:BA154" si="10">SUM(AZ131*0.33)</f>
        <v>17544.120000000003</v>
      </c>
      <c r="BB131" s="4593">
        <v>16982</v>
      </c>
      <c r="BC131" s="4590">
        <f t="shared" ref="BC131:BC154" si="11">SUM(BB131*0.33)</f>
        <v>5604.06</v>
      </c>
      <c r="BD131" s="4593">
        <v>60013</v>
      </c>
      <c r="BE131" s="4590">
        <f t="shared" ref="BE131:BE154" si="12">SUM(BD131*0.33)</f>
        <v>19804.29</v>
      </c>
      <c r="BF131" s="4593">
        <v>575010</v>
      </c>
      <c r="BG131" s="4590">
        <f t="shared" ref="BG131:BG154" si="13">SUM(BF131*0.33)</f>
        <v>189753.30000000002</v>
      </c>
      <c r="BH131" s="4542">
        <v>19</v>
      </c>
      <c r="BI131" s="4568">
        <f>SUM(X131:X154)</f>
        <v>230575014</v>
      </c>
      <c r="BJ131" s="4568">
        <f>SUM(Y131:Y154)</f>
        <v>193417969</v>
      </c>
      <c r="BK131" s="4542">
        <f>BJ131/BI131</f>
        <v>0.83885051395898425</v>
      </c>
      <c r="BL131" s="4542" t="s">
        <v>928</v>
      </c>
      <c r="BM131" s="4542" t="s">
        <v>769</v>
      </c>
      <c r="BN131" s="4586">
        <v>43467</v>
      </c>
      <c r="BO131" s="4586">
        <v>43830</v>
      </c>
      <c r="BP131" s="4586">
        <v>43830</v>
      </c>
      <c r="BQ131" s="4586">
        <v>43830</v>
      </c>
      <c r="BR131" s="4616" t="s">
        <v>770</v>
      </c>
    </row>
    <row r="132" spans="1:70" ht="42" customHeight="1" x14ac:dyDescent="0.2">
      <c r="A132" s="1014"/>
      <c r="B132" s="1015"/>
      <c r="C132" s="1016"/>
      <c r="D132" s="1015"/>
      <c r="E132" s="1015"/>
      <c r="F132" s="1016"/>
      <c r="G132" s="1017"/>
      <c r="H132" s="1015"/>
      <c r="I132" s="1016"/>
      <c r="J132" s="4518"/>
      <c r="K132" s="4601"/>
      <c r="L132" s="4518"/>
      <c r="M132" s="4518"/>
      <c r="N132" s="4626"/>
      <c r="O132" s="4518"/>
      <c r="P132" s="4582"/>
      <c r="Q132" s="4584"/>
      <c r="R132" s="4596"/>
      <c r="S132" s="4599"/>
      <c r="T132" s="4601"/>
      <c r="U132" s="4601"/>
      <c r="V132" s="4605"/>
      <c r="W132" s="2596">
        <v>80200000</v>
      </c>
      <c r="X132" s="1809">
        <v>41765000</v>
      </c>
      <c r="Y132" s="1809">
        <v>26430000</v>
      </c>
      <c r="Z132" s="1020">
        <v>61</v>
      </c>
      <c r="AA132" s="1021" t="s">
        <v>883</v>
      </c>
      <c r="AB132" s="4594"/>
      <c r="AC132" s="4591"/>
      <c r="AD132" s="4594">
        <v>282326</v>
      </c>
      <c r="AE132" s="4591">
        <f t="shared" si="1"/>
        <v>93167.58</v>
      </c>
      <c r="AF132" s="4594">
        <v>135912</v>
      </c>
      <c r="AG132" s="4591">
        <f t="shared" si="2"/>
        <v>44850.96</v>
      </c>
      <c r="AH132" s="4594">
        <v>45122</v>
      </c>
      <c r="AI132" s="4591">
        <f t="shared" si="3"/>
        <v>14890.26</v>
      </c>
      <c r="AJ132" s="4594">
        <v>307101</v>
      </c>
      <c r="AK132" s="4591">
        <f t="shared" si="4"/>
        <v>101343.33</v>
      </c>
      <c r="AL132" s="4594">
        <v>86875</v>
      </c>
      <c r="AM132" s="4591">
        <f t="shared" si="5"/>
        <v>28668.75</v>
      </c>
      <c r="AN132" s="4594">
        <v>2145</v>
      </c>
      <c r="AO132" s="4591">
        <f t="shared" si="6"/>
        <v>707.85</v>
      </c>
      <c r="AP132" s="4594">
        <v>12718</v>
      </c>
      <c r="AQ132" s="4591">
        <f t="shared" si="7"/>
        <v>4196.9400000000005</v>
      </c>
      <c r="AR132" s="4594">
        <v>26</v>
      </c>
      <c r="AS132" s="4591">
        <f t="shared" si="8"/>
        <v>8.58</v>
      </c>
      <c r="AT132" s="4594">
        <v>37</v>
      </c>
      <c r="AU132" s="4591">
        <f t="shared" si="9"/>
        <v>12.21</v>
      </c>
      <c r="AV132" s="4594" t="s">
        <v>767</v>
      </c>
      <c r="AW132" s="4591" t="s">
        <v>767</v>
      </c>
      <c r="AX132" s="4594" t="s">
        <v>767</v>
      </c>
      <c r="AY132" s="4591" t="s">
        <v>767</v>
      </c>
      <c r="AZ132" s="4594">
        <v>53164</v>
      </c>
      <c r="BA132" s="4591">
        <f t="shared" si="10"/>
        <v>17544.120000000003</v>
      </c>
      <c r="BB132" s="4594">
        <v>16982</v>
      </c>
      <c r="BC132" s="4591">
        <f t="shared" si="11"/>
        <v>5604.06</v>
      </c>
      <c r="BD132" s="4594">
        <v>60013</v>
      </c>
      <c r="BE132" s="4591">
        <f t="shared" si="12"/>
        <v>19804.29</v>
      </c>
      <c r="BF132" s="4594">
        <v>575010</v>
      </c>
      <c r="BG132" s="4591">
        <f t="shared" si="13"/>
        <v>189753.30000000002</v>
      </c>
      <c r="BH132" s="4543"/>
      <c r="BI132" s="4543"/>
      <c r="BJ132" s="4543"/>
      <c r="BK132" s="4543"/>
      <c r="BL132" s="4543"/>
      <c r="BM132" s="4543"/>
      <c r="BN132" s="4587"/>
      <c r="BO132" s="4587"/>
      <c r="BP132" s="4587"/>
      <c r="BQ132" s="4587"/>
      <c r="BR132" s="4617"/>
    </row>
    <row r="133" spans="1:70" ht="42" customHeight="1" x14ac:dyDescent="0.2">
      <c r="A133" s="1014"/>
      <c r="B133" s="1015"/>
      <c r="C133" s="1016"/>
      <c r="D133" s="1015"/>
      <c r="E133" s="1015"/>
      <c r="F133" s="1016"/>
      <c r="G133" s="1017"/>
      <c r="H133" s="1015"/>
      <c r="I133" s="1016"/>
      <c r="J133" s="4518"/>
      <c r="K133" s="4601"/>
      <c r="L133" s="4518"/>
      <c r="M133" s="4518"/>
      <c r="N133" s="4626"/>
      <c r="O133" s="4518"/>
      <c r="P133" s="4582"/>
      <c r="Q133" s="4584"/>
      <c r="R133" s="4596"/>
      <c r="S133" s="4599"/>
      <c r="T133" s="4601"/>
      <c r="U133" s="4601"/>
      <c r="V133" s="4606"/>
      <c r="W133" s="2610">
        <f>0+4271940</f>
        <v>4271940</v>
      </c>
      <c r="X133" s="1809">
        <v>4271940</v>
      </c>
      <c r="Y133" s="1809">
        <v>4271940</v>
      </c>
      <c r="Z133" s="1022">
        <v>107</v>
      </c>
      <c r="AA133" s="1023" t="s">
        <v>929</v>
      </c>
      <c r="AB133" s="4594"/>
      <c r="AC133" s="4591"/>
      <c r="AD133" s="4594">
        <v>282326</v>
      </c>
      <c r="AE133" s="4591">
        <f t="shared" si="1"/>
        <v>93167.58</v>
      </c>
      <c r="AF133" s="4594">
        <v>135912</v>
      </c>
      <c r="AG133" s="4591">
        <f t="shared" si="2"/>
        <v>44850.96</v>
      </c>
      <c r="AH133" s="4594">
        <v>45122</v>
      </c>
      <c r="AI133" s="4591">
        <f t="shared" si="3"/>
        <v>14890.26</v>
      </c>
      <c r="AJ133" s="4594">
        <v>307101</v>
      </c>
      <c r="AK133" s="4591">
        <f t="shared" si="4"/>
        <v>101343.33</v>
      </c>
      <c r="AL133" s="4594">
        <v>86875</v>
      </c>
      <c r="AM133" s="4591">
        <f t="shared" si="5"/>
        <v>28668.75</v>
      </c>
      <c r="AN133" s="4594">
        <v>2145</v>
      </c>
      <c r="AO133" s="4591">
        <f t="shared" si="6"/>
        <v>707.85</v>
      </c>
      <c r="AP133" s="4594">
        <v>12718</v>
      </c>
      <c r="AQ133" s="4591">
        <f t="shared" si="7"/>
        <v>4196.9400000000005</v>
      </c>
      <c r="AR133" s="4594">
        <v>26</v>
      </c>
      <c r="AS133" s="4591">
        <f t="shared" si="8"/>
        <v>8.58</v>
      </c>
      <c r="AT133" s="4594">
        <v>37</v>
      </c>
      <c r="AU133" s="4591">
        <f t="shared" si="9"/>
        <v>12.21</v>
      </c>
      <c r="AV133" s="4594" t="s">
        <v>767</v>
      </c>
      <c r="AW133" s="4591" t="s">
        <v>767</v>
      </c>
      <c r="AX133" s="4594" t="s">
        <v>767</v>
      </c>
      <c r="AY133" s="4591" t="s">
        <v>767</v>
      </c>
      <c r="AZ133" s="4594">
        <v>53164</v>
      </c>
      <c r="BA133" s="4591">
        <f t="shared" si="10"/>
        <v>17544.120000000003</v>
      </c>
      <c r="BB133" s="4594">
        <v>16982</v>
      </c>
      <c r="BC133" s="4591">
        <f t="shared" si="11"/>
        <v>5604.06</v>
      </c>
      <c r="BD133" s="4594">
        <v>60013</v>
      </c>
      <c r="BE133" s="4591">
        <f t="shared" si="12"/>
        <v>19804.29</v>
      </c>
      <c r="BF133" s="4594">
        <v>575010</v>
      </c>
      <c r="BG133" s="4591">
        <f t="shared" si="13"/>
        <v>189753.30000000002</v>
      </c>
      <c r="BH133" s="4543"/>
      <c r="BI133" s="4543"/>
      <c r="BJ133" s="4543"/>
      <c r="BK133" s="4543"/>
      <c r="BL133" s="4543"/>
      <c r="BM133" s="4543"/>
      <c r="BN133" s="4587"/>
      <c r="BO133" s="4587"/>
      <c r="BP133" s="4587"/>
      <c r="BQ133" s="4587"/>
      <c r="BR133" s="4617"/>
    </row>
    <row r="134" spans="1:70" ht="51" customHeight="1" x14ac:dyDescent="0.2">
      <c r="A134" s="1014"/>
      <c r="B134" s="1015"/>
      <c r="C134" s="1016"/>
      <c r="D134" s="1015"/>
      <c r="E134" s="1015"/>
      <c r="F134" s="1016"/>
      <c r="G134" s="1017"/>
      <c r="H134" s="1015"/>
      <c r="I134" s="1016"/>
      <c r="J134" s="4518"/>
      <c r="K134" s="4601"/>
      <c r="L134" s="4518"/>
      <c r="M134" s="4518"/>
      <c r="N134" s="4626"/>
      <c r="O134" s="4518"/>
      <c r="P134" s="4582"/>
      <c r="Q134" s="4584"/>
      <c r="R134" s="4596"/>
      <c r="S134" s="4599"/>
      <c r="T134" s="4601"/>
      <c r="U134" s="4601"/>
      <c r="V134" s="4606"/>
      <c r="W134" s="2610">
        <v>9557695</v>
      </c>
      <c r="X134" s="1809">
        <v>0</v>
      </c>
      <c r="Y134" s="1809">
        <v>0</v>
      </c>
      <c r="Z134" s="1022">
        <v>147</v>
      </c>
      <c r="AA134" s="1023" t="s">
        <v>930</v>
      </c>
      <c r="AB134" s="4594"/>
      <c r="AC134" s="4591"/>
      <c r="AD134" s="4594">
        <v>282326</v>
      </c>
      <c r="AE134" s="4591">
        <f t="shared" si="1"/>
        <v>93167.58</v>
      </c>
      <c r="AF134" s="4594">
        <v>135912</v>
      </c>
      <c r="AG134" s="4591">
        <f t="shared" si="2"/>
        <v>44850.96</v>
      </c>
      <c r="AH134" s="4594">
        <v>45122</v>
      </c>
      <c r="AI134" s="4591">
        <f t="shared" si="3"/>
        <v>14890.26</v>
      </c>
      <c r="AJ134" s="4594">
        <v>307101</v>
      </c>
      <c r="AK134" s="4591">
        <f t="shared" si="4"/>
        <v>101343.33</v>
      </c>
      <c r="AL134" s="4594">
        <v>86875</v>
      </c>
      <c r="AM134" s="4591">
        <f t="shared" si="5"/>
        <v>28668.75</v>
      </c>
      <c r="AN134" s="4594">
        <v>2145</v>
      </c>
      <c r="AO134" s="4591">
        <f t="shared" si="6"/>
        <v>707.85</v>
      </c>
      <c r="AP134" s="4594">
        <v>12718</v>
      </c>
      <c r="AQ134" s="4591">
        <f t="shared" si="7"/>
        <v>4196.9400000000005</v>
      </c>
      <c r="AR134" s="4594">
        <v>26</v>
      </c>
      <c r="AS134" s="4591">
        <f t="shared" si="8"/>
        <v>8.58</v>
      </c>
      <c r="AT134" s="4594">
        <v>37</v>
      </c>
      <c r="AU134" s="4591">
        <f t="shared" si="9"/>
        <v>12.21</v>
      </c>
      <c r="AV134" s="4594" t="s">
        <v>767</v>
      </c>
      <c r="AW134" s="4591" t="s">
        <v>767</v>
      </c>
      <c r="AX134" s="4594" t="s">
        <v>767</v>
      </c>
      <c r="AY134" s="4591" t="s">
        <v>767</v>
      </c>
      <c r="AZ134" s="4594">
        <v>53164</v>
      </c>
      <c r="BA134" s="4591">
        <f t="shared" si="10"/>
        <v>17544.120000000003</v>
      </c>
      <c r="BB134" s="4594">
        <v>16982</v>
      </c>
      <c r="BC134" s="4591">
        <f t="shared" si="11"/>
        <v>5604.06</v>
      </c>
      <c r="BD134" s="4594">
        <v>60013</v>
      </c>
      <c r="BE134" s="4591">
        <f t="shared" si="12"/>
        <v>19804.29</v>
      </c>
      <c r="BF134" s="4594">
        <v>575010</v>
      </c>
      <c r="BG134" s="4591">
        <f t="shared" si="13"/>
        <v>189753.30000000002</v>
      </c>
      <c r="BH134" s="4543"/>
      <c r="BI134" s="4543"/>
      <c r="BJ134" s="4543"/>
      <c r="BK134" s="4543"/>
      <c r="BL134" s="4543"/>
      <c r="BM134" s="4543"/>
      <c r="BN134" s="4587"/>
      <c r="BO134" s="4587"/>
      <c r="BP134" s="4587"/>
      <c r="BQ134" s="4587"/>
      <c r="BR134" s="4617"/>
    </row>
    <row r="135" spans="1:70" ht="33.75" customHeight="1" x14ac:dyDescent="0.2">
      <c r="A135" s="1014"/>
      <c r="B135" s="1015"/>
      <c r="C135" s="1016"/>
      <c r="D135" s="1015"/>
      <c r="E135" s="1015"/>
      <c r="F135" s="1016"/>
      <c r="G135" s="1017"/>
      <c r="H135" s="1015"/>
      <c r="I135" s="1016"/>
      <c r="J135" s="4518"/>
      <c r="K135" s="4601"/>
      <c r="L135" s="4518"/>
      <c r="M135" s="4518"/>
      <c r="N135" s="4626"/>
      <c r="O135" s="4518"/>
      <c r="P135" s="4582"/>
      <c r="Q135" s="4584"/>
      <c r="R135" s="4596"/>
      <c r="S135" s="4599"/>
      <c r="T135" s="4601"/>
      <c r="U135" s="4602"/>
      <c r="V135" s="4607" t="s">
        <v>931</v>
      </c>
      <c r="W135" s="2611">
        <v>7000000</v>
      </c>
      <c r="X135" s="1809">
        <v>7000000</v>
      </c>
      <c r="Y135" s="1809">
        <v>7000000</v>
      </c>
      <c r="Z135" s="1024">
        <v>61</v>
      </c>
      <c r="AA135" s="1025" t="s">
        <v>883</v>
      </c>
      <c r="AB135" s="4594"/>
      <c r="AC135" s="4591"/>
      <c r="AD135" s="4594">
        <v>282326</v>
      </c>
      <c r="AE135" s="4591">
        <f t="shared" si="1"/>
        <v>93167.58</v>
      </c>
      <c r="AF135" s="4594">
        <v>135912</v>
      </c>
      <c r="AG135" s="4591">
        <f t="shared" si="2"/>
        <v>44850.96</v>
      </c>
      <c r="AH135" s="4594">
        <v>45122</v>
      </c>
      <c r="AI135" s="4591">
        <f t="shared" si="3"/>
        <v>14890.26</v>
      </c>
      <c r="AJ135" s="4594">
        <v>307101</v>
      </c>
      <c r="AK135" s="4591">
        <f t="shared" si="4"/>
        <v>101343.33</v>
      </c>
      <c r="AL135" s="4594">
        <v>86875</v>
      </c>
      <c r="AM135" s="4591">
        <f t="shared" si="5"/>
        <v>28668.75</v>
      </c>
      <c r="AN135" s="4594">
        <v>2145</v>
      </c>
      <c r="AO135" s="4591">
        <f t="shared" si="6"/>
        <v>707.85</v>
      </c>
      <c r="AP135" s="4594">
        <v>12718</v>
      </c>
      <c r="AQ135" s="4591">
        <f t="shared" si="7"/>
        <v>4196.9400000000005</v>
      </c>
      <c r="AR135" s="4594">
        <v>26</v>
      </c>
      <c r="AS135" s="4591">
        <f t="shared" si="8"/>
        <v>8.58</v>
      </c>
      <c r="AT135" s="4594">
        <v>37</v>
      </c>
      <c r="AU135" s="4591">
        <f t="shared" si="9"/>
        <v>12.21</v>
      </c>
      <c r="AV135" s="4594" t="s">
        <v>767</v>
      </c>
      <c r="AW135" s="4591" t="s">
        <v>767</v>
      </c>
      <c r="AX135" s="4594" t="s">
        <v>767</v>
      </c>
      <c r="AY135" s="4591" t="s">
        <v>767</v>
      </c>
      <c r="AZ135" s="4594">
        <v>53164</v>
      </c>
      <c r="BA135" s="4591">
        <f t="shared" si="10"/>
        <v>17544.120000000003</v>
      </c>
      <c r="BB135" s="4594">
        <v>16982</v>
      </c>
      <c r="BC135" s="4591">
        <f t="shared" si="11"/>
        <v>5604.06</v>
      </c>
      <c r="BD135" s="4594">
        <v>60013</v>
      </c>
      <c r="BE135" s="4591">
        <f t="shared" si="12"/>
        <v>19804.29</v>
      </c>
      <c r="BF135" s="4594">
        <v>575010</v>
      </c>
      <c r="BG135" s="4591">
        <f t="shared" si="13"/>
        <v>189753.30000000002</v>
      </c>
      <c r="BH135" s="4543"/>
      <c r="BI135" s="4543"/>
      <c r="BJ135" s="4543"/>
      <c r="BK135" s="4543"/>
      <c r="BL135" s="4543"/>
      <c r="BM135" s="4543"/>
      <c r="BN135" s="4587"/>
      <c r="BO135" s="4587"/>
      <c r="BP135" s="4587"/>
      <c r="BQ135" s="4587"/>
      <c r="BR135" s="4617"/>
    </row>
    <row r="136" spans="1:70" ht="28.5" customHeight="1" x14ac:dyDescent="0.2">
      <c r="A136" s="1014"/>
      <c r="B136" s="1015"/>
      <c r="C136" s="1016"/>
      <c r="D136" s="1015"/>
      <c r="E136" s="1015"/>
      <c r="F136" s="1016"/>
      <c r="G136" s="1017"/>
      <c r="H136" s="1015"/>
      <c r="I136" s="1016"/>
      <c r="J136" s="4518"/>
      <c r="K136" s="4601"/>
      <c r="L136" s="4518"/>
      <c r="M136" s="4518"/>
      <c r="N136" s="4626"/>
      <c r="O136" s="4518"/>
      <c r="P136" s="4582"/>
      <c r="Q136" s="4584"/>
      <c r="R136" s="4596"/>
      <c r="S136" s="4599"/>
      <c r="T136" s="4601"/>
      <c r="U136" s="4602"/>
      <c r="V136" s="4608"/>
      <c r="W136" s="4610">
        <f>0+4271940</f>
        <v>4271940</v>
      </c>
      <c r="X136" s="1809">
        <f>0+4271940</f>
        <v>4271940</v>
      </c>
      <c r="Y136" s="1809">
        <v>4271940</v>
      </c>
      <c r="Z136" s="4612">
        <v>107</v>
      </c>
      <c r="AA136" s="4614" t="s">
        <v>929</v>
      </c>
      <c r="AB136" s="4594"/>
      <c r="AC136" s="4591"/>
      <c r="AD136" s="4594">
        <v>282326</v>
      </c>
      <c r="AE136" s="4591">
        <f t="shared" si="1"/>
        <v>93167.58</v>
      </c>
      <c r="AF136" s="4594">
        <v>135912</v>
      </c>
      <c r="AG136" s="4591">
        <f t="shared" si="2"/>
        <v>44850.96</v>
      </c>
      <c r="AH136" s="4594">
        <v>45122</v>
      </c>
      <c r="AI136" s="4591">
        <f t="shared" si="3"/>
        <v>14890.26</v>
      </c>
      <c r="AJ136" s="4594">
        <v>307101</v>
      </c>
      <c r="AK136" s="4591">
        <f t="shared" si="4"/>
        <v>101343.33</v>
      </c>
      <c r="AL136" s="4594">
        <v>86875</v>
      </c>
      <c r="AM136" s="4591">
        <f t="shared" si="5"/>
        <v>28668.75</v>
      </c>
      <c r="AN136" s="4594">
        <v>2145</v>
      </c>
      <c r="AO136" s="4591">
        <f t="shared" si="6"/>
        <v>707.85</v>
      </c>
      <c r="AP136" s="4594">
        <v>12718</v>
      </c>
      <c r="AQ136" s="4591">
        <f t="shared" si="7"/>
        <v>4196.9400000000005</v>
      </c>
      <c r="AR136" s="4594">
        <v>26</v>
      </c>
      <c r="AS136" s="4591">
        <f t="shared" si="8"/>
        <v>8.58</v>
      </c>
      <c r="AT136" s="4594">
        <v>37</v>
      </c>
      <c r="AU136" s="4591">
        <f t="shared" si="9"/>
        <v>12.21</v>
      </c>
      <c r="AV136" s="4594" t="s">
        <v>767</v>
      </c>
      <c r="AW136" s="4591" t="s">
        <v>767</v>
      </c>
      <c r="AX136" s="4594" t="s">
        <v>767</v>
      </c>
      <c r="AY136" s="4591" t="s">
        <v>767</v>
      </c>
      <c r="AZ136" s="4594">
        <v>53164</v>
      </c>
      <c r="BA136" s="4591">
        <f t="shared" si="10"/>
        <v>17544.120000000003</v>
      </c>
      <c r="BB136" s="4594">
        <v>16982</v>
      </c>
      <c r="BC136" s="4591">
        <f t="shared" si="11"/>
        <v>5604.06</v>
      </c>
      <c r="BD136" s="4594">
        <v>60013</v>
      </c>
      <c r="BE136" s="4591">
        <f t="shared" si="12"/>
        <v>19804.29</v>
      </c>
      <c r="BF136" s="4594">
        <v>575010</v>
      </c>
      <c r="BG136" s="4591">
        <f t="shared" si="13"/>
        <v>189753.30000000002</v>
      </c>
      <c r="BH136" s="4543"/>
      <c r="BI136" s="4543"/>
      <c r="BJ136" s="4543"/>
      <c r="BK136" s="4543"/>
      <c r="BL136" s="4543"/>
      <c r="BM136" s="4543"/>
      <c r="BN136" s="4587"/>
      <c r="BO136" s="4587"/>
      <c r="BP136" s="4587"/>
      <c r="BQ136" s="4587"/>
      <c r="BR136" s="4617"/>
    </row>
    <row r="137" spans="1:70" x14ac:dyDescent="0.2">
      <c r="A137" s="1014"/>
      <c r="B137" s="1015"/>
      <c r="C137" s="1016"/>
      <c r="D137" s="1015"/>
      <c r="E137" s="1015"/>
      <c r="F137" s="1016"/>
      <c r="G137" s="1017"/>
      <c r="H137" s="1015"/>
      <c r="I137" s="1016"/>
      <c r="J137" s="4518"/>
      <c r="K137" s="4601"/>
      <c r="L137" s="4518"/>
      <c r="M137" s="4518"/>
      <c r="N137" s="4626"/>
      <c r="O137" s="4518"/>
      <c r="P137" s="4582"/>
      <c r="Q137" s="4584"/>
      <c r="R137" s="4596"/>
      <c r="S137" s="4599"/>
      <c r="T137" s="4601"/>
      <c r="U137" s="4602"/>
      <c r="V137" s="4609"/>
      <c r="W137" s="4611"/>
      <c r="X137" s="1809"/>
      <c r="Y137" s="1809"/>
      <c r="Z137" s="4613"/>
      <c r="AA137" s="4615"/>
      <c r="AB137" s="4594"/>
      <c r="AC137" s="4591"/>
      <c r="AD137" s="4594">
        <v>282326</v>
      </c>
      <c r="AE137" s="4591">
        <f t="shared" si="1"/>
        <v>93167.58</v>
      </c>
      <c r="AF137" s="4594">
        <v>135912</v>
      </c>
      <c r="AG137" s="4591">
        <f t="shared" si="2"/>
        <v>44850.96</v>
      </c>
      <c r="AH137" s="4594">
        <v>45122</v>
      </c>
      <c r="AI137" s="4591">
        <f t="shared" si="3"/>
        <v>14890.26</v>
      </c>
      <c r="AJ137" s="4594">
        <v>307101</v>
      </c>
      <c r="AK137" s="4591">
        <f t="shared" si="4"/>
        <v>101343.33</v>
      </c>
      <c r="AL137" s="4594">
        <v>86875</v>
      </c>
      <c r="AM137" s="4591">
        <f t="shared" si="5"/>
        <v>28668.75</v>
      </c>
      <c r="AN137" s="4594">
        <v>2145</v>
      </c>
      <c r="AO137" s="4591">
        <f t="shared" si="6"/>
        <v>707.85</v>
      </c>
      <c r="AP137" s="4594">
        <v>12718</v>
      </c>
      <c r="AQ137" s="4591">
        <f t="shared" si="7"/>
        <v>4196.9400000000005</v>
      </c>
      <c r="AR137" s="4594">
        <v>26</v>
      </c>
      <c r="AS137" s="4591">
        <f t="shared" si="8"/>
        <v>8.58</v>
      </c>
      <c r="AT137" s="4594">
        <v>37</v>
      </c>
      <c r="AU137" s="4591">
        <f t="shared" si="9"/>
        <v>12.21</v>
      </c>
      <c r="AV137" s="4594" t="s">
        <v>767</v>
      </c>
      <c r="AW137" s="4591" t="s">
        <v>767</v>
      </c>
      <c r="AX137" s="4594" t="s">
        <v>767</v>
      </c>
      <c r="AY137" s="4591" t="s">
        <v>767</v>
      </c>
      <c r="AZ137" s="4594">
        <v>53164</v>
      </c>
      <c r="BA137" s="4591">
        <f t="shared" si="10"/>
        <v>17544.120000000003</v>
      </c>
      <c r="BB137" s="4594">
        <v>16982</v>
      </c>
      <c r="BC137" s="4591">
        <f t="shared" si="11"/>
        <v>5604.06</v>
      </c>
      <c r="BD137" s="4594">
        <v>60013</v>
      </c>
      <c r="BE137" s="4591">
        <f t="shared" si="12"/>
        <v>19804.29</v>
      </c>
      <c r="BF137" s="4594">
        <v>575010</v>
      </c>
      <c r="BG137" s="4591">
        <f t="shared" si="13"/>
        <v>189753.30000000002</v>
      </c>
      <c r="BH137" s="4543"/>
      <c r="BI137" s="4543"/>
      <c r="BJ137" s="4543"/>
      <c r="BK137" s="4543"/>
      <c r="BL137" s="4543"/>
      <c r="BM137" s="4543"/>
      <c r="BN137" s="4587"/>
      <c r="BO137" s="4587"/>
      <c r="BP137" s="4587"/>
      <c r="BQ137" s="4587"/>
      <c r="BR137" s="4617"/>
    </row>
    <row r="138" spans="1:70" x14ac:dyDescent="0.2">
      <c r="A138" s="1014"/>
      <c r="B138" s="1015"/>
      <c r="C138" s="1016"/>
      <c r="D138" s="1015"/>
      <c r="E138" s="1015"/>
      <c r="F138" s="1016"/>
      <c r="G138" s="1017"/>
      <c r="H138" s="1015"/>
      <c r="I138" s="1016"/>
      <c r="J138" s="4518"/>
      <c r="K138" s="4601"/>
      <c r="L138" s="4518"/>
      <c r="M138" s="4518"/>
      <c r="N138" s="4626"/>
      <c r="O138" s="4518"/>
      <c r="P138" s="4582"/>
      <c r="Q138" s="4584"/>
      <c r="R138" s="4596"/>
      <c r="S138" s="4599"/>
      <c r="T138" s="4601"/>
      <c r="U138" s="4601"/>
      <c r="V138" s="4605" t="s">
        <v>932</v>
      </c>
      <c r="W138" s="2597">
        <v>10000000</v>
      </c>
      <c r="X138" s="1809">
        <v>10000000</v>
      </c>
      <c r="Y138" s="1809">
        <v>10000000</v>
      </c>
      <c r="Z138" s="1026">
        <v>61</v>
      </c>
      <c r="AA138" s="1019" t="s">
        <v>883</v>
      </c>
      <c r="AB138" s="4594"/>
      <c r="AC138" s="4591"/>
      <c r="AD138" s="4594">
        <v>282326</v>
      </c>
      <c r="AE138" s="4591">
        <f t="shared" si="1"/>
        <v>93167.58</v>
      </c>
      <c r="AF138" s="4594">
        <v>135912</v>
      </c>
      <c r="AG138" s="4591">
        <f t="shared" si="2"/>
        <v>44850.96</v>
      </c>
      <c r="AH138" s="4594">
        <v>45122</v>
      </c>
      <c r="AI138" s="4591">
        <f t="shared" si="3"/>
        <v>14890.26</v>
      </c>
      <c r="AJ138" s="4594">
        <v>307101</v>
      </c>
      <c r="AK138" s="4591">
        <f t="shared" si="4"/>
        <v>101343.33</v>
      </c>
      <c r="AL138" s="4594">
        <v>86875</v>
      </c>
      <c r="AM138" s="4591">
        <f t="shared" si="5"/>
        <v>28668.75</v>
      </c>
      <c r="AN138" s="4594">
        <v>2145</v>
      </c>
      <c r="AO138" s="4591">
        <f t="shared" si="6"/>
        <v>707.85</v>
      </c>
      <c r="AP138" s="4594">
        <v>12718</v>
      </c>
      <c r="AQ138" s="4591">
        <f t="shared" si="7"/>
        <v>4196.9400000000005</v>
      </c>
      <c r="AR138" s="4594">
        <v>26</v>
      </c>
      <c r="AS138" s="4591">
        <f t="shared" si="8"/>
        <v>8.58</v>
      </c>
      <c r="AT138" s="4594">
        <v>37</v>
      </c>
      <c r="AU138" s="4591">
        <f t="shared" si="9"/>
        <v>12.21</v>
      </c>
      <c r="AV138" s="4594" t="s">
        <v>767</v>
      </c>
      <c r="AW138" s="4591" t="s">
        <v>767</v>
      </c>
      <c r="AX138" s="4594" t="s">
        <v>767</v>
      </c>
      <c r="AY138" s="4591" t="s">
        <v>767</v>
      </c>
      <c r="AZ138" s="4594">
        <v>53164</v>
      </c>
      <c r="BA138" s="4591">
        <f t="shared" si="10"/>
        <v>17544.120000000003</v>
      </c>
      <c r="BB138" s="4594">
        <v>16982</v>
      </c>
      <c r="BC138" s="4591">
        <f t="shared" si="11"/>
        <v>5604.06</v>
      </c>
      <c r="BD138" s="4594">
        <v>60013</v>
      </c>
      <c r="BE138" s="4591">
        <f t="shared" si="12"/>
        <v>19804.29</v>
      </c>
      <c r="BF138" s="4594">
        <v>575010</v>
      </c>
      <c r="BG138" s="4591">
        <f t="shared" si="13"/>
        <v>189753.30000000002</v>
      </c>
      <c r="BH138" s="4543"/>
      <c r="BI138" s="4543"/>
      <c r="BJ138" s="4543"/>
      <c r="BK138" s="4543"/>
      <c r="BL138" s="4543"/>
      <c r="BM138" s="4543"/>
      <c r="BN138" s="4587"/>
      <c r="BO138" s="4587"/>
      <c r="BP138" s="4587"/>
      <c r="BQ138" s="4587"/>
      <c r="BR138" s="4617"/>
    </row>
    <row r="139" spans="1:70" ht="24.75" customHeight="1" x14ac:dyDescent="0.2">
      <c r="A139" s="1014"/>
      <c r="B139" s="1015"/>
      <c r="C139" s="1016"/>
      <c r="D139" s="1015"/>
      <c r="E139" s="1015"/>
      <c r="F139" s="1016"/>
      <c r="G139" s="1017"/>
      <c r="H139" s="1015"/>
      <c r="I139" s="1016"/>
      <c r="J139" s="4518"/>
      <c r="K139" s="4601"/>
      <c r="L139" s="4518"/>
      <c r="M139" s="4518"/>
      <c r="N139" s="4626"/>
      <c r="O139" s="4518"/>
      <c r="P139" s="4582"/>
      <c r="Q139" s="4584"/>
      <c r="R139" s="4596"/>
      <c r="S139" s="4599"/>
      <c r="T139" s="4601"/>
      <c r="U139" s="4601"/>
      <c r="V139" s="4605"/>
      <c r="W139" s="2595">
        <v>10000000</v>
      </c>
      <c r="X139" s="1809">
        <v>6411500</v>
      </c>
      <c r="Y139" s="1809">
        <v>5161500</v>
      </c>
      <c r="Z139" s="1009">
        <v>20</v>
      </c>
      <c r="AA139" s="1027" t="s">
        <v>86</v>
      </c>
      <c r="AB139" s="4594"/>
      <c r="AC139" s="4591"/>
      <c r="AD139" s="4594">
        <v>282326</v>
      </c>
      <c r="AE139" s="4591">
        <f t="shared" si="1"/>
        <v>93167.58</v>
      </c>
      <c r="AF139" s="4594">
        <v>135912</v>
      </c>
      <c r="AG139" s="4591">
        <f t="shared" si="2"/>
        <v>44850.96</v>
      </c>
      <c r="AH139" s="4594">
        <v>45122</v>
      </c>
      <c r="AI139" s="4591">
        <f t="shared" si="3"/>
        <v>14890.26</v>
      </c>
      <c r="AJ139" s="4594">
        <v>307101</v>
      </c>
      <c r="AK139" s="4591">
        <f t="shared" si="4"/>
        <v>101343.33</v>
      </c>
      <c r="AL139" s="4594">
        <v>86875</v>
      </c>
      <c r="AM139" s="4591">
        <f t="shared" si="5"/>
        <v>28668.75</v>
      </c>
      <c r="AN139" s="4594">
        <v>2145</v>
      </c>
      <c r="AO139" s="4591">
        <f t="shared" si="6"/>
        <v>707.85</v>
      </c>
      <c r="AP139" s="4594">
        <v>12718</v>
      </c>
      <c r="AQ139" s="4591">
        <f t="shared" si="7"/>
        <v>4196.9400000000005</v>
      </c>
      <c r="AR139" s="4594">
        <v>26</v>
      </c>
      <c r="AS139" s="4591">
        <f t="shared" si="8"/>
        <v>8.58</v>
      </c>
      <c r="AT139" s="4594">
        <v>37</v>
      </c>
      <c r="AU139" s="4591">
        <f t="shared" si="9"/>
        <v>12.21</v>
      </c>
      <c r="AV139" s="4594" t="s">
        <v>767</v>
      </c>
      <c r="AW139" s="4591" t="s">
        <v>767</v>
      </c>
      <c r="AX139" s="4594" t="s">
        <v>767</v>
      </c>
      <c r="AY139" s="4591" t="s">
        <v>767</v>
      </c>
      <c r="AZ139" s="4594">
        <v>53164</v>
      </c>
      <c r="BA139" s="4591">
        <f t="shared" si="10"/>
        <v>17544.120000000003</v>
      </c>
      <c r="BB139" s="4594">
        <v>16982</v>
      </c>
      <c r="BC139" s="4591">
        <f t="shared" si="11"/>
        <v>5604.06</v>
      </c>
      <c r="BD139" s="4594">
        <v>60013</v>
      </c>
      <c r="BE139" s="4591">
        <f t="shared" si="12"/>
        <v>19804.29</v>
      </c>
      <c r="BF139" s="4594">
        <v>575010</v>
      </c>
      <c r="BG139" s="4591">
        <f t="shared" si="13"/>
        <v>189753.30000000002</v>
      </c>
      <c r="BH139" s="4543"/>
      <c r="BI139" s="4543"/>
      <c r="BJ139" s="4543"/>
      <c r="BK139" s="4543"/>
      <c r="BL139" s="4543"/>
      <c r="BM139" s="4543"/>
      <c r="BN139" s="4587"/>
      <c r="BO139" s="4587"/>
      <c r="BP139" s="4587"/>
      <c r="BQ139" s="4587"/>
      <c r="BR139" s="4617"/>
    </row>
    <row r="140" spans="1:70" ht="26.25" customHeight="1" x14ac:dyDescent="0.2">
      <c r="A140" s="1014"/>
      <c r="B140" s="1015"/>
      <c r="C140" s="1016"/>
      <c r="D140" s="1015"/>
      <c r="E140" s="1015"/>
      <c r="F140" s="1016"/>
      <c r="G140" s="1017"/>
      <c r="H140" s="1015"/>
      <c r="I140" s="1016"/>
      <c r="J140" s="4518"/>
      <c r="K140" s="4601"/>
      <c r="L140" s="4518"/>
      <c r="M140" s="4518"/>
      <c r="N140" s="4626"/>
      <c r="O140" s="4518"/>
      <c r="P140" s="4582"/>
      <c r="Q140" s="4584"/>
      <c r="R140" s="4596"/>
      <c r="S140" s="4599"/>
      <c r="T140" s="4601"/>
      <c r="U140" s="4601"/>
      <c r="V140" s="4627"/>
      <c r="W140" s="2595">
        <f>0+4271940</f>
        <v>4271940</v>
      </c>
      <c r="X140" s="1809">
        <v>4271940</v>
      </c>
      <c r="Y140" s="1809">
        <v>4271940</v>
      </c>
      <c r="Z140" s="1009">
        <v>107</v>
      </c>
      <c r="AA140" s="1027" t="s">
        <v>929</v>
      </c>
      <c r="AB140" s="4594"/>
      <c r="AC140" s="4591"/>
      <c r="AD140" s="4594">
        <v>282326</v>
      </c>
      <c r="AE140" s="4591">
        <f t="shared" si="1"/>
        <v>93167.58</v>
      </c>
      <c r="AF140" s="4594">
        <v>135912</v>
      </c>
      <c r="AG140" s="4591">
        <f t="shared" si="2"/>
        <v>44850.96</v>
      </c>
      <c r="AH140" s="4594">
        <v>45122</v>
      </c>
      <c r="AI140" s="4591">
        <f t="shared" si="3"/>
        <v>14890.26</v>
      </c>
      <c r="AJ140" s="4594">
        <v>307101</v>
      </c>
      <c r="AK140" s="4591">
        <f t="shared" si="4"/>
        <v>101343.33</v>
      </c>
      <c r="AL140" s="4594">
        <v>86875</v>
      </c>
      <c r="AM140" s="4591">
        <f t="shared" si="5"/>
        <v>28668.75</v>
      </c>
      <c r="AN140" s="4594">
        <v>2145</v>
      </c>
      <c r="AO140" s="4591">
        <f t="shared" si="6"/>
        <v>707.85</v>
      </c>
      <c r="AP140" s="4594">
        <v>12718</v>
      </c>
      <c r="AQ140" s="4591">
        <f t="shared" si="7"/>
        <v>4196.9400000000005</v>
      </c>
      <c r="AR140" s="4594">
        <v>26</v>
      </c>
      <c r="AS140" s="4591">
        <f t="shared" si="8"/>
        <v>8.58</v>
      </c>
      <c r="AT140" s="4594">
        <v>37</v>
      </c>
      <c r="AU140" s="4591">
        <f t="shared" si="9"/>
        <v>12.21</v>
      </c>
      <c r="AV140" s="4594" t="s">
        <v>767</v>
      </c>
      <c r="AW140" s="4591" t="s">
        <v>767</v>
      </c>
      <c r="AX140" s="4594" t="s">
        <v>767</v>
      </c>
      <c r="AY140" s="4591" t="s">
        <v>767</v>
      </c>
      <c r="AZ140" s="4594">
        <v>53164</v>
      </c>
      <c r="BA140" s="4591">
        <f t="shared" si="10"/>
        <v>17544.120000000003</v>
      </c>
      <c r="BB140" s="4594">
        <v>16982</v>
      </c>
      <c r="BC140" s="4591">
        <f t="shared" si="11"/>
        <v>5604.06</v>
      </c>
      <c r="BD140" s="4594">
        <v>60013</v>
      </c>
      <c r="BE140" s="4591">
        <f t="shared" si="12"/>
        <v>19804.29</v>
      </c>
      <c r="BF140" s="4594">
        <v>575010</v>
      </c>
      <c r="BG140" s="4591">
        <f t="shared" si="13"/>
        <v>189753.30000000002</v>
      </c>
      <c r="BH140" s="4543"/>
      <c r="BI140" s="4543"/>
      <c r="BJ140" s="4543"/>
      <c r="BK140" s="4543"/>
      <c r="BL140" s="4543"/>
      <c r="BM140" s="4543"/>
      <c r="BN140" s="4587"/>
      <c r="BO140" s="4587"/>
      <c r="BP140" s="4587"/>
      <c r="BQ140" s="4587"/>
      <c r="BR140" s="4617"/>
    </row>
    <row r="141" spans="1:70" ht="43.5" customHeight="1" x14ac:dyDescent="0.2">
      <c r="A141" s="1014"/>
      <c r="B141" s="1015"/>
      <c r="C141" s="1016"/>
      <c r="D141" s="1015"/>
      <c r="E141" s="1015"/>
      <c r="F141" s="1016"/>
      <c r="G141" s="1017"/>
      <c r="H141" s="1015"/>
      <c r="I141" s="1016"/>
      <c r="J141" s="4518"/>
      <c r="K141" s="4601"/>
      <c r="L141" s="4518"/>
      <c r="M141" s="4518"/>
      <c r="N141" s="4626"/>
      <c r="O141" s="4518"/>
      <c r="P141" s="4582"/>
      <c r="Q141" s="4584"/>
      <c r="R141" s="4596"/>
      <c r="S141" s="4599"/>
      <c r="T141" s="4601"/>
      <c r="U141" s="4601"/>
      <c r="V141" s="4604" t="s">
        <v>933</v>
      </c>
      <c r="W141" s="2595">
        <v>20000000</v>
      </c>
      <c r="X141" s="1809">
        <f>6411500-114</f>
        <v>6411386</v>
      </c>
      <c r="Y141" s="1809">
        <v>5161500</v>
      </c>
      <c r="Z141" s="1009">
        <v>20</v>
      </c>
      <c r="AA141" s="1027" t="s">
        <v>86</v>
      </c>
      <c r="AB141" s="4594"/>
      <c r="AC141" s="4591"/>
      <c r="AD141" s="4594">
        <v>282326</v>
      </c>
      <c r="AE141" s="4591">
        <f t="shared" si="1"/>
        <v>93167.58</v>
      </c>
      <c r="AF141" s="4594">
        <v>135912</v>
      </c>
      <c r="AG141" s="4591">
        <f t="shared" si="2"/>
        <v>44850.96</v>
      </c>
      <c r="AH141" s="4594">
        <v>45122</v>
      </c>
      <c r="AI141" s="4591">
        <f t="shared" si="3"/>
        <v>14890.26</v>
      </c>
      <c r="AJ141" s="4594">
        <v>307101</v>
      </c>
      <c r="AK141" s="4591">
        <f t="shared" si="4"/>
        <v>101343.33</v>
      </c>
      <c r="AL141" s="4594">
        <v>86875</v>
      </c>
      <c r="AM141" s="4591">
        <f t="shared" si="5"/>
        <v>28668.75</v>
      </c>
      <c r="AN141" s="4594">
        <v>2145</v>
      </c>
      <c r="AO141" s="4591">
        <f t="shared" si="6"/>
        <v>707.85</v>
      </c>
      <c r="AP141" s="4594">
        <v>12718</v>
      </c>
      <c r="AQ141" s="4591">
        <f t="shared" si="7"/>
        <v>4196.9400000000005</v>
      </c>
      <c r="AR141" s="4594">
        <v>26</v>
      </c>
      <c r="AS141" s="4591">
        <f t="shared" si="8"/>
        <v>8.58</v>
      </c>
      <c r="AT141" s="4594">
        <v>37</v>
      </c>
      <c r="AU141" s="4591">
        <f t="shared" si="9"/>
        <v>12.21</v>
      </c>
      <c r="AV141" s="4594" t="s">
        <v>767</v>
      </c>
      <c r="AW141" s="4591" t="s">
        <v>767</v>
      </c>
      <c r="AX141" s="4594" t="s">
        <v>767</v>
      </c>
      <c r="AY141" s="4591" t="s">
        <v>767</v>
      </c>
      <c r="AZ141" s="4594">
        <v>53164</v>
      </c>
      <c r="BA141" s="4591">
        <f t="shared" si="10"/>
        <v>17544.120000000003</v>
      </c>
      <c r="BB141" s="4594">
        <v>16982</v>
      </c>
      <c r="BC141" s="4591">
        <f t="shared" si="11"/>
        <v>5604.06</v>
      </c>
      <c r="BD141" s="4594">
        <v>60013</v>
      </c>
      <c r="BE141" s="4591">
        <f t="shared" si="12"/>
        <v>19804.29</v>
      </c>
      <c r="BF141" s="4594">
        <v>575010</v>
      </c>
      <c r="BG141" s="4591">
        <f t="shared" si="13"/>
        <v>189753.30000000002</v>
      </c>
      <c r="BH141" s="4543"/>
      <c r="BI141" s="4543"/>
      <c r="BJ141" s="4543"/>
      <c r="BK141" s="4543"/>
      <c r="BL141" s="4543"/>
      <c r="BM141" s="4543"/>
      <c r="BN141" s="4587"/>
      <c r="BO141" s="4587"/>
      <c r="BP141" s="4587"/>
      <c r="BQ141" s="4587"/>
      <c r="BR141" s="4617"/>
    </row>
    <row r="142" spans="1:70" ht="45.75" customHeight="1" x14ac:dyDescent="0.2">
      <c r="A142" s="1014"/>
      <c r="B142" s="1015"/>
      <c r="C142" s="1016"/>
      <c r="D142" s="1015"/>
      <c r="E142" s="1015"/>
      <c r="F142" s="1016"/>
      <c r="G142" s="1017"/>
      <c r="H142" s="1015"/>
      <c r="I142" s="1016"/>
      <c r="J142" s="4518"/>
      <c r="K142" s="4601"/>
      <c r="L142" s="4518"/>
      <c r="M142" s="4518"/>
      <c r="N142" s="4626"/>
      <c r="O142" s="4518"/>
      <c r="P142" s="4582"/>
      <c r="Q142" s="4584"/>
      <c r="R142" s="4596"/>
      <c r="S142" s="4599"/>
      <c r="T142" s="4601"/>
      <c r="U142" s="4601"/>
      <c r="V142" s="4627"/>
      <c r="W142" s="2595">
        <f>0+4271940</f>
        <v>4271940</v>
      </c>
      <c r="X142" s="1809">
        <v>4271940</v>
      </c>
      <c r="Y142" s="1809">
        <v>4271940</v>
      </c>
      <c r="Z142" s="1009">
        <v>107</v>
      </c>
      <c r="AA142" s="1027" t="s">
        <v>929</v>
      </c>
      <c r="AB142" s="4594"/>
      <c r="AC142" s="4591"/>
      <c r="AD142" s="4594">
        <v>282326</v>
      </c>
      <c r="AE142" s="4591">
        <f t="shared" si="1"/>
        <v>93167.58</v>
      </c>
      <c r="AF142" s="4594">
        <v>135912</v>
      </c>
      <c r="AG142" s="4591">
        <f t="shared" si="2"/>
        <v>44850.96</v>
      </c>
      <c r="AH142" s="4594">
        <v>45122</v>
      </c>
      <c r="AI142" s="4591">
        <f t="shared" si="3"/>
        <v>14890.26</v>
      </c>
      <c r="AJ142" s="4594">
        <v>307101</v>
      </c>
      <c r="AK142" s="4591">
        <f t="shared" si="4"/>
        <v>101343.33</v>
      </c>
      <c r="AL142" s="4594">
        <v>86875</v>
      </c>
      <c r="AM142" s="4591">
        <f t="shared" si="5"/>
        <v>28668.75</v>
      </c>
      <c r="AN142" s="4594">
        <v>2145</v>
      </c>
      <c r="AO142" s="4591">
        <f t="shared" si="6"/>
        <v>707.85</v>
      </c>
      <c r="AP142" s="4594">
        <v>12718</v>
      </c>
      <c r="AQ142" s="4591">
        <f t="shared" si="7"/>
        <v>4196.9400000000005</v>
      </c>
      <c r="AR142" s="4594">
        <v>26</v>
      </c>
      <c r="AS142" s="4591">
        <f t="shared" si="8"/>
        <v>8.58</v>
      </c>
      <c r="AT142" s="4594">
        <v>37</v>
      </c>
      <c r="AU142" s="4591">
        <f t="shared" si="9"/>
        <v>12.21</v>
      </c>
      <c r="AV142" s="4594" t="s">
        <v>767</v>
      </c>
      <c r="AW142" s="4591" t="s">
        <v>767</v>
      </c>
      <c r="AX142" s="4594" t="s">
        <v>767</v>
      </c>
      <c r="AY142" s="4591" t="s">
        <v>767</v>
      </c>
      <c r="AZ142" s="4594">
        <v>53164</v>
      </c>
      <c r="BA142" s="4591">
        <f t="shared" si="10"/>
        <v>17544.120000000003</v>
      </c>
      <c r="BB142" s="4594">
        <v>16982</v>
      </c>
      <c r="BC142" s="4591">
        <f t="shared" si="11"/>
        <v>5604.06</v>
      </c>
      <c r="BD142" s="4594">
        <v>60013</v>
      </c>
      <c r="BE142" s="4591">
        <f t="shared" si="12"/>
        <v>19804.29</v>
      </c>
      <c r="BF142" s="4594">
        <v>575010</v>
      </c>
      <c r="BG142" s="4591">
        <f t="shared" si="13"/>
        <v>189753.30000000002</v>
      </c>
      <c r="BH142" s="4543"/>
      <c r="BI142" s="4543"/>
      <c r="BJ142" s="4543"/>
      <c r="BK142" s="4543"/>
      <c r="BL142" s="4543"/>
      <c r="BM142" s="4543"/>
      <c r="BN142" s="4587"/>
      <c r="BO142" s="4587"/>
      <c r="BP142" s="4587"/>
      <c r="BQ142" s="4587"/>
      <c r="BR142" s="4617"/>
    </row>
    <row r="143" spans="1:70" ht="51" customHeight="1" x14ac:dyDescent="0.2">
      <c r="A143" s="1014"/>
      <c r="B143" s="1015"/>
      <c r="C143" s="1016"/>
      <c r="D143" s="1015"/>
      <c r="E143" s="1015"/>
      <c r="F143" s="1016"/>
      <c r="G143" s="1017"/>
      <c r="H143" s="1015"/>
      <c r="I143" s="1016"/>
      <c r="J143" s="4518"/>
      <c r="K143" s="4601"/>
      <c r="L143" s="4518"/>
      <c r="M143" s="4518"/>
      <c r="N143" s="4626"/>
      <c r="O143" s="4518"/>
      <c r="P143" s="4582"/>
      <c r="Q143" s="4584"/>
      <c r="R143" s="4596"/>
      <c r="S143" s="4599"/>
      <c r="T143" s="4601"/>
      <c r="U143" s="4601"/>
      <c r="V143" s="4604" t="s">
        <v>934</v>
      </c>
      <c r="W143" s="2595">
        <v>20000000</v>
      </c>
      <c r="X143" s="1809">
        <v>6411500</v>
      </c>
      <c r="Y143" s="1809">
        <v>5161500</v>
      </c>
      <c r="Z143" s="1009">
        <v>20</v>
      </c>
      <c r="AA143" s="1027" t="s">
        <v>86</v>
      </c>
      <c r="AB143" s="4594"/>
      <c r="AC143" s="4591"/>
      <c r="AD143" s="4594">
        <v>282326</v>
      </c>
      <c r="AE143" s="4591">
        <f t="shared" si="1"/>
        <v>93167.58</v>
      </c>
      <c r="AF143" s="4594">
        <v>135912</v>
      </c>
      <c r="AG143" s="4591">
        <f t="shared" si="2"/>
        <v>44850.96</v>
      </c>
      <c r="AH143" s="4594">
        <v>45122</v>
      </c>
      <c r="AI143" s="4591">
        <f t="shared" si="3"/>
        <v>14890.26</v>
      </c>
      <c r="AJ143" s="4594">
        <v>307101</v>
      </c>
      <c r="AK143" s="4591">
        <f t="shared" si="4"/>
        <v>101343.33</v>
      </c>
      <c r="AL143" s="4594">
        <v>86875</v>
      </c>
      <c r="AM143" s="4591">
        <f t="shared" si="5"/>
        <v>28668.75</v>
      </c>
      <c r="AN143" s="4594">
        <v>2145</v>
      </c>
      <c r="AO143" s="4591">
        <f t="shared" si="6"/>
        <v>707.85</v>
      </c>
      <c r="AP143" s="4594">
        <v>12718</v>
      </c>
      <c r="AQ143" s="4591">
        <f t="shared" si="7"/>
        <v>4196.9400000000005</v>
      </c>
      <c r="AR143" s="4594">
        <v>26</v>
      </c>
      <c r="AS143" s="4591">
        <f t="shared" si="8"/>
        <v>8.58</v>
      </c>
      <c r="AT143" s="4594">
        <v>37</v>
      </c>
      <c r="AU143" s="4591">
        <f t="shared" si="9"/>
        <v>12.21</v>
      </c>
      <c r="AV143" s="4594" t="s">
        <v>767</v>
      </c>
      <c r="AW143" s="4591" t="s">
        <v>767</v>
      </c>
      <c r="AX143" s="4594" t="s">
        <v>767</v>
      </c>
      <c r="AY143" s="4591" t="s">
        <v>767</v>
      </c>
      <c r="AZ143" s="4594">
        <v>53164</v>
      </c>
      <c r="BA143" s="4591">
        <f t="shared" si="10"/>
        <v>17544.120000000003</v>
      </c>
      <c r="BB143" s="4594">
        <v>16982</v>
      </c>
      <c r="BC143" s="4591">
        <f t="shared" si="11"/>
        <v>5604.06</v>
      </c>
      <c r="BD143" s="4594">
        <v>60013</v>
      </c>
      <c r="BE143" s="4591">
        <f t="shared" si="12"/>
        <v>19804.29</v>
      </c>
      <c r="BF143" s="4594">
        <v>575010</v>
      </c>
      <c r="BG143" s="4591">
        <f t="shared" si="13"/>
        <v>189753.30000000002</v>
      </c>
      <c r="BH143" s="4543"/>
      <c r="BI143" s="4543"/>
      <c r="BJ143" s="4543"/>
      <c r="BK143" s="4543"/>
      <c r="BL143" s="4543"/>
      <c r="BM143" s="4543"/>
      <c r="BN143" s="4587"/>
      <c r="BO143" s="4587"/>
      <c r="BP143" s="4587"/>
      <c r="BQ143" s="4587"/>
      <c r="BR143" s="4617"/>
    </row>
    <row r="144" spans="1:70" ht="38.25" customHeight="1" x14ac:dyDescent="0.2">
      <c r="A144" s="1014"/>
      <c r="B144" s="1015"/>
      <c r="C144" s="1016"/>
      <c r="D144" s="1015"/>
      <c r="E144" s="1015"/>
      <c r="F144" s="1016"/>
      <c r="G144" s="1017"/>
      <c r="H144" s="1015"/>
      <c r="I144" s="1016"/>
      <c r="J144" s="4518"/>
      <c r="K144" s="4601"/>
      <c r="L144" s="4518"/>
      <c r="M144" s="4518"/>
      <c r="N144" s="4626"/>
      <c r="O144" s="4518"/>
      <c r="P144" s="4582"/>
      <c r="Q144" s="4584"/>
      <c r="R144" s="4596"/>
      <c r="S144" s="4599"/>
      <c r="T144" s="4601"/>
      <c r="U144" s="4601"/>
      <c r="V144" s="4627"/>
      <c r="W144" s="2595">
        <f>0+4271940</f>
        <v>4271940</v>
      </c>
      <c r="X144" s="1809">
        <v>4271940</v>
      </c>
      <c r="Y144" s="1809">
        <v>4271940</v>
      </c>
      <c r="Z144" s="1009">
        <v>107</v>
      </c>
      <c r="AA144" s="1027" t="s">
        <v>929</v>
      </c>
      <c r="AB144" s="4594"/>
      <c r="AC144" s="4591"/>
      <c r="AD144" s="4594">
        <v>282326</v>
      </c>
      <c r="AE144" s="4591">
        <f t="shared" si="1"/>
        <v>93167.58</v>
      </c>
      <c r="AF144" s="4594">
        <v>135912</v>
      </c>
      <c r="AG144" s="4591">
        <f t="shared" si="2"/>
        <v>44850.96</v>
      </c>
      <c r="AH144" s="4594">
        <v>45122</v>
      </c>
      <c r="AI144" s="4591">
        <f t="shared" si="3"/>
        <v>14890.26</v>
      </c>
      <c r="AJ144" s="4594">
        <v>307101</v>
      </c>
      <c r="AK144" s="4591">
        <f t="shared" si="4"/>
        <v>101343.33</v>
      </c>
      <c r="AL144" s="4594">
        <v>86875</v>
      </c>
      <c r="AM144" s="4591">
        <f t="shared" si="5"/>
        <v>28668.75</v>
      </c>
      <c r="AN144" s="4594">
        <v>2145</v>
      </c>
      <c r="AO144" s="4591">
        <f t="shared" si="6"/>
        <v>707.85</v>
      </c>
      <c r="AP144" s="4594">
        <v>12718</v>
      </c>
      <c r="AQ144" s="4591">
        <f t="shared" si="7"/>
        <v>4196.9400000000005</v>
      </c>
      <c r="AR144" s="4594">
        <v>26</v>
      </c>
      <c r="AS144" s="4591">
        <f t="shared" si="8"/>
        <v>8.58</v>
      </c>
      <c r="AT144" s="4594">
        <v>37</v>
      </c>
      <c r="AU144" s="4591">
        <f t="shared" si="9"/>
        <v>12.21</v>
      </c>
      <c r="AV144" s="4594" t="s">
        <v>767</v>
      </c>
      <c r="AW144" s="4591" t="s">
        <v>767</v>
      </c>
      <c r="AX144" s="4594" t="s">
        <v>767</v>
      </c>
      <c r="AY144" s="4591" t="s">
        <v>767</v>
      </c>
      <c r="AZ144" s="4594">
        <v>53164</v>
      </c>
      <c r="BA144" s="4591">
        <f t="shared" si="10"/>
        <v>17544.120000000003</v>
      </c>
      <c r="BB144" s="4594">
        <v>16982</v>
      </c>
      <c r="BC144" s="4591">
        <f t="shared" si="11"/>
        <v>5604.06</v>
      </c>
      <c r="BD144" s="4594">
        <v>60013</v>
      </c>
      <c r="BE144" s="4591">
        <f t="shared" si="12"/>
        <v>19804.29</v>
      </c>
      <c r="BF144" s="4594">
        <v>575010</v>
      </c>
      <c r="BG144" s="4591">
        <f t="shared" si="13"/>
        <v>189753.30000000002</v>
      </c>
      <c r="BH144" s="4543"/>
      <c r="BI144" s="4543"/>
      <c r="BJ144" s="4543"/>
      <c r="BK144" s="4543"/>
      <c r="BL144" s="4543"/>
      <c r="BM144" s="4543"/>
      <c r="BN144" s="4587"/>
      <c r="BO144" s="4587"/>
      <c r="BP144" s="4587"/>
      <c r="BQ144" s="4587"/>
      <c r="BR144" s="4617"/>
    </row>
    <row r="145" spans="1:70" ht="42.75" customHeight="1" x14ac:dyDescent="0.2">
      <c r="A145" s="1014"/>
      <c r="B145" s="1015"/>
      <c r="C145" s="1016"/>
      <c r="D145" s="1015"/>
      <c r="E145" s="1015"/>
      <c r="F145" s="1016"/>
      <c r="G145" s="1017"/>
      <c r="H145" s="1015"/>
      <c r="I145" s="1016"/>
      <c r="J145" s="4518"/>
      <c r="K145" s="4601"/>
      <c r="L145" s="4518"/>
      <c r="M145" s="4518"/>
      <c r="N145" s="4626"/>
      <c r="O145" s="4518"/>
      <c r="P145" s="4582"/>
      <c r="Q145" s="4584"/>
      <c r="R145" s="4596"/>
      <c r="S145" s="4599"/>
      <c r="T145" s="4601"/>
      <c r="U145" s="4601"/>
      <c r="V145" s="4604" t="s">
        <v>935</v>
      </c>
      <c r="W145" s="2595">
        <v>20000000</v>
      </c>
      <c r="X145" s="1809">
        <v>6411500</v>
      </c>
      <c r="Y145" s="1809">
        <f>5161500-114</f>
        <v>5161386</v>
      </c>
      <c r="Z145" s="1009">
        <v>20</v>
      </c>
      <c r="AA145" s="1027" t="s">
        <v>86</v>
      </c>
      <c r="AB145" s="4594"/>
      <c r="AC145" s="4591"/>
      <c r="AD145" s="4594">
        <v>282326</v>
      </c>
      <c r="AE145" s="4591">
        <f t="shared" si="1"/>
        <v>93167.58</v>
      </c>
      <c r="AF145" s="4594">
        <v>135912</v>
      </c>
      <c r="AG145" s="4591">
        <f t="shared" si="2"/>
        <v>44850.96</v>
      </c>
      <c r="AH145" s="4594">
        <v>45122</v>
      </c>
      <c r="AI145" s="4591">
        <f t="shared" si="3"/>
        <v>14890.26</v>
      </c>
      <c r="AJ145" s="4594">
        <v>307101</v>
      </c>
      <c r="AK145" s="4591">
        <f t="shared" si="4"/>
        <v>101343.33</v>
      </c>
      <c r="AL145" s="4594">
        <v>86875</v>
      </c>
      <c r="AM145" s="4591">
        <f t="shared" si="5"/>
        <v>28668.75</v>
      </c>
      <c r="AN145" s="4594">
        <v>2145</v>
      </c>
      <c r="AO145" s="4591">
        <f t="shared" si="6"/>
        <v>707.85</v>
      </c>
      <c r="AP145" s="4594">
        <v>12718</v>
      </c>
      <c r="AQ145" s="4591">
        <f t="shared" si="7"/>
        <v>4196.9400000000005</v>
      </c>
      <c r="AR145" s="4594">
        <v>26</v>
      </c>
      <c r="AS145" s="4591">
        <f t="shared" si="8"/>
        <v>8.58</v>
      </c>
      <c r="AT145" s="4594">
        <v>37</v>
      </c>
      <c r="AU145" s="4591">
        <f t="shared" si="9"/>
        <v>12.21</v>
      </c>
      <c r="AV145" s="4594" t="s">
        <v>767</v>
      </c>
      <c r="AW145" s="4591" t="s">
        <v>767</v>
      </c>
      <c r="AX145" s="4594" t="s">
        <v>767</v>
      </c>
      <c r="AY145" s="4591" t="s">
        <v>767</v>
      </c>
      <c r="AZ145" s="4594">
        <v>53164</v>
      </c>
      <c r="BA145" s="4591">
        <f t="shared" si="10"/>
        <v>17544.120000000003</v>
      </c>
      <c r="BB145" s="4594">
        <v>16982</v>
      </c>
      <c r="BC145" s="4591">
        <f t="shared" si="11"/>
        <v>5604.06</v>
      </c>
      <c r="BD145" s="4594">
        <v>60013</v>
      </c>
      <c r="BE145" s="4591">
        <f t="shared" si="12"/>
        <v>19804.29</v>
      </c>
      <c r="BF145" s="4594">
        <v>575010</v>
      </c>
      <c r="BG145" s="4591">
        <f t="shared" si="13"/>
        <v>189753.30000000002</v>
      </c>
      <c r="BH145" s="4543"/>
      <c r="BI145" s="4543"/>
      <c r="BJ145" s="4543"/>
      <c r="BK145" s="4543"/>
      <c r="BL145" s="4543"/>
      <c r="BM145" s="4543"/>
      <c r="BN145" s="4587"/>
      <c r="BO145" s="4587"/>
      <c r="BP145" s="4587"/>
      <c r="BQ145" s="4587"/>
      <c r="BR145" s="4617"/>
    </row>
    <row r="146" spans="1:70" ht="48" customHeight="1" x14ac:dyDescent="0.2">
      <c r="A146" s="1014"/>
      <c r="B146" s="1015"/>
      <c r="C146" s="1016"/>
      <c r="D146" s="1015"/>
      <c r="E146" s="1015"/>
      <c r="F146" s="1016"/>
      <c r="G146" s="1017"/>
      <c r="H146" s="1015"/>
      <c r="I146" s="1016"/>
      <c r="J146" s="4519"/>
      <c r="K146" s="4603"/>
      <c r="L146" s="4519"/>
      <c r="M146" s="4519"/>
      <c r="N146" s="4626"/>
      <c r="O146" s="4518"/>
      <c r="P146" s="4582"/>
      <c r="Q146" s="4584"/>
      <c r="R146" s="4597"/>
      <c r="S146" s="4599"/>
      <c r="T146" s="4601"/>
      <c r="U146" s="4603"/>
      <c r="V146" s="4627"/>
      <c r="W146" s="2596">
        <f>0+4271940</f>
        <v>4271940</v>
      </c>
      <c r="X146" s="1809">
        <v>4271940</v>
      </c>
      <c r="Y146" s="1809">
        <v>4271940</v>
      </c>
      <c r="Z146" s="1020">
        <v>107</v>
      </c>
      <c r="AA146" s="1021" t="s">
        <v>929</v>
      </c>
      <c r="AB146" s="4594"/>
      <c r="AC146" s="4591"/>
      <c r="AD146" s="4594">
        <v>282326</v>
      </c>
      <c r="AE146" s="4591">
        <f t="shared" si="1"/>
        <v>93167.58</v>
      </c>
      <c r="AF146" s="4594">
        <v>135912</v>
      </c>
      <c r="AG146" s="4591">
        <f t="shared" si="2"/>
        <v>44850.96</v>
      </c>
      <c r="AH146" s="4594">
        <v>45122</v>
      </c>
      <c r="AI146" s="4591">
        <f t="shared" si="3"/>
        <v>14890.26</v>
      </c>
      <c r="AJ146" s="4594">
        <v>307101</v>
      </c>
      <c r="AK146" s="4591">
        <f t="shared" si="4"/>
        <v>101343.33</v>
      </c>
      <c r="AL146" s="4594">
        <v>86875</v>
      </c>
      <c r="AM146" s="4591">
        <f t="shared" si="5"/>
        <v>28668.75</v>
      </c>
      <c r="AN146" s="4594">
        <v>2145</v>
      </c>
      <c r="AO146" s="4591">
        <f t="shared" si="6"/>
        <v>707.85</v>
      </c>
      <c r="AP146" s="4594">
        <v>12718</v>
      </c>
      <c r="AQ146" s="4591">
        <f t="shared" si="7"/>
        <v>4196.9400000000005</v>
      </c>
      <c r="AR146" s="4594">
        <v>26</v>
      </c>
      <c r="AS146" s="4591">
        <f t="shared" si="8"/>
        <v>8.58</v>
      </c>
      <c r="AT146" s="4594">
        <v>37</v>
      </c>
      <c r="AU146" s="4591">
        <f t="shared" si="9"/>
        <v>12.21</v>
      </c>
      <c r="AV146" s="4594" t="s">
        <v>767</v>
      </c>
      <c r="AW146" s="4591" t="s">
        <v>767</v>
      </c>
      <c r="AX146" s="4594" t="s">
        <v>767</v>
      </c>
      <c r="AY146" s="4591" t="s">
        <v>767</v>
      </c>
      <c r="AZ146" s="4594">
        <v>53164</v>
      </c>
      <c r="BA146" s="4591">
        <f t="shared" si="10"/>
        <v>17544.120000000003</v>
      </c>
      <c r="BB146" s="4594">
        <v>16982</v>
      </c>
      <c r="BC146" s="4591">
        <f t="shared" si="11"/>
        <v>5604.06</v>
      </c>
      <c r="BD146" s="4594">
        <v>60013</v>
      </c>
      <c r="BE146" s="4591">
        <f t="shared" si="12"/>
        <v>19804.29</v>
      </c>
      <c r="BF146" s="4594">
        <v>575010</v>
      </c>
      <c r="BG146" s="4591">
        <f t="shared" si="13"/>
        <v>189753.30000000002</v>
      </c>
      <c r="BH146" s="4543"/>
      <c r="BI146" s="4543"/>
      <c r="BJ146" s="4543"/>
      <c r="BK146" s="4543"/>
      <c r="BL146" s="4543"/>
      <c r="BM146" s="4543"/>
      <c r="BN146" s="4587"/>
      <c r="BO146" s="4587"/>
      <c r="BP146" s="4587"/>
      <c r="BQ146" s="4587"/>
      <c r="BR146" s="4617"/>
    </row>
    <row r="147" spans="1:70" ht="34.5" customHeight="1" x14ac:dyDescent="0.2">
      <c r="A147" s="1014"/>
      <c r="B147" s="1015"/>
      <c r="C147" s="1016"/>
      <c r="D147" s="1015"/>
      <c r="E147" s="1015"/>
      <c r="F147" s="1016"/>
      <c r="G147" s="1017"/>
      <c r="H147" s="1015"/>
      <c r="I147" s="1016"/>
      <c r="J147" s="4517">
        <v>145</v>
      </c>
      <c r="K147" s="4628" t="s">
        <v>936</v>
      </c>
      <c r="L147" s="4517" t="s">
        <v>759</v>
      </c>
      <c r="M147" s="4517">
        <v>1</v>
      </c>
      <c r="N147" s="4626">
        <v>0.6</v>
      </c>
      <c r="O147" s="4518"/>
      <c r="P147" s="4582"/>
      <c r="Q147" s="4585"/>
      <c r="R147" s="4596">
        <f>SUM(W147:W154)/S131</f>
        <v>0.20765989908293286</v>
      </c>
      <c r="S147" s="4599"/>
      <c r="T147" s="4601"/>
      <c r="U147" s="4548" t="s">
        <v>937</v>
      </c>
      <c r="V147" s="4624" t="s">
        <v>938</v>
      </c>
      <c r="W147" s="2611">
        <v>33000000</v>
      </c>
      <c r="X147" s="1809">
        <v>19937000</v>
      </c>
      <c r="Y147" s="1809">
        <v>11634250</v>
      </c>
      <c r="Z147" s="1024">
        <v>61</v>
      </c>
      <c r="AA147" s="1025" t="s">
        <v>883</v>
      </c>
      <c r="AB147" s="4594"/>
      <c r="AC147" s="4591"/>
      <c r="AD147" s="4594">
        <v>282326</v>
      </c>
      <c r="AE147" s="4591">
        <f t="shared" si="1"/>
        <v>93167.58</v>
      </c>
      <c r="AF147" s="4594">
        <v>135912</v>
      </c>
      <c r="AG147" s="4591">
        <f t="shared" si="2"/>
        <v>44850.96</v>
      </c>
      <c r="AH147" s="4594">
        <v>45122</v>
      </c>
      <c r="AI147" s="4591">
        <f t="shared" si="3"/>
        <v>14890.26</v>
      </c>
      <c r="AJ147" s="4594">
        <v>307101</v>
      </c>
      <c r="AK147" s="4591">
        <f t="shared" si="4"/>
        <v>101343.33</v>
      </c>
      <c r="AL147" s="4594">
        <v>86875</v>
      </c>
      <c r="AM147" s="4591">
        <f t="shared" si="5"/>
        <v>28668.75</v>
      </c>
      <c r="AN147" s="4594">
        <v>2145</v>
      </c>
      <c r="AO147" s="4591">
        <f t="shared" si="6"/>
        <v>707.85</v>
      </c>
      <c r="AP147" s="4594">
        <v>12718</v>
      </c>
      <c r="AQ147" s="4591">
        <f t="shared" si="7"/>
        <v>4196.9400000000005</v>
      </c>
      <c r="AR147" s="4594">
        <v>26</v>
      </c>
      <c r="AS147" s="4591">
        <f t="shared" si="8"/>
        <v>8.58</v>
      </c>
      <c r="AT147" s="4594">
        <v>37</v>
      </c>
      <c r="AU147" s="4591">
        <f t="shared" si="9"/>
        <v>12.21</v>
      </c>
      <c r="AV147" s="4594" t="s">
        <v>767</v>
      </c>
      <c r="AW147" s="4591" t="s">
        <v>767</v>
      </c>
      <c r="AX147" s="4594" t="s">
        <v>767</v>
      </c>
      <c r="AY147" s="4591" t="s">
        <v>767</v>
      </c>
      <c r="AZ147" s="4594">
        <v>53164</v>
      </c>
      <c r="BA147" s="4591">
        <f t="shared" si="10"/>
        <v>17544.120000000003</v>
      </c>
      <c r="BB147" s="4594">
        <v>16982</v>
      </c>
      <c r="BC147" s="4591">
        <f t="shared" si="11"/>
        <v>5604.06</v>
      </c>
      <c r="BD147" s="4594">
        <v>60013</v>
      </c>
      <c r="BE147" s="4591">
        <f t="shared" si="12"/>
        <v>19804.29</v>
      </c>
      <c r="BF147" s="4594">
        <v>575010</v>
      </c>
      <c r="BG147" s="4591">
        <f t="shared" si="13"/>
        <v>189753.30000000002</v>
      </c>
      <c r="BH147" s="4543"/>
      <c r="BI147" s="4543"/>
      <c r="BJ147" s="4543"/>
      <c r="BK147" s="4543"/>
      <c r="BL147" s="4543"/>
      <c r="BM147" s="4543"/>
      <c r="BN147" s="4587"/>
      <c r="BO147" s="4587"/>
      <c r="BP147" s="4587"/>
      <c r="BQ147" s="4587"/>
      <c r="BR147" s="4617"/>
    </row>
    <row r="148" spans="1:70" ht="31.5" customHeight="1" x14ac:dyDescent="0.2">
      <c r="A148" s="1014"/>
      <c r="B148" s="1015"/>
      <c r="C148" s="1016"/>
      <c r="D148" s="1015"/>
      <c r="E148" s="1015"/>
      <c r="F148" s="1016"/>
      <c r="G148" s="1017"/>
      <c r="H148" s="1015"/>
      <c r="I148" s="1016"/>
      <c r="J148" s="4518"/>
      <c r="K148" s="4629"/>
      <c r="L148" s="4518"/>
      <c r="M148" s="4518"/>
      <c r="N148" s="4626"/>
      <c r="O148" s="4518"/>
      <c r="P148" s="4582"/>
      <c r="Q148" s="4585"/>
      <c r="R148" s="4596"/>
      <c r="S148" s="4599"/>
      <c r="T148" s="4601"/>
      <c r="U148" s="4549"/>
      <c r="V148" s="4625"/>
      <c r="W148" s="2611">
        <f>0+4271940</f>
        <v>4271940</v>
      </c>
      <c r="X148" s="1809">
        <v>4271940</v>
      </c>
      <c r="Y148" s="1809">
        <v>4271940</v>
      </c>
      <c r="Z148" s="1024">
        <v>107</v>
      </c>
      <c r="AA148" s="1025" t="s">
        <v>929</v>
      </c>
      <c r="AB148" s="4594"/>
      <c r="AC148" s="4591"/>
      <c r="AD148" s="4594">
        <v>282326</v>
      </c>
      <c r="AE148" s="4591">
        <f t="shared" si="1"/>
        <v>93167.58</v>
      </c>
      <c r="AF148" s="4594">
        <v>135912</v>
      </c>
      <c r="AG148" s="4591">
        <f t="shared" si="2"/>
        <v>44850.96</v>
      </c>
      <c r="AH148" s="4594">
        <v>45122</v>
      </c>
      <c r="AI148" s="4591">
        <f t="shared" si="3"/>
        <v>14890.26</v>
      </c>
      <c r="AJ148" s="4594">
        <v>307101</v>
      </c>
      <c r="AK148" s="4591">
        <f t="shared" si="4"/>
        <v>101343.33</v>
      </c>
      <c r="AL148" s="4594">
        <v>86875</v>
      </c>
      <c r="AM148" s="4591">
        <f t="shared" si="5"/>
        <v>28668.75</v>
      </c>
      <c r="AN148" s="4594">
        <v>2145</v>
      </c>
      <c r="AO148" s="4591">
        <f t="shared" si="6"/>
        <v>707.85</v>
      </c>
      <c r="AP148" s="4594">
        <v>12718</v>
      </c>
      <c r="AQ148" s="4591">
        <f t="shared" si="7"/>
        <v>4196.9400000000005</v>
      </c>
      <c r="AR148" s="4594">
        <v>26</v>
      </c>
      <c r="AS148" s="4591">
        <f t="shared" si="8"/>
        <v>8.58</v>
      </c>
      <c r="AT148" s="4594">
        <v>37</v>
      </c>
      <c r="AU148" s="4591">
        <f t="shared" si="9"/>
        <v>12.21</v>
      </c>
      <c r="AV148" s="4594" t="s">
        <v>767</v>
      </c>
      <c r="AW148" s="4591" t="s">
        <v>767</v>
      </c>
      <c r="AX148" s="4594" t="s">
        <v>767</v>
      </c>
      <c r="AY148" s="4591" t="s">
        <v>767</v>
      </c>
      <c r="AZ148" s="4594">
        <v>53164</v>
      </c>
      <c r="BA148" s="4591">
        <f t="shared" si="10"/>
        <v>17544.120000000003</v>
      </c>
      <c r="BB148" s="4594">
        <v>16982</v>
      </c>
      <c r="BC148" s="4591">
        <f t="shared" si="11"/>
        <v>5604.06</v>
      </c>
      <c r="BD148" s="4594">
        <v>60013</v>
      </c>
      <c r="BE148" s="4591">
        <f t="shared" si="12"/>
        <v>19804.29</v>
      </c>
      <c r="BF148" s="4594">
        <v>575010</v>
      </c>
      <c r="BG148" s="4591">
        <f t="shared" si="13"/>
        <v>189753.30000000002</v>
      </c>
      <c r="BH148" s="4543"/>
      <c r="BI148" s="4543"/>
      <c r="BJ148" s="4543"/>
      <c r="BK148" s="4543"/>
      <c r="BL148" s="4543"/>
      <c r="BM148" s="4543"/>
      <c r="BN148" s="4587"/>
      <c r="BO148" s="4587"/>
      <c r="BP148" s="4587"/>
      <c r="BQ148" s="4587"/>
      <c r="BR148" s="4617"/>
    </row>
    <row r="149" spans="1:70" ht="31.5" customHeight="1" x14ac:dyDescent="0.2">
      <c r="A149" s="1014"/>
      <c r="B149" s="1015"/>
      <c r="C149" s="1016"/>
      <c r="D149" s="1015"/>
      <c r="E149" s="1015"/>
      <c r="F149" s="1016"/>
      <c r="G149" s="1017"/>
      <c r="H149" s="1015"/>
      <c r="I149" s="1016"/>
      <c r="J149" s="4518"/>
      <c r="K149" s="4629"/>
      <c r="L149" s="4518"/>
      <c r="M149" s="4518"/>
      <c r="N149" s="4626"/>
      <c r="O149" s="4518"/>
      <c r="P149" s="4582"/>
      <c r="Q149" s="4585"/>
      <c r="R149" s="4596"/>
      <c r="S149" s="4599"/>
      <c r="T149" s="4601"/>
      <c r="U149" s="4549"/>
      <c r="V149" s="4551" t="s">
        <v>939</v>
      </c>
      <c r="W149" s="2598">
        <v>33000000</v>
      </c>
      <c r="X149" s="1809">
        <v>19937000</v>
      </c>
      <c r="Y149" s="1809">
        <v>11634250</v>
      </c>
      <c r="Z149" s="1028">
        <v>61</v>
      </c>
      <c r="AA149" s="1029" t="s">
        <v>883</v>
      </c>
      <c r="AB149" s="4594"/>
      <c r="AC149" s="4591"/>
      <c r="AD149" s="4594">
        <v>282326</v>
      </c>
      <c r="AE149" s="4591">
        <f t="shared" si="1"/>
        <v>93167.58</v>
      </c>
      <c r="AF149" s="4594">
        <v>135912</v>
      </c>
      <c r="AG149" s="4591">
        <f t="shared" si="2"/>
        <v>44850.96</v>
      </c>
      <c r="AH149" s="4594">
        <v>45122</v>
      </c>
      <c r="AI149" s="4591">
        <f t="shared" si="3"/>
        <v>14890.26</v>
      </c>
      <c r="AJ149" s="4594">
        <v>307101</v>
      </c>
      <c r="AK149" s="4591">
        <f t="shared" si="4"/>
        <v>101343.33</v>
      </c>
      <c r="AL149" s="4594">
        <v>86875</v>
      </c>
      <c r="AM149" s="4591">
        <f t="shared" si="5"/>
        <v>28668.75</v>
      </c>
      <c r="AN149" s="4594">
        <v>2145</v>
      </c>
      <c r="AO149" s="4591">
        <f t="shared" si="6"/>
        <v>707.85</v>
      </c>
      <c r="AP149" s="4594">
        <v>12718</v>
      </c>
      <c r="AQ149" s="4591">
        <f t="shared" si="7"/>
        <v>4196.9400000000005</v>
      </c>
      <c r="AR149" s="4594">
        <v>26</v>
      </c>
      <c r="AS149" s="4591">
        <f t="shared" si="8"/>
        <v>8.58</v>
      </c>
      <c r="AT149" s="4594">
        <v>37</v>
      </c>
      <c r="AU149" s="4591">
        <f t="shared" si="9"/>
        <v>12.21</v>
      </c>
      <c r="AV149" s="4594" t="s">
        <v>767</v>
      </c>
      <c r="AW149" s="4591" t="s">
        <v>767</v>
      </c>
      <c r="AX149" s="4594" t="s">
        <v>767</v>
      </c>
      <c r="AY149" s="4591" t="s">
        <v>767</v>
      </c>
      <c r="AZ149" s="4594">
        <v>53164</v>
      </c>
      <c r="BA149" s="4591">
        <f t="shared" si="10"/>
        <v>17544.120000000003</v>
      </c>
      <c r="BB149" s="4594">
        <v>16982</v>
      </c>
      <c r="BC149" s="4591">
        <f t="shared" si="11"/>
        <v>5604.06</v>
      </c>
      <c r="BD149" s="4594">
        <v>60013</v>
      </c>
      <c r="BE149" s="4591">
        <f t="shared" si="12"/>
        <v>19804.29</v>
      </c>
      <c r="BF149" s="4594">
        <v>575010</v>
      </c>
      <c r="BG149" s="4591">
        <f t="shared" si="13"/>
        <v>189753.30000000002</v>
      </c>
      <c r="BH149" s="4543"/>
      <c r="BI149" s="4543"/>
      <c r="BJ149" s="4543"/>
      <c r="BK149" s="4543"/>
      <c r="BL149" s="4543"/>
      <c r="BM149" s="4543"/>
      <c r="BN149" s="4587"/>
      <c r="BO149" s="4587"/>
      <c r="BP149" s="4587"/>
      <c r="BQ149" s="4587"/>
      <c r="BR149" s="4617"/>
    </row>
    <row r="150" spans="1:70" ht="34.5" customHeight="1" x14ac:dyDescent="0.2">
      <c r="A150" s="1014"/>
      <c r="B150" s="1015"/>
      <c r="C150" s="1016"/>
      <c r="D150" s="1015"/>
      <c r="E150" s="1015"/>
      <c r="F150" s="1016"/>
      <c r="G150" s="1017"/>
      <c r="H150" s="1015"/>
      <c r="I150" s="1016"/>
      <c r="J150" s="4518"/>
      <c r="K150" s="4629"/>
      <c r="L150" s="4518"/>
      <c r="M150" s="4518"/>
      <c r="N150" s="4626"/>
      <c r="O150" s="4518"/>
      <c r="P150" s="4582"/>
      <c r="Q150" s="4585"/>
      <c r="R150" s="4596"/>
      <c r="S150" s="4599"/>
      <c r="T150" s="4601"/>
      <c r="U150" s="4549"/>
      <c r="V150" s="4625"/>
      <c r="W150" s="2595">
        <f>0+4271940</f>
        <v>4271940</v>
      </c>
      <c r="X150" s="1809">
        <v>4271940</v>
      </c>
      <c r="Y150" s="1809">
        <v>4271940</v>
      </c>
      <c r="Z150" s="1009">
        <v>107</v>
      </c>
      <c r="AA150" s="1027" t="s">
        <v>929</v>
      </c>
      <c r="AB150" s="4594"/>
      <c r="AC150" s="4591"/>
      <c r="AD150" s="4594">
        <v>282326</v>
      </c>
      <c r="AE150" s="4591">
        <f t="shared" si="1"/>
        <v>93167.58</v>
      </c>
      <c r="AF150" s="4594">
        <v>135912</v>
      </c>
      <c r="AG150" s="4591">
        <f t="shared" si="2"/>
        <v>44850.96</v>
      </c>
      <c r="AH150" s="4594">
        <v>45122</v>
      </c>
      <c r="AI150" s="4591">
        <f t="shared" si="3"/>
        <v>14890.26</v>
      </c>
      <c r="AJ150" s="4594">
        <v>307101</v>
      </c>
      <c r="AK150" s="4591">
        <f t="shared" si="4"/>
        <v>101343.33</v>
      </c>
      <c r="AL150" s="4594">
        <v>86875</v>
      </c>
      <c r="AM150" s="4591">
        <f t="shared" si="5"/>
        <v>28668.75</v>
      </c>
      <c r="AN150" s="4594">
        <v>2145</v>
      </c>
      <c r="AO150" s="4591">
        <f t="shared" si="6"/>
        <v>707.85</v>
      </c>
      <c r="AP150" s="4594">
        <v>12718</v>
      </c>
      <c r="AQ150" s="4591">
        <f t="shared" si="7"/>
        <v>4196.9400000000005</v>
      </c>
      <c r="AR150" s="4594">
        <v>26</v>
      </c>
      <c r="AS150" s="4591">
        <f t="shared" si="8"/>
        <v>8.58</v>
      </c>
      <c r="AT150" s="4594">
        <v>37</v>
      </c>
      <c r="AU150" s="4591">
        <f t="shared" si="9"/>
        <v>12.21</v>
      </c>
      <c r="AV150" s="4594" t="s">
        <v>767</v>
      </c>
      <c r="AW150" s="4591" t="s">
        <v>767</v>
      </c>
      <c r="AX150" s="4594" t="s">
        <v>767</v>
      </c>
      <c r="AY150" s="4591" t="s">
        <v>767</v>
      </c>
      <c r="AZ150" s="4594">
        <v>53164</v>
      </c>
      <c r="BA150" s="4591">
        <f t="shared" si="10"/>
        <v>17544.120000000003</v>
      </c>
      <c r="BB150" s="4594">
        <v>16982</v>
      </c>
      <c r="BC150" s="4591">
        <f t="shared" si="11"/>
        <v>5604.06</v>
      </c>
      <c r="BD150" s="4594">
        <v>60013</v>
      </c>
      <c r="BE150" s="4591">
        <f t="shared" si="12"/>
        <v>19804.29</v>
      </c>
      <c r="BF150" s="4594">
        <v>575010</v>
      </c>
      <c r="BG150" s="4591">
        <f t="shared" si="13"/>
        <v>189753.30000000002</v>
      </c>
      <c r="BH150" s="4543"/>
      <c r="BI150" s="4543"/>
      <c r="BJ150" s="4543"/>
      <c r="BK150" s="4543"/>
      <c r="BL150" s="4543"/>
      <c r="BM150" s="4543"/>
      <c r="BN150" s="4587"/>
      <c r="BO150" s="4587"/>
      <c r="BP150" s="4587"/>
      <c r="BQ150" s="4587"/>
      <c r="BR150" s="4617"/>
    </row>
    <row r="151" spans="1:70" ht="31.5" customHeight="1" x14ac:dyDescent="0.2">
      <c r="A151" s="1014"/>
      <c r="B151" s="1015"/>
      <c r="C151" s="1016"/>
      <c r="D151" s="1015"/>
      <c r="E151" s="1015"/>
      <c r="F151" s="1016"/>
      <c r="G151" s="1017"/>
      <c r="H151" s="1015"/>
      <c r="I151" s="1016"/>
      <c r="J151" s="4518"/>
      <c r="K151" s="4629"/>
      <c r="L151" s="4518"/>
      <c r="M151" s="4518"/>
      <c r="N151" s="4626"/>
      <c r="O151" s="4518"/>
      <c r="P151" s="4582"/>
      <c r="Q151" s="4585"/>
      <c r="R151" s="4596"/>
      <c r="S151" s="4599"/>
      <c r="T151" s="4601"/>
      <c r="U151" s="4549"/>
      <c r="V151" s="4551" t="s">
        <v>940</v>
      </c>
      <c r="W151" s="2608">
        <v>600000</v>
      </c>
      <c r="X151" s="1809">
        <v>600000</v>
      </c>
      <c r="Y151" s="1809">
        <v>11634250</v>
      </c>
      <c r="Z151" s="1009">
        <v>61</v>
      </c>
      <c r="AA151" s="1027" t="s">
        <v>883</v>
      </c>
      <c r="AB151" s="4594"/>
      <c r="AC151" s="4591"/>
      <c r="AD151" s="4594">
        <v>282326</v>
      </c>
      <c r="AE151" s="4591">
        <f t="shared" si="1"/>
        <v>93167.58</v>
      </c>
      <c r="AF151" s="4594">
        <v>135912</v>
      </c>
      <c r="AG151" s="4591">
        <f t="shared" si="2"/>
        <v>44850.96</v>
      </c>
      <c r="AH151" s="4594">
        <v>45122</v>
      </c>
      <c r="AI151" s="4591">
        <f t="shared" si="3"/>
        <v>14890.26</v>
      </c>
      <c r="AJ151" s="4594">
        <v>307101</v>
      </c>
      <c r="AK151" s="4591">
        <f t="shared" si="4"/>
        <v>101343.33</v>
      </c>
      <c r="AL151" s="4594">
        <v>86875</v>
      </c>
      <c r="AM151" s="4591">
        <f t="shared" si="5"/>
        <v>28668.75</v>
      </c>
      <c r="AN151" s="4594">
        <v>2145</v>
      </c>
      <c r="AO151" s="4591">
        <f t="shared" si="6"/>
        <v>707.85</v>
      </c>
      <c r="AP151" s="4594">
        <v>12718</v>
      </c>
      <c r="AQ151" s="4591">
        <f t="shared" si="7"/>
        <v>4196.9400000000005</v>
      </c>
      <c r="AR151" s="4594">
        <v>26</v>
      </c>
      <c r="AS151" s="4591">
        <f t="shared" si="8"/>
        <v>8.58</v>
      </c>
      <c r="AT151" s="4594">
        <v>37</v>
      </c>
      <c r="AU151" s="4591">
        <f t="shared" si="9"/>
        <v>12.21</v>
      </c>
      <c r="AV151" s="4594" t="s">
        <v>767</v>
      </c>
      <c r="AW151" s="4591" t="s">
        <v>767</v>
      </c>
      <c r="AX151" s="4594" t="s">
        <v>767</v>
      </c>
      <c r="AY151" s="4591" t="s">
        <v>767</v>
      </c>
      <c r="AZ151" s="4594">
        <v>53164</v>
      </c>
      <c r="BA151" s="4591">
        <f t="shared" si="10"/>
        <v>17544.120000000003</v>
      </c>
      <c r="BB151" s="4594">
        <v>16982</v>
      </c>
      <c r="BC151" s="4591">
        <f t="shared" si="11"/>
        <v>5604.06</v>
      </c>
      <c r="BD151" s="4594">
        <v>60013</v>
      </c>
      <c r="BE151" s="4591">
        <f t="shared" si="12"/>
        <v>19804.29</v>
      </c>
      <c r="BF151" s="4594">
        <v>575010</v>
      </c>
      <c r="BG151" s="4591">
        <f t="shared" si="13"/>
        <v>189753.30000000002</v>
      </c>
      <c r="BH151" s="4543"/>
      <c r="BI151" s="4543"/>
      <c r="BJ151" s="4543"/>
      <c r="BK151" s="4543"/>
      <c r="BL151" s="4543"/>
      <c r="BM151" s="4543"/>
      <c r="BN151" s="4587"/>
      <c r="BO151" s="4587"/>
      <c r="BP151" s="4587"/>
      <c r="BQ151" s="4587"/>
      <c r="BR151" s="4617"/>
    </row>
    <row r="152" spans="1:70" ht="27.75" customHeight="1" x14ac:dyDescent="0.2">
      <c r="A152" s="1014"/>
      <c r="B152" s="1015"/>
      <c r="C152" s="1016"/>
      <c r="D152" s="1015"/>
      <c r="E152" s="1015"/>
      <c r="F152" s="1016"/>
      <c r="G152" s="1017"/>
      <c r="H152" s="1015"/>
      <c r="I152" s="1016"/>
      <c r="J152" s="4518"/>
      <c r="K152" s="4629"/>
      <c r="L152" s="4518"/>
      <c r="M152" s="4518"/>
      <c r="N152" s="4626"/>
      <c r="O152" s="4518"/>
      <c r="P152" s="4582"/>
      <c r="Q152" s="4585"/>
      <c r="R152" s="4596"/>
      <c r="S152" s="4599"/>
      <c r="T152" s="4601"/>
      <c r="U152" s="4549"/>
      <c r="V152" s="4552"/>
      <c r="W152" s="2595">
        <f>0+4271940</f>
        <v>4271940</v>
      </c>
      <c r="X152" s="1809">
        <v>4271940</v>
      </c>
      <c r="Y152" s="1809">
        <v>4271940</v>
      </c>
      <c r="Z152" s="1009">
        <v>107</v>
      </c>
      <c r="AA152" s="1027" t="s">
        <v>929</v>
      </c>
      <c r="AB152" s="4594"/>
      <c r="AC152" s="4591"/>
      <c r="AD152" s="4594">
        <v>282326</v>
      </c>
      <c r="AE152" s="4591">
        <f t="shared" si="1"/>
        <v>93167.58</v>
      </c>
      <c r="AF152" s="4594">
        <v>135912</v>
      </c>
      <c r="AG152" s="4591">
        <f t="shared" si="2"/>
        <v>44850.96</v>
      </c>
      <c r="AH152" s="4594">
        <v>45122</v>
      </c>
      <c r="AI152" s="4591">
        <f t="shared" si="3"/>
        <v>14890.26</v>
      </c>
      <c r="AJ152" s="4594">
        <v>307101</v>
      </c>
      <c r="AK152" s="4591">
        <f t="shared" si="4"/>
        <v>101343.33</v>
      </c>
      <c r="AL152" s="4594">
        <v>86875</v>
      </c>
      <c r="AM152" s="4591">
        <f t="shared" si="5"/>
        <v>28668.75</v>
      </c>
      <c r="AN152" s="4594">
        <v>2145</v>
      </c>
      <c r="AO152" s="4591">
        <f t="shared" si="6"/>
        <v>707.85</v>
      </c>
      <c r="AP152" s="4594">
        <v>12718</v>
      </c>
      <c r="AQ152" s="4591">
        <f t="shared" si="7"/>
        <v>4196.9400000000005</v>
      </c>
      <c r="AR152" s="4594">
        <v>26</v>
      </c>
      <c r="AS152" s="4591">
        <f t="shared" si="8"/>
        <v>8.58</v>
      </c>
      <c r="AT152" s="4594">
        <v>37</v>
      </c>
      <c r="AU152" s="4591">
        <f t="shared" si="9"/>
        <v>12.21</v>
      </c>
      <c r="AV152" s="4594" t="s">
        <v>767</v>
      </c>
      <c r="AW152" s="4591" t="s">
        <v>767</v>
      </c>
      <c r="AX152" s="4594" t="s">
        <v>767</v>
      </c>
      <c r="AY152" s="4591" t="s">
        <v>767</v>
      </c>
      <c r="AZ152" s="4594">
        <v>53164</v>
      </c>
      <c r="BA152" s="4591">
        <f t="shared" si="10"/>
        <v>17544.120000000003</v>
      </c>
      <c r="BB152" s="4594">
        <v>16982</v>
      </c>
      <c r="BC152" s="4591">
        <f t="shared" si="11"/>
        <v>5604.06</v>
      </c>
      <c r="BD152" s="4594">
        <v>60013</v>
      </c>
      <c r="BE152" s="4591">
        <f t="shared" si="12"/>
        <v>19804.29</v>
      </c>
      <c r="BF152" s="4594">
        <v>575010</v>
      </c>
      <c r="BG152" s="4591">
        <f t="shared" si="13"/>
        <v>189753.30000000002</v>
      </c>
      <c r="BH152" s="4543"/>
      <c r="BI152" s="4543"/>
      <c r="BJ152" s="4543"/>
      <c r="BK152" s="4543"/>
      <c r="BL152" s="4543"/>
      <c r="BM152" s="4543"/>
      <c r="BN152" s="4587"/>
      <c r="BO152" s="4587"/>
      <c r="BP152" s="4587"/>
      <c r="BQ152" s="4587"/>
      <c r="BR152" s="4617"/>
    </row>
    <row r="153" spans="1:70" ht="33.75" customHeight="1" x14ac:dyDescent="0.2">
      <c r="A153" s="1014"/>
      <c r="B153" s="1015"/>
      <c r="C153" s="1016"/>
      <c r="D153" s="1015"/>
      <c r="E153" s="1015"/>
      <c r="F153" s="1016"/>
      <c r="G153" s="1017"/>
      <c r="H153" s="1015"/>
      <c r="I153" s="1016"/>
      <c r="J153" s="4518"/>
      <c r="K153" s="4629"/>
      <c r="L153" s="4518"/>
      <c r="M153" s="4518"/>
      <c r="N153" s="4626"/>
      <c r="O153" s="4518"/>
      <c r="P153" s="4582"/>
      <c r="Q153" s="4585"/>
      <c r="R153" s="4596"/>
      <c r="S153" s="4599"/>
      <c r="T153" s="4601"/>
      <c r="U153" s="4549"/>
      <c r="V153" s="4520" t="s">
        <v>941</v>
      </c>
      <c r="W153" s="2608">
        <v>33000000</v>
      </c>
      <c r="X153" s="1809">
        <v>19936000</v>
      </c>
      <c r="Y153" s="1809">
        <v>11634250</v>
      </c>
      <c r="Z153" s="1009">
        <v>61</v>
      </c>
      <c r="AA153" s="1027" t="s">
        <v>883</v>
      </c>
      <c r="AB153" s="4594"/>
      <c r="AC153" s="4591"/>
      <c r="AD153" s="4594">
        <v>282326</v>
      </c>
      <c r="AE153" s="4591">
        <f t="shared" si="1"/>
        <v>93167.58</v>
      </c>
      <c r="AF153" s="4594">
        <v>135912</v>
      </c>
      <c r="AG153" s="4591">
        <f t="shared" si="2"/>
        <v>44850.96</v>
      </c>
      <c r="AH153" s="4594">
        <v>45122</v>
      </c>
      <c r="AI153" s="4591">
        <f t="shared" si="3"/>
        <v>14890.26</v>
      </c>
      <c r="AJ153" s="4594">
        <v>307101</v>
      </c>
      <c r="AK153" s="4591">
        <f t="shared" si="4"/>
        <v>101343.33</v>
      </c>
      <c r="AL153" s="4594">
        <v>86875</v>
      </c>
      <c r="AM153" s="4591">
        <f t="shared" si="5"/>
        <v>28668.75</v>
      </c>
      <c r="AN153" s="4594">
        <v>2145</v>
      </c>
      <c r="AO153" s="4591">
        <f t="shared" si="6"/>
        <v>707.85</v>
      </c>
      <c r="AP153" s="4594">
        <v>12718</v>
      </c>
      <c r="AQ153" s="4591">
        <f t="shared" si="7"/>
        <v>4196.9400000000005</v>
      </c>
      <c r="AR153" s="4594">
        <v>26</v>
      </c>
      <c r="AS153" s="4591">
        <f t="shared" si="8"/>
        <v>8.58</v>
      </c>
      <c r="AT153" s="4594">
        <v>37</v>
      </c>
      <c r="AU153" s="4591">
        <f t="shared" si="9"/>
        <v>12.21</v>
      </c>
      <c r="AV153" s="4594" t="s">
        <v>767</v>
      </c>
      <c r="AW153" s="4591" t="s">
        <v>767</v>
      </c>
      <c r="AX153" s="4594" t="s">
        <v>767</v>
      </c>
      <c r="AY153" s="4591" t="s">
        <v>767</v>
      </c>
      <c r="AZ153" s="4594">
        <v>53164</v>
      </c>
      <c r="BA153" s="4591">
        <f t="shared" si="10"/>
        <v>17544.120000000003</v>
      </c>
      <c r="BB153" s="4594">
        <v>16982</v>
      </c>
      <c r="BC153" s="4591">
        <f t="shared" si="11"/>
        <v>5604.06</v>
      </c>
      <c r="BD153" s="4594">
        <v>60013</v>
      </c>
      <c r="BE153" s="4591">
        <f t="shared" si="12"/>
        <v>19804.29</v>
      </c>
      <c r="BF153" s="4594">
        <v>575010</v>
      </c>
      <c r="BG153" s="4591">
        <f t="shared" si="13"/>
        <v>189753.30000000002</v>
      </c>
      <c r="BH153" s="4543"/>
      <c r="BI153" s="4543"/>
      <c r="BJ153" s="4543"/>
      <c r="BK153" s="4543"/>
      <c r="BL153" s="4543"/>
      <c r="BM153" s="4543"/>
      <c r="BN153" s="4587"/>
      <c r="BO153" s="4587"/>
      <c r="BP153" s="4587"/>
      <c r="BQ153" s="4587"/>
      <c r="BR153" s="4617"/>
    </row>
    <row r="154" spans="1:70" ht="35.25" customHeight="1" x14ac:dyDescent="0.2">
      <c r="A154" s="1014"/>
      <c r="B154" s="1015"/>
      <c r="C154" s="1016"/>
      <c r="D154" s="1015"/>
      <c r="E154" s="1015"/>
      <c r="F154" s="1016"/>
      <c r="G154" s="1017"/>
      <c r="H154" s="1015"/>
      <c r="I154" s="1016"/>
      <c r="J154" s="4519"/>
      <c r="K154" s="4630"/>
      <c r="L154" s="4519"/>
      <c r="M154" s="4519"/>
      <c r="N154" s="4626"/>
      <c r="O154" s="4519"/>
      <c r="P154" s="4583"/>
      <c r="Q154" s="4585"/>
      <c r="R154" s="4596"/>
      <c r="S154" s="4599"/>
      <c r="T154" s="4601"/>
      <c r="U154" s="4550"/>
      <c r="V154" s="4522"/>
      <c r="W154" s="2595">
        <f>0+4271940</f>
        <v>4271940</v>
      </c>
      <c r="X154" s="1809">
        <v>4271940</v>
      </c>
      <c r="Y154" s="1809">
        <v>4271940</v>
      </c>
      <c r="Z154" s="1030">
        <v>107</v>
      </c>
      <c r="AA154" s="1027" t="s">
        <v>929</v>
      </c>
      <c r="AB154" s="4595"/>
      <c r="AC154" s="4592"/>
      <c r="AD154" s="4595">
        <v>282326</v>
      </c>
      <c r="AE154" s="4592">
        <f t="shared" si="1"/>
        <v>93167.58</v>
      </c>
      <c r="AF154" s="4595">
        <v>135912</v>
      </c>
      <c r="AG154" s="4592">
        <f t="shared" si="2"/>
        <v>44850.96</v>
      </c>
      <c r="AH154" s="4595">
        <v>45122</v>
      </c>
      <c r="AI154" s="4592">
        <f t="shared" si="3"/>
        <v>14890.26</v>
      </c>
      <c r="AJ154" s="4595">
        <v>307101</v>
      </c>
      <c r="AK154" s="4592">
        <f t="shared" si="4"/>
        <v>101343.33</v>
      </c>
      <c r="AL154" s="4595">
        <v>86875</v>
      </c>
      <c r="AM154" s="4592">
        <f t="shared" si="5"/>
        <v>28668.75</v>
      </c>
      <c r="AN154" s="4595">
        <v>2145</v>
      </c>
      <c r="AO154" s="4592">
        <f t="shared" si="6"/>
        <v>707.85</v>
      </c>
      <c r="AP154" s="4595">
        <v>12718</v>
      </c>
      <c r="AQ154" s="4592">
        <f t="shared" si="7"/>
        <v>4196.9400000000005</v>
      </c>
      <c r="AR154" s="4595">
        <v>26</v>
      </c>
      <c r="AS154" s="4592">
        <f t="shared" si="8"/>
        <v>8.58</v>
      </c>
      <c r="AT154" s="4595">
        <v>37</v>
      </c>
      <c r="AU154" s="4592">
        <f t="shared" si="9"/>
        <v>12.21</v>
      </c>
      <c r="AV154" s="4595" t="s">
        <v>767</v>
      </c>
      <c r="AW154" s="4592" t="s">
        <v>767</v>
      </c>
      <c r="AX154" s="4595" t="s">
        <v>767</v>
      </c>
      <c r="AY154" s="4592" t="s">
        <v>767</v>
      </c>
      <c r="AZ154" s="4595">
        <v>53164</v>
      </c>
      <c r="BA154" s="4592">
        <f t="shared" si="10"/>
        <v>17544.120000000003</v>
      </c>
      <c r="BB154" s="4595">
        <v>16982</v>
      </c>
      <c r="BC154" s="4592">
        <f t="shared" si="11"/>
        <v>5604.06</v>
      </c>
      <c r="BD154" s="4595">
        <v>60013</v>
      </c>
      <c r="BE154" s="4592">
        <f t="shared" si="12"/>
        <v>19804.29</v>
      </c>
      <c r="BF154" s="4595">
        <v>575010</v>
      </c>
      <c r="BG154" s="4592">
        <f t="shared" si="13"/>
        <v>189753.30000000002</v>
      </c>
      <c r="BH154" s="4544"/>
      <c r="BI154" s="4544"/>
      <c r="BJ154" s="4544"/>
      <c r="BK154" s="4544"/>
      <c r="BL154" s="4544"/>
      <c r="BM154" s="4544"/>
      <c r="BN154" s="4588"/>
      <c r="BO154" s="4588"/>
      <c r="BP154" s="4588"/>
      <c r="BQ154" s="4588"/>
      <c r="BR154" s="4618"/>
    </row>
    <row r="155" spans="1:70" ht="33.75" customHeight="1" x14ac:dyDescent="0.2">
      <c r="A155" s="1014"/>
      <c r="B155" s="1015"/>
      <c r="C155" s="1016"/>
      <c r="D155" s="1015"/>
      <c r="E155" s="1015"/>
      <c r="F155" s="1016"/>
      <c r="G155" s="1017"/>
      <c r="H155" s="1015"/>
      <c r="I155" s="1016"/>
      <c r="J155" s="4517">
        <v>146</v>
      </c>
      <c r="K155" s="4600" t="s">
        <v>942</v>
      </c>
      <c r="L155" s="4517" t="s">
        <v>759</v>
      </c>
      <c r="M155" s="4517">
        <v>1</v>
      </c>
      <c r="N155" s="4626">
        <v>0.5</v>
      </c>
      <c r="O155" s="1021"/>
      <c r="P155" s="4619" t="s">
        <v>943</v>
      </c>
      <c r="Q155" s="4521" t="s">
        <v>944</v>
      </c>
      <c r="R155" s="4622">
        <v>1</v>
      </c>
      <c r="S155" s="4533">
        <f>SUM(W155:W178)</f>
        <v>224605362</v>
      </c>
      <c r="T155" s="4600" t="s">
        <v>945</v>
      </c>
      <c r="U155" s="4548" t="s">
        <v>946</v>
      </c>
      <c r="V155" s="4551" t="s">
        <v>947</v>
      </c>
      <c r="W155" s="2595">
        <v>10000000</v>
      </c>
      <c r="X155" s="1809">
        <f>8003500</f>
        <v>8003500</v>
      </c>
      <c r="Y155" s="1809">
        <v>4188300</v>
      </c>
      <c r="Z155" s="1031">
        <v>61</v>
      </c>
      <c r="AA155" s="1032"/>
      <c r="AB155" s="4517">
        <v>292684</v>
      </c>
      <c r="AC155" s="4590">
        <f>SUM(AB155*0.49)</f>
        <v>143415.16</v>
      </c>
      <c r="AD155" s="4517">
        <v>282326</v>
      </c>
      <c r="AE155" s="4590">
        <f t="shared" ref="AE155:AE178" si="14">SUM(AD155*0.49)</f>
        <v>138339.74</v>
      </c>
      <c r="AF155" s="4517">
        <v>135912</v>
      </c>
      <c r="AG155" s="4590">
        <f t="shared" ref="AG155:AG178" si="15">SUM(AF155*0.49)</f>
        <v>66596.88</v>
      </c>
      <c r="AH155" s="4517">
        <v>45122</v>
      </c>
      <c r="AI155" s="4590">
        <f t="shared" ref="AI155:AI178" si="16">SUM(AH155*0.49)</f>
        <v>22109.78</v>
      </c>
      <c r="AJ155" s="4517">
        <v>307101</v>
      </c>
      <c r="AK155" s="4590">
        <v>150479.49</v>
      </c>
      <c r="AL155" s="4517">
        <v>86875</v>
      </c>
      <c r="AM155" s="4590">
        <v>42568.75</v>
      </c>
      <c r="AN155" s="4517">
        <v>2145</v>
      </c>
      <c r="AO155" s="4590">
        <f t="shared" ref="AO155:AO178" si="17">SUM(AN155*0.49)</f>
        <v>1051.05</v>
      </c>
      <c r="AP155" s="4517">
        <v>12718</v>
      </c>
      <c r="AQ155" s="4590">
        <f t="shared" ref="AQ155:AQ178" si="18">SUM(AP155*0.49)</f>
        <v>6231.82</v>
      </c>
      <c r="AR155" s="4517">
        <v>26</v>
      </c>
      <c r="AS155" s="4590">
        <f t="shared" ref="AS155:AS178" si="19">SUM(AR155*0.49)</f>
        <v>12.74</v>
      </c>
      <c r="AT155" s="4517">
        <v>37</v>
      </c>
      <c r="AU155" s="4590">
        <f t="shared" ref="AU155:AU178" si="20">SUM(AT155*0.49)</f>
        <v>18.13</v>
      </c>
      <c r="AV155" s="4517" t="s">
        <v>767</v>
      </c>
      <c r="AW155" s="4590" t="s">
        <v>767</v>
      </c>
      <c r="AX155" s="4517" t="s">
        <v>767</v>
      </c>
      <c r="AY155" s="4590" t="s">
        <v>767</v>
      </c>
      <c r="AZ155" s="4517">
        <v>53164</v>
      </c>
      <c r="BA155" s="4590">
        <f t="shared" ref="BA155:BA178" si="21">SUM(AZ155*0.49)</f>
        <v>26050.36</v>
      </c>
      <c r="BB155" s="4517">
        <v>16982</v>
      </c>
      <c r="BC155" s="4590">
        <f t="shared" ref="BC155:BC178" si="22">SUM(BB155*0.49)</f>
        <v>8321.18</v>
      </c>
      <c r="BD155" s="4517">
        <v>60013</v>
      </c>
      <c r="BE155" s="4590">
        <f t="shared" ref="BE155:BE178" si="23">SUM(BD155*0.49)</f>
        <v>29406.37</v>
      </c>
      <c r="BF155" s="4517">
        <v>575010</v>
      </c>
      <c r="BG155" s="4590">
        <f t="shared" ref="BG155:BG178" si="24">SUM(BF155*0.49)</f>
        <v>281754.90000000002</v>
      </c>
      <c r="BH155" s="4542">
        <v>12</v>
      </c>
      <c r="BI155" s="4568">
        <f>SUM(X155:X178)</f>
        <v>106995000</v>
      </c>
      <c r="BJ155" s="4568">
        <f>SUM(Y155:Y178)</f>
        <v>59299000</v>
      </c>
      <c r="BK155" s="3184">
        <f>BJ155/BI155</f>
        <v>0.55422215991401469</v>
      </c>
      <c r="BL155" s="4542" t="s">
        <v>948</v>
      </c>
      <c r="BM155" s="4542" t="s">
        <v>769</v>
      </c>
      <c r="BN155" s="4636">
        <v>43467</v>
      </c>
      <c r="BO155" s="4632">
        <v>43830</v>
      </c>
      <c r="BP155" s="4636">
        <v>43830</v>
      </c>
      <c r="BQ155" s="4632">
        <v>43830</v>
      </c>
      <c r="BR155" s="4616" t="s">
        <v>770</v>
      </c>
    </row>
    <row r="156" spans="1:70" ht="28.5" customHeight="1" x14ac:dyDescent="0.2">
      <c r="A156" s="1014"/>
      <c r="B156" s="1015"/>
      <c r="C156" s="1016"/>
      <c r="D156" s="1015"/>
      <c r="E156" s="1015"/>
      <c r="F156" s="1016"/>
      <c r="G156" s="1017"/>
      <c r="H156" s="1015"/>
      <c r="I156" s="1016"/>
      <c r="J156" s="4518"/>
      <c r="K156" s="4601"/>
      <c r="L156" s="4518"/>
      <c r="M156" s="4518"/>
      <c r="N156" s="4626"/>
      <c r="O156" s="1029"/>
      <c r="P156" s="4620"/>
      <c r="Q156" s="4521"/>
      <c r="R156" s="4622"/>
      <c r="S156" s="4534"/>
      <c r="T156" s="4601"/>
      <c r="U156" s="4549"/>
      <c r="V156" s="4631"/>
      <c r="W156" s="2595">
        <v>40000000</v>
      </c>
      <c r="X156" s="1809">
        <v>8217000</v>
      </c>
      <c r="Y156" s="1809">
        <f>3467300+3012000</f>
        <v>6479300</v>
      </c>
      <c r="Z156" s="1031">
        <v>113</v>
      </c>
      <c r="AA156" s="1033"/>
      <c r="AB156" s="4518"/>
      <c r="AC156" s="4591"/>
      <c r="AD156" s="4518">
        <v>282326</v>
      </c>
      <c r="AE156" s="4591">
        <f t="shared" si="14"/>
        <v>138339.74</v>
      </c>
      <c r="AF156" s="4518">
        <v>135912</v>
      </c>
      <c r="AG156" s="4591">
        <f t="shared" si="15"/>
        <v>66596.88</v>
      </c>
      <c r="AH156" s="4518">
        <v>45122</v>
      </c>
      <c r="AI156" s="4591">
        <f t="shared" si="16"/>
        <v>22109.78</v>
      </c>
      <c r="AJ156" s="4518">
        <v>307101</v>
      </c>
      <c r="AK156" s="4591">
        <v>150479.49</v>
      </c>
      <c r="AL156" s="4518">
        <v>86875</v>
      </c>
      <c r="AM156" s="4591">
        <v>42568.75</v>
      </c>
      <c r="AN156" s="4518">
        <v>2145</v>
      </c>
      <c r="AO156" s="4591">
        <f t="shared" si="17"/>
        <v>1051.05</v>
      </c>
      <c r="AP156" s="4518">
        <v>12718</v>
      </c>
      <c r="AQ156" s="4591">
        <f t="shared" si="18"/>
        <v>6231.82</v>
      </c>
      <c r="AR156" s="4518">
        <v>26</v>
      </c>
      <c r="AS156" s="4591">
        <f t="shared" si="19"/>
        <v>12.74</v>
      </c>
      <c r="AT156" s="4518">
        <v>37</v>
      </c>
      <c r="AU156" s="4591">
        <f t="shared" si="20"/>
        <v>18.13</v>
      </c>
      <c r="AV156" s="4518" t="s">
        <v>767</v>
      </c>
      <c r="AW156" s="4591" t="s">
        <v>767</v>
      </c>
      <c r="AX156" s="4518" t="s">
        <v>767</v>
      </c>
      <c r="AY156" s="4591" t="s">
        <v>767</v>
      </c>
      <c r="AZ156" s="4518">
        <v>53164</v>
      </c>
      <c r="BA156" s="4591">
        <f t="shared" si="21"/>
        <v>26050.36</v>
      </c>
      <c r="BB156" s="4518">
        <v>16982</v>
      </c>
      <c r="BC156" s="4591">
        <f t="shared" si="22"/>
        <v>8321.18</v>
      </c>
      <c r="BD156" s="4518">
        <v>60013</v>
      </c>
      <c r="BE156" s="4591">
        <f t="shared" si="23"/>
        <v>29406.37</v>
      </c>
      <c r="BF156" s="4518">
        <v>575010</v>
      </c>
      <c r="BG156" s="4591">
        <f t="shared" si="24"/>
        <v>281754.90000000002</v>
      </c>
      <c r="BH156" s="4543"/>
      <c r="BI156" s="4543"/>
      <c r="BJ156" s="4543"/>
      <c r="BK156" s="3185"/>
      <c r="BL156" s="4543"/>
      <c r="BM156" s="4543"/>
      <c r="BN156" s="4636"/>
      <c r="BO156" s="4633"/>
      <c r="BP156" s="4636"/>
      <c r="BQ156" s="4633"/>
      <c r="BR156" s="4617"/>
    </row>
    <row r="157" spans="1:70" ht="28.5" customHeight="1" x14ac:dyDescent="0.2">
      <c r="A157" s="1014"/>
      <c r="B157" s="1015"/>
      <c r="C157" s="1016"/>
      <c r="D157" s="1015"/>
      <c r="E157" s="1015"/>
      <c r="F157" s="1016"/>
      <c r="G157" s="1017"/>
      <c r="H157" s="1015"/>
      <c r="I157" s="1016"/>
      <c r="J157" s="4518"/>
      <c r="K157" s="4601"/>
      <c r="L157" s="4518"/>
      <c r="M157" s="4518"/>
      <c r="N157" s="4626"/>
      <c r="O157" s="1029"/>
      <c r="P157" s="4620"/>
      <c r="Q157" s="4521"/>
      <c r="R157" s="4622"/>
      <c r="S157" s="4534"/>
      <c r="T157" s="4601"/>
      <c r="U157" s="4549"/>
      <c r="V157" s="4552"/>
      <c r="W157" s="2595">
        <v>4000000</v>
      </c>
      <c r="X157" s="1809">
        <f>2178800+1000000</f>
        <v>3178800</v>
      </c>
      <c r="Y157" s="1809">
        <v>767500</v>
      </c>
      <c r="Z157" s="1031">
        <v>114</v>
      </c>
      <c r="AA157" s="1033"/>
      <c r="AB157" s="4518"/>
      <c r="AC157" s="4591"/>
      <c r="AD157" s="4518">
        <v>282326</v>
      </c>
      <c r="AE157" s="4591">
        <f t="shared" si="14"/>
        <v>138339.74</v>
      </c>
      <c r="AF157" s="4518">
        <v>135912</v>
      </c>
      <c r="AG157" s="4591">
        <f t="shared" si="15"/>
        <v>66596.88</v>
      </c>
      <c r="AH157" s="4518">
        <v>45122</v>
      </c>
      <c r="AI157" s="4591">
        <f t="shared" si="16"/>
        <v>22109.78</v>
      </c>
      <c r="AJ157" s="4518">
        <v>307101</v>
      </c>
      <c r="AK157" s="4591">
        <v>150479.49</v>
      </c>
      <c r="AL157" s="4518">
        <v>86875</v>
      </c>
      <c r="AM157" s="4591">
        <v>42568.75</v>
      </c>
      <c r="AN157" s="4518">
        <v>2145</v>
      </c>
      <c r="AO157" s="4591">
        <f t="shared" si="17"/>
        <v>1051.05</v>
      </c>
      <c r="AP157" s="4518">
        <v>12718</v>
      </c>
      <c r="AQ157" s="4591">
        <f t="shared" si="18"/>
        <v>6231.82</v>
      </c>
      <c r="AR157" s="4518">
        <v>26</v>
      </c>
      <c r="AS157" s="4591">
        <f t="shared" si="19"/>
        <v>12.74</v>
      </c>
      <c r="AT157" s="4518">
        <v>37</v>
      </c>
      <c r="AU157" s="4591">
        <f t="shared" si="20"/>
        <v>18.13</v>
      </c>
      <c r="AV157" s="4518" t="s">
        <v>767</v>
      </c>
      <c r="AW157" s="4591" t="s">
        <v>767</v>
      </c>
      <c r="AX157" s="4518" t="s">
        <v>767</v>
      </c>
      <c r="AY157" s="4591" t="s">
        <v>767</v>
      </c>
      <c r="AZ157" s="4518">
        <v>53164</v>
      </c>
      <c r="BA157" s="4591">
        <f t="shared" si="21"/>
        <v>26050.36</v>
      </c>
      <c r="BB157" s="4518">
        <v>16982</v>
      </c>
      <c r="BC157" s="4591">
        <f t="shared" si="22"/>
        <v>8321.18</v>
      </c>
      <c r="BD157" s="4518">
        <v>60013</v>
      </c>
      <c r="BE157" s="4591">
        <f t="shared" si="23"/>
        <v>29406.37</v>
      </c>
      <c r="BF157" s="4518">
        <v>575010</v>
      </c>
      <c r="BG157" s="4591">
        <f t="shared" si="24"/>
        <v>281754.90000000002</v>
      </c>
      <c r="BH157" s="4543"/>
      <c r="BI157" s="4543"/>
      <c r="BJ157" s="4543"/>
      <c r="BK157" s="3185"/>
      <c r="BL157" s="4543"/>
      <c r="BM157" s="4543"/>
      <c r="BN157" s="4636"/>
      <c r="BO157" s="4633"/>
      <c r="BP157" s="4636"/>
      <c r="BQ157" s="4633"/>
      <c r="BR157" s="4617"/>
    </row>
    <row r="158" spans="1:70" ht="18.75" customHeight="1" x14ac:dyDescent="0.2">
      <c r="A158" s="1014"/>
      <c r="B158" s="1015"/>
      <c r="C158" s="1016"/>
      <c r="D158" s="1015"/>
      <c r="E158" s="1015"/>
      <c r="F158" s="1016"/>
      <c r="G158" s="1017"/>
      <c r="H158" s="1015"/>
      <c r="I158" s="1016"/>
      <c r="J158" s="4518"/>
      <c r="K158" s="4601"/>
      <c r="L158" s="4518"/>
      <c r="M158" s="4518"/>
      <c r="N158" s="4626"/>
      <c r="O158" s="1029"/>
      <c r="P158" s="4620"/>
      <c r="Q158" s="4521"/>
      <c r="R158" s="4622"/>
      <c r="S158" s="4534"/>
      <c r="T158" s="4601"/>
      <c r="U158" s="4549"/>
      <c r="V158" s="4551" t="s">
        <v>949</v>
      </c>
      <c r="W158" s="2595">
        <v>1750000</v>
      </c>
      <c r="X158" s="1809">
        <f>1750000</f>
        <v>1750000</v>
      </c>
      <c r="Y158" s="1809">
        <v>1750000</v>
      </c>
      <c r="Z158" s="1031">
        <v>61</v>
      </c>
      <c r="AA158" s="946"/>
      <c r="AB158" s="4518"/>
      <c r="AC158" s="4591"/>
      <c r="AD158" s="4518">
        <v>282326</v>
      </c>
      <c r="AE158" s="4591">
        <f t="shared" si="14"/>
        <v>138339.74</v>
      </c>
      <c r="AF158" s="4518">
        <v>135912</v>
      </c>
      <c r="AG158" s="4591">
        <f t="shared" si="15"/>
        <v>66596.88</v>
      </c>
      <c r="AH158" s="4518">
        <v>45122</v>
      </c>
      <c r="AI158" s="4591">
        <f t="shared" si="16"/>
        <v>22109.78</v>
      </c>
      <c r="AJ158" s="4518">
        <v>307101</v>
      </c>
      <c r="AK158" s="4591">
        <v>150479.49</v>
      </c>
      <c r="AL158" s="4518">
        <v>86875</v>
      </c>
      <c r="AM158" s="4591">
        <v>42568.75</v>
      </c>
      <c r="AN158" s="4518">
        <v>2145</v>
      </c>
      <c r="AO158" s="4591">
        <f t="shared" si="17"/>
        <v>1051.05</v>
      </c>
      <c r="AP158" s="4518">
        <v>12718</v>
      </c>
      <c r="AQ158" s="4591">
        <f t="shared" si="18"/>
        <v>6231.82</v>
      </c>
      <c r="AR158" s="4518">
        <v>26</v>
      </c>
      <c r="AS158" s="4591">
        <f t="shared" si="19"/>
        <v>12.74</v>
      </c>
      <c r="AT158" s="4518">
        <v>37</v>
      </c>
      <c r="AU158" s="4591">
        <f t="shared" si="20"/>
        <v>18.13</v>
      </c>
      <c r="AV158" s="4518" t="s">
        <v>767</v>
      </c>
      <c r="AW158" s="4591" t="s">
        <v>767</v>
      </c>
      <c r="AX158" s="4518" t="s">
        <v>767</v>
      </c>
      <c r="AY158" s="4591" t="s">
        <v>767</v>
      </c>
      <c r="AZ158" s="4518">
        <v>53164</v>
      </c>
      <c r="BA158" s="4591">
        <f t="shared" si="21"/>
        <v>26050.36</v>
      </c>
      <c r="BB158" s="4518">
        <v>16982</v>
      </c>
      <c r="BC158" s="4591">
        <f t="shared" si="22"/>
        <v>8321.18</v>
      </c>
      <c r="BD158" s="4518">
        <v>60013</v>
      </c>
      <c r="BE158" s="4591">
        <f t="shared" si="23"/>
        <v>29406.37</v>
      </c>
      <c r="BF158" s="4518">
        <v>575010</v>
      </c>
      <c r="BG158" s="4591">
        <f t="shared" si="24"/>
        <v>281754.90000000002</v>
      </c>
      <c r="BH158" s="4543"/>
      <c r="BI158" s="4543"/>
      <c r="BJ158" s="4543"/>
      <c r="BK158" s="3185"/>
      <c r="BL158" s="4543"/>
      <c r="BM158" s="4543"/>
      <c r="BN158" s="4636"/>
      <c r="BO158" s="4633"/>
      <c r="BP158" s="4636"/>
      <c r="BQ158" s="4633"/>
      <c r="BR158" s="4617"/>
    </row>
    <row r="159" spans="1:70" ht="21" customHeight="1" x14ac:dyDescent="0.2">
      <c r="A159" s="1014"/>
      <c r="B159" s="1015"/>
      <c r="C159" s="1016"/>
      <c r="D159" s="1015"/>
      <c r="E159" s="1015"/>
      <c r="F159" s="1016"/>
      <c r="G159" s="1017"/>
      <c r="H159" s="1015"/>
      <c r="I159" s="1016"/>
      <c r="J159" s="4518"/>
      <c r="K159" s="4601"/>
      <c r="L159" s="4518"/>
      <c r="M159" s="4518"/>
      <c r="N159" s="4626"/>
      <c r="O159" s="1029"/>
      <c r="P159" s="4620"/>
      <c r="Q159" s="4521"/>
      <c r="R159" s="4622"/>
      <c r="S159" s="4534"/>
      <c r="T159" s="4601"/>
      <c r="U159" s="4549"/>
      <c r="V159" s="4631"/>
      <c r="W159" s="2595">
        <v>3000000</v>
      </c>
      <c r="X159" s="1809">
        <f>3000000-1000000</f>
        <v>2000000</v>
      </c>
      <c r="Y159" s="1809">
        <v>2000000</v>
      </c>
      <c r="Z159" s="1031">
        <v>113</v>
      </c>
      <c r="AA159" s="1033"/>
      <c r="AB159" s="4518"/>
      <c r="AC159" s="4591"/>
      <c r="AD159" s="4518">
        <v>282326</v>
      </c>
      <c r="AE159" s="4591">
        <f t="shared" si="14"/>
        <v>138339.74</v>
      </c>
      <c r="AF159" s="4518">
        <v>135912</v>
      </c>
      <c r="AG159" s="4591">
        <f t="shared" si="15"/>
        <v>66596.88</v>
      </c>
      <c r="AH159" s="4518">
        <v>45122</v>
      </c>
      <c r="AI159" s="4591">
        <f t="shared" si="16"/>
        <v>22109.78</v>
      </c>
      <c r="AJ159" s="4518">
        <v>307101</v>
      </c>
      <c r="AK159" s="4591">
        <v>150479.49</v>
      </c>
      <c r="AL159" s="4518">
        <v>86875</v>
      </c>
      <c r="AM159" s="4591">
        <v>42568.75</v>
      </c>
      <c r="AN159" s="4518">
        <v>2145</v>
      </c>
      <c r="AO159" s="4591">
        <f t="shared" si="17"/>
        <v>1051.05</v>
      </c>
      <c r="AP159" s="4518">
        <v>12718</v>
      </c>
      <c r="AQ159" s="4591">
        <f t="shared" si="18"/>
        <v>6231.82</v>
      </c>
      <c r="AR159" s="4518">
        <v>26</v>
      </c>
      <c r="AS159" s="4591">
        <f t="shared" si="19"/>
        <v>12.74</v>
      </c>
      <c r="AT159" s="4518">
        <v>37</v>
      </c>
      <c r="AU159" s="4591">
        <f t="shared" si="20"/>
        <v>18.13</v>
      </c>
      <c r="AV159" s="4518" t="s">
        <v>767</v>
      </c>
      <c r="AW159" s="4591" t="s">
        <v>767</v>
      </c>
      <c r="AX159" s="4518" t="s">
        <v>767</v>
      </c>
      <c r="AY159" s="4591" t="s">
        <v>767</v>
      </c>
      <c r="AZ159" s="4518">
        <v>53164</v>
      </c>
      <c r="BA159" s="4591">
        <f t="shared" si="21"/>
        <v>26050.36</v>
      </c>
      <c r="BB159" s="4518">
        <v>16982</v>
      </c>
      <c r="BC159" s="4591">
        <f t="shared" si="22"/>
        <v>8321.18</v>
      </c>
      <c r="BD159" s="4518">
        <v>60013</v>
      </c>
      <c r="BE159" s="4591">
        <f t="shared" si="23"/>
        <v>29406.37</v>
      </c>
      <c r="BF159" s="4518">
        <v>575010</v>
      </c>
      <c r="BG159" s="4591">
        <f t="shared" si="24"/>
        <v>281754.90000000002</v>
      </c>
      <c r="BH159" s="4543"/>
      <c r="BI159" s="4543"/>
      <c r="BJ159" s="4543"/>
      <c r="BK159" s="3185"/>
      <c r="BL159" s="4543"/>
      <c r="BM159" s="4543"/>
      <c r="BN159" s="4636"/>
      <c r="BO159" s="4633"/>
      <c r="BP159" s="4636"/>
      <c r="BQ159" s="4633"/>
      <c r="BR159" s="4617"/>
    </row>
    <row r="160" spans="1:70" ht="19.5" customHeight="1" x14ac:dyDescent="0.2">
      <c r="A160" s="1014"/>
      <c r="B160" s="1015"/>
      <c r="C160" s="1016"/>
      <c r="D160" s="1015"/>
      <c r="E160" s="1015"/>
      <c r="F160" s="1016"/>
      <c r="G160" s="1017"/>
      <c r="H160" s="1015"/>
      <c r="I160" s="1016"/>
      <c r="J160" s="4518"/>
      <c r="K160" s="4601"/>
      <c r="L160" s="4518"/>
      <c r="M160" s="4518"/>
      <c r="N160" s="4626"/>
      <c r="O160" s="1029"/>
      <c r="P160" s="4620"/>
      <c r="Q160" s="4521"/>
      <c r="R160" s="4622"/>
      <c r="S160" s="4534"/>
      <c r="T160" s="4601"/>
      <c r="U160" s="4549"/>
      <c r="V160" s="4631"/>
      <c r="W160" s="2595">
        <v>250000</v>
      </c>
      <c r="X160" s="1809">
        <v>250000</v>
      </c>
      <c r="Y160" s="1809">
        <v>767500</v>
      </c>
      <c r="Z160" s="1031">
        <v>114</v>
      </c>
      <c r="AA160" s="1033"/>
      <c r="AB160" s="4518"/>
      <c r="AC160" s="4591"/>
      <c r="AD160" s="4518">
        <v>282326</v>
      </c>
      <c r="AE160" s="4591">
        <f t="shared" si="14"/>
        <v>138339.74</v>
      </c>
      <c r="AF160" s="4518">
        <v>135912</v>
      </c>
      <c r="AG160" s="4591">
        <f t="shared" si="15"/>
        <v>66596.88</v>
      </c>
      <c r="AH160" s="4518">
        <v>45122</v>
      </c>
      <c r="AI160" s="4591">
        <f t="shared" si="16"/>
        <v>22109.78</v>
      </c>
      <c r="AJ160" s="4518">
        <v>307101</v>
      </c>
      <c r="AK160" s="4591">
        <v>150479.49</v>
      </c>
      <c r="AL160" s="4518">
        <v>86875</v>
      </c>
      <c r="AM160" s="4591">
        <v>42568.75</v>
      </c>
      <c r="AN160" s="4518">
        <v>2145</v>
      </c>
      <c r="AO160" s="4591">
        <f t="shared" si="17"/>
        <v>1051.05</v>
      </c>
      <c r="AP160" s="4518">
        <v>12718</v>
      </c>
      <c r="AQ160" s="4591">
        <f t="shared" si="18"/>
        <v>6231.82</v>
      </c>
      <c r="AR160" s="4518">
        <v>26</v>
      </c>
      <c r="AS160" s="4591">
        <f t="shared" si="19"/>
        <v>12.74</v>
      </c>
      <c r="AT160" s="4518">
        <v>37</v>
      </c>
      <c r="AU160" s="4591">
        <f t="shared" si="20"/>
        <v>18.13</v>
      </c>
      <c r="AV160" s="4518" t="s">
        <v>767</v>
      </c>
      <c r="AW160" s="4591" t="s">
        <v>767</v>
      </c>
      <c r="AX160" s="4518" t="s">
        <v>767</v>
      </c>
      <c r="AY160" s="4591" t="s">
        <v>767</v>
      </c>
      <c r="AZ160" s="4518">
        <v>53164</v>
      </c>
      <c r="BA160" s="4591">
        <f t="shared" si="21"/>
        <v>26050.36</v>
      </c>
      <c r="BB160" s="4518">
        <v>16982</v>
      </c>
      <c r="BC160" s="4591">
        <f t="shared" si="22"/>
        <v>8321.18</v>
      </c>
      <c r="BD160" s="4518">
        <v>60013</v>
      </c>
      <c r="BE160" s="4591">
        <f t="shared" si="23"/>
        <v>29406.37</v>
      </c>
      <c r="BF160" s="4518">
        <v>575010</v>
      </c>
      <c r="BG160" s="4591">
        <f t="shared" si="24"/>
        <v>281754.90000000002</v>
      </c>
      <c r="BH160" s="4543"/>
      <c r="BI160" s="4543"/>
      <c r="BJ160" s="4543"/>
      <c r="BK160" s="3185"/>
      <c r="BL160" s="4543"/>
      <c r="BM160" s="4543"/>
      <c r="BN160" s="4636"/>
      <c r="BO160" s="4633"/>
      <c r="BP160" s="4636"/>
      <c r="BQ160" s="4633"/>
      <c r="BR160" s="4617"/>
    </row>
    <row r="161" spans="1:70" x14ac:dyDescent="0.2">
      <c r="A161" s="1014"/>
      <c r="B161" s="1015"/>
      <c r="C161" s="1016"/>
      <c r="D161" s="1015"/>
      <c r="E161" s="1015"/>
      <c r="F161" s="1016"/>
      <c r="G161" s="1017"/>
      <c r="H161" s="1015"/>
      <c r="I161" s="1016"/>
      <c r="J161" s="4518"/>
      <c r="K161" s="4601"/>
      <c r="L161" s="4518"/>
      <c r="M161" s="4518"/>
      <c r="N161" s="4626"/>
      <c r="O161" s="1029"/>
      <c r="P161" s="4620"/>
      <c r="Q161" s="4521"/>
      <c r="R161" s="4622"/>
      <c r="S161" s="4534"/>
      <c r="T161" s="4601"/>
      <c r="U161" s="4549"/>
      <c r="V161" s="4552"/>
      <c r="W161" s="2595">
        <v>3000000</v>
      </c>
      <c r="X161" s="2595">
        <v>0</v>
      </c>
      <c r="Y161" s="2595">
        <v>0</v>
      </c>
      <c r="Z161" s="1031">
        <v>98</v>
      </c>
      <c r="AA161" s="1033"/>
      <c r="AB161" s="4518"/>
      <c r="AC161" s="4591"/>
      <c r="AD161" s="4518">
        <v>282326</v>
      </c>
      <c r="AE161" s="4591">
        <f t="shared" si="14"/>
        <v>138339.74</v>
      </c>
      <c r="AF161" s="4518">
        <v>135912</v>
      </c>
      <c r="AG161" s="4591">
        <f t="shared" si="15"/>
        <v>66596.88</v>
      </c>
      <c r="AH161" s="4518">
        <v>45122</v>
      </c>
      <c r="AI161" s="4591">
        <f t="shared" si="16"/>
        <v>22109.78</v>
      </c>
      <c r="AJ161" s="4518">
        <v>307101</v>
      </c>
      <c r="AK161" s="4591">
        <v>150479.49</v>
      </c>
      <c r="AL161" s="4518">
        <v>86875</v>
      </c>
      <c r="AM161" s="4591">
        <v>42568.75</v>
      </c>
      <c r="AN161" s="4518">
        <v>2145</v>
      </c>
      <c r="AO161" s="4591">
        <f t="shared" si="17"/>
        <v>1051.05</v>
      </c>
      <c r="AP161" s="4518">
        <v>12718</v>
      </c>
      <c r="AQ161" s="4591">
        <f t="shared" si="18"/>
        <v>6231.82</v>
      </c>
      <c r="AR161" s="4518">
        <v>26</v>
      </c>
      <c r="AS161" s="4591">
        <f t="shared" si="19"/>
        <v>12.74</v>
      </c>
      <c r="AT161" s="4518">
        <v>37</v>
      </c>
      <c r="AU161" s="4591">
        <f t="shared" si="20"/>
        <v>18.13</v>
      </c>
      <c r="AV161" s="4518" t="s">
        <v>767</v>
      </c>
      <c r="AW161" s="4591" t="s">
        <v>767</v>
      </c>
      <c r="AX161" s="4518" t="s">
        <v>767</v>
      </c>
      <c r="AY161" s="4591" t="s">
        <v>767</v>
      </c>
      <c r="AZ161" s="4518">
        <v>53164</v>
      </c>
      <c r="BA161" s="4591">
        <f t="shared" si="21"/>
        <v>26050.36</v>
      </c>
      <c r="BB161" s="4518">
        <v>16982</v>
      </c>
      <c r="BC161" s="4591">
        <f t="shared" si="22"/>
        <v>8321.18</v>
      </c>
      <c r="BD161" s="4518">
        <v>60013</v>
      </c>
      <c r="BE161" s="4591">
        <f t="shared" si="23"/>
        <v>29406.37</v>
      </c>
      <c r="BF161" s="4518">
        <v>575010</v>
      </c>
      <c r="BG161" s="4591">
        <f t="shared" si="24"/>
        <v>281754.90000000002</v>
      </c>
      <c r="BH161" s="4543"/>
      <c r="BI161" s="4543"/>
      <c r="BJ161" s="4543"/>
      <c r="BK161" s="3185"/>
      <c r="BL161" s="4543"/>
      <c r="BM161" s="4543"/>
      <c r="BN161" s="4636"/>
      <c r="BO161" s="4633"/>
      <c r="BP161" s="4636"/>
      <c r="BQ161" s="4633"/>
      <c r="BR161" s="4617"/>
    </row>
    <row r="162" spans="1:70" ht="57" x14ac:dyDescent="0.2">
      <c r="A162" s="1014"/>
      <c r="B162" s="1015"/>
      <c r="C162" s="1016"/>
      <c r="D162" s="1015"/>
      <c r="E162" s="1015"/>
      <c r="F162" s="1016"/>
      <c r="G162" s="1017"/>
      <c r="H162" s="1015"/>
      <c r="I162" s="1016"/>
      <c r="J162" s="4518"/>
      <c r="K162" s="4601"/>
      <c r="L162" s="4518"/>
      <c r="M162" s="4518"/>
      <c r="N162" s="4626"/>
      <c r="O162" s="1029" t="s">
        <v>950</v>
      </c>
      <c r="P162" s="4620"/>
      <c r="Q162" s="4521"/>
      <c r="R162" s="4622"/>
      <c r="S162" s="4534"/>
      <c r="T162" s="4601"/>
      <c r="U162" s="4549"/>
      <c r="V162" s="980" t="s">
        <v>951</v>
      </c>
      <c r="W162" s="2595">
        <v>8000000</v>
      </c>
      <c r="X162" s="1809">
        <v>5140524</v>
      </c>
      <c r="Y162" s="1809">
        <v>3467300</v>
      </c>
      <c r="Z162" s="1031">
        <v>113</v>
      </c>
      <c r="AA162" s="1033" t="s">
        <v>952</v>
      </c>
      <c r="AB162" s="4518"/>
      <c r="AC162" s="4591"/>
      <c r="AD162" s="4518">
        <v>282326</v>
      </c>
      <c r="AE162" s="4591">
        <f t="shared" si="14"/>
        <v>138339.74</v>
      </c>
      <c r="AF162" s="4518">
        <v>135912</v>
      </c>
      <c r="AG162" s="4591">
        <f t="shared" si="15"/>
        <v>66596.88</v>
      </c>
      <c r="AH162" s="4518">
        <v>45122</v>
      </c>
      <c r="AI162" s="4591">
        <f t="shared" si="16"/>
        <v>22109.78</v>
      </c>
      <c r="AJ162" s="4518">
        <v>307101</v>
      </c>
      <c r="AK162" s="4591">
        <v>150479.49</v>
      </c>
      <c r="AL162" s="4518">
        <v>86875</v>
      </c>
      <c r="AM162" s="4591">
        <v>42568.75</v>
      </c>
      <c r="AN162" s="4518">
        <v>2145</v>
      </c>
      <c r="AO162" s="4591">
        <f t="shared" si="17"/>
        <v>1051.05</v>
      </c>
      <c r="AP162" s="4518">
        <v>12718</v>
      </c>
      <c r="AQ162" s="4591">
        <f t="shared" si="18"/>
        <v>6231.82</v>
      </c>
      <c r="AR162" s="4518">
        <v>26</v>
      </c>
      <c r="AS162" s="4591">
        <f t="shared" si="19"/>
        <v>12.74</v>
      </c>
      <c r="AT162" s="4518">
        <v>37</v>
      </c>
      <c r="AU162" s="4591">
        <f t="shared" si="20"/>
        <v>18.13</v>
      </c>
      <c r="AV162" s="4518" t="s">
        <v>767</v>
      </c>
      <c r="AW162" s="4591" t="s">
        <v>767</v>
      </c>
      <c r="AX162" s="4518" t="s">
        <v>767</v>
      </c>
      <c r="AY162" s="4591" t="s">
        <v>767</v>
      </c>
      <c r="AZ162" s="4518">
        <v>53164</v>
      </c>
      <c r="BA162" s="4591">
        <f t="shared" si="21"/>
        <v>26050.36</v>
      </c>
      <c r="BB162" s="4518">
        <v>16982</v>
      </c>
      <c r="BC162" s="4591">
        <f t="shared" si="22"/>
        <v>8321.18</v>
      </c>
      <c r="BD162" s="4518">
        <v>60013</v>
      </c>
      <c r="BE162" s="4591">
        <f t="shared" si="23"/>
        <v>29406.37</v>
      </c>
      <c r="BF162" s="4518">
        <v>575010</v>
      </c>
      <c r="BG162" s="4591">
        <f t="shared" si="24"/>
        <v>281754.90000000002</v>
      </c>
      <c r="BH162" s="4543"/>
      <c r="BI162" s="4543"/>
      <c r="BJ162" s="4543"/>
      <c r="BK162" s="3185"/>
      <c r="BL162" s="4543"/>
      <c r="BM162" s="4543"/>
      <c r="BN162" s="4636"/>
      <c r="BO162" s="4633"/>
      <c r="BP162" s="4636"/>
      <c r="BQ162" s="4633"/>
      <c r="BR162" s="4617"/>
    </row>
    <row r="163" spans="1:70" ht="23.25" customHeight="1" x14ac:dyDescent="0.2">
      <c r="A163" s="1014"/>
      <c r="B163" s="1015"/>
      <c r="C163" s="1016"/>
      <c r="D163" s="1015"/>
      <c r="E163" s="1015"/>
      <c r="F163" s="1016"/>
      <c r="G163" s="1017"/>
      <c r="H163" s="1015"/>
      <c r="I163" s="1016"/>
      <c r="J163" s="4518"/>
      <c r="K163" s="4601"/>
      <c r="L163" s="4518"/>
      <c r="M163" s="4518"/>
      <c r="N163" s="4626"/>
      <c r="O163" s="1029" t="s">
        <v>953</v>
      </c>
      <c r="P163" s="4620"/>
      <c r="Q163" s="4521"/>
      <c r="R163" s="4622"/>
      <c r="S163" s="4534"/>
      <c r="T163" s="4601"/>
      <c r="U163" s="4549"/>
      <c r="V163" s="4551" t="s">
        <v>954</v>
      </c>
      <c r="W163" s="2595">
        <v>500000</v>
      </c>
      <c r="X163" s="1809">
        <f>500000</f>
        <v>500000</v>
      </c>
      <c r="Y163" s="1809">
        <v>500000</v>
      </c>
      <c r="Z163" s="1031">
        <v>61</v>
      </c>
      <c r="AA163" s="1033"/>
      <c r="AB163" s="4518"/>
      <c r="AC163" s="4591"/>
      <c r="AD163" s="4518">
        <v>282326</v>
      </c>
      <c r="AE163" s="4591">
        <f t="shared" si="14"/>
        <v>138339.74</v>
      </c>
      <c r="AF163" s="4518">
        <v>135912</v>
      </c>
      <c r="AG163" s="4591">
        <f t="shared" si="15"/>
        <v>66596.88</v>
      </c>
      <c r="AH163" s="4518">
        <v>45122</v>
      </c>
      <c r="AI163" s="4591">
        <f t="shared" si="16"/>
        <v>22109.78</v>
      </c>
      <c r="AJ163" s="4518">
        <v>307101</v>
      </c>
      <c r="AK163" s="4591">
        <v>150479.49</v>
      </c>
      <c r="AL163" s="4518">
        <v>86875</v>
      </c>
      <c r="AM163" s="4591">
        <v>42568.75</v>
      </c>
      <c r="AN163" s="4518">
        <v>2145</v>
      </c>
      <c r="AO163" s="4591">
        <f t="shared" si="17"/>
        <v>1051.05</v>
      </c>
      <c r="AP163" s="4518">
        <v>12718</v>
      </c>
      <c r="AQ163" s="4591">
        <f t="shared" si="18"/>
        <v>6231.82</v>
      </c>
      <c r="AR163" s="4518">
        <v>26</v>
      </c>
      <c r="AS163" s="4591">
        <f t="shared" si="19"/>
        <v>12.74</v>
      </c>
      <c r="AT163" s="4518">
        <v>37</v>
      </c>
      <c r="AU163" s="4591">
        <f t="shared" si="20"/>
        <v>18.13</v>
      </c>
      <c r="AV163" s="4518" t="s">
        <v>767</v>
      </c>
      <c r="AW163" s="4591" t="s">
        <v>767</v>
      </c>
      <c r="AX163" s="4518" t="s">
        <v>767</v>
      </c>
      <c r="AY163" s="4591" t="s">
        <v>767</v>
      </c>
      <c r="AZ163" s="4518">
        <v>53164</v>
      </c>
      <c r="BA163" s="4591">
        <f t="shared" si="21"/>
        <v>26050.36</v>
      </c>
      <c r="BB163" s="4518">
        <v>16982</v>
      </c>
      <c r="BC163" s="4591">
        <f t="shared" si="22"/>
        <v>8321.18</v>
      </c>
      <c r="BD163" s="4518">
        <v>60013</v>
      </c>
      <c r="BE163" s="4591">
        <f t="shared" si="23"/>
        <v>29406.37</v>
      </c>
      <c r="BF163" s="4518">
        <v>575010</v>
      </c>
      <c r="BG163" s="4591">
        <f t="shared" si="24"/>
        <v>281754.90000000002</v>
      </c>
      <c r="BH163" s="4543"/>
      <c r="BI163" s="4543"/>
      <c r="BJ163" s="4543"/>
      <c r="BK163" s="3185"/>
      <c r="BL163" s="4543"/>
      <c r="BM163" s="4543"/>
      <c r="BN163" s="4636"/>
      <c r="BO163" s="4633"/>
      <c r="BP163" s="4636"/>
      <c r="BQ163" s="4633"/>
      <c r="BR163" s="4617"/>
    </row>
    <row r="164" spans="1:70" ht="24" customHeight="1" x14ac:dyDescent="0.2">
      <c r="A164" s="1014"/>
      <c r="B164" s="1015"/>
      <c r="C164" s="1016"/>
      <c r="D164" s="1015"/>
      <c r="E164" s="1015"/>
      <c r="F164" s="1016"/>
      <c r="G164" s="1017"/>
      <c r="H164" s="1015"/>
      <c r="I164" s="1016"/>
      <c r="J164" s="4518"/>
      <c r="K164" s="4601"/>
      <c r="L164" s="4518"/>
      <c r="M164" s="4518"/>
      <c r="N164" s="4626"/>
      <c r="O164" s="1029"/>
      <c r="P164" s="4620"/>
      <c r="Q164" s="4521"/>
      <c r="R164" s="4622"/>
      <c r="S164" s="4534"/>
      <c r="T164" s="4601"/>
      <c r="U164" s="4549"/>
      <c r="V164" s="4631"/>
      <c r="W164" s="2595">
        <v>1911543</v>
      </c>
      <c r="X164" s="1809">
        <v>1911543</v>
      </c>
      <c r="Y164" s="1809">
        <v>1911543</v>
      </c>
      <c r="Z164" s="1031">
        <v>113</v>
      </c>
      <c r="AA164" s="1033"/>
      <c r="AB164" s="4518"/>
      <c r="AC164" s="4591"/>
      <c r="AD164" s="4518">
        <v>282326</v>
      </c>
      <c r="AE164" s="4591">
        <f t="shared" si="14"/>
        <v>138339.74</v>
      </c>
      <c r="AF164" s="4518">
        <v>135912</v>
      </c>
      <c r="AG164" s="4591">
        <f t="shared" si="15"/>
        <v>66596.88</v>
      </c>
      <c r="AH164" s="4518">
        <v>45122</v>
      </c>
      <c r="AI164" s="4591">
        <f t="shared" si="16"/>
        <v>22109.78</v>
      </c>
      <c r="AJ164" s="4518">
        <v>307101</v>
      </c>
      <c r="AK164" s="4591">
        <v>150479.49</v>
      </c>
      <c r="AL164" s="4518">
        <v>86875</v>
      </c>
      <c r="AM164" s="4591">
        <v>42568.75</v>
      </c>
      <c r="AN164" s="4518">
        <v>2145</v>
      </c>
      <c r="AO164" s="4591">
        <f t="shared" si="17"/>
        <v>1051.05</v>
      </c>
      <c r="AP164" s="4518">
        <v>12718</v>
      </c>
      <c r="AQ164" s="4591">
        <f t="shared" si="18"/>
        <v>6231.82</v>
      </c>
      <c r="AR164" s="4518">
        <v>26</v>
      </c>
      <c r="AS164" s="4591">
        <f t="shared" si="19"/>
        <v>12.74</v>
      </c>
      <c r="AT164" s="4518">
        <v>37</v>
      </c>
      <c r="AU164" s="4591">
        <f t="shared" si="20"/>
        <v>18.13</v>
      </c>
      <c r="AV164" s="4518" t="s">
        <v>767</v>
      </c>
      <c r="AW164" s="4591" t="s">
        <v>767</v>
      </c>
      <c r="AX164" s="4518" t="s">
        <v>767</v>
      </c>
      <c r="AY164" s="4591" t="s">
        <v>767</v>
      </c>
      <c r="AZ164" s="4518">
        <v>53164</v>
      </c>
      <c r="BA164" s="4591">
        <f t="shared" si="21"/>
        <v>26050.36</v>
      </c>
      <c r="BB164" s="4518">
        <v>16982</v>
      </c>
      <c r="BC164" s="4591">
        <f t="shared" si="22"/>
        <v>8321.18</v>
      </c>
      <c r="BD164" s="4518">
        <v>60013</v>
      </c>
      <c r="BE164" s="4591">
        <f t="shared" si="23"/>
        <v>29406.37</v>
      </c>
      <c r="BF164" s="4518">
        <v>575010</v>
      </c>
      <c r="BG164" s="4591">
        <f t="shared" si="24"/>
        <v>281754.90000000002</v>
      </c>
      <c r="BH164" s="4543"/>
      <c r="BI164" s="4543"/>
      <c r="BJ164" s="4543"/>
      <c r="BK164" s="3185"/>
      <c r="BL164" s="4543"/>
      <c r="BM164" s="4543"/>
      <c r="BN164" s="4636"/>
      <c r="BO164" s="4633"/>
      <c r="BP164" s="4636"/>
      <c r="BQ164" s="4633"/>
      <c r="BR164" s="4617"/>
    </row>
    <row r="165" spans="1:70" ht="24.75" customHeight="1" x14ac:dyDescent="0.2">
      <c r="A165" s="1014"/>
      <c r="B165" s="1015"/>
      <c r="C165" s="1016"/>
      <c r="D165" s="1015"/>
      <c r="E165" s="1015"/>
      <c r="F165" s="1016"/>
      <c r="G165" s="1017"/>
      <c r="H165" s="1015"/>
      <c r="I165" s="1016"/>
      <c r="J165" s="4518"/>
      <c r="K165" s="4601"/>
      <c r="L165" s="4518"/>
      <c r="M165" s="4518"/>
      <c r="N165" s="4626"/>
      <c r="O165" s="1029"/>
      <c r="P165" s="4620"/>
      <c r="Q165" s="4521"/>
      <c r="R165" s="4622"/>
      <c r="S165" s="4534"/>
      <c r="T165" s="4601"/>
      <c r="U165" s="4550"/>
      <c r="V165" s="4552"/>
      <c r="W165" s="2595">
        <v>193819</v>
      </c>
      <c r="X165" s="1809">
        <v>193819</v>
      </c>
      <c r="Y165" s="1809">
        <v>767500</v>
      </c>
      <c r="Z165" s="1031">
        <v>114</v>
      </c>
      <c r="AA165" s="1033"/>
      <c r="AB165" s="4518"/>
      <c r="AC165" s="4591"/>
      <c r="AD165" s="4518">
        <v>282326</v>
      </c>
      <c r="AE165" s="4591">
        <f t="shared" si="14"/>
        <v>138339.74</v>
      </c>
      <c r="AF165" s="4518">
        <v>135912</v>
      </c>
      <c r="AG165" s="4591">
        <f t="shared" si="15"/>
        <v>66596.88</v>
      </c>
      <c r="AH165" s="4518">
        <v>45122</v>
      </c>
      <c r="AI165" s="4591">
        <f t="shared" si="16"/>
        <v>22109.78</v>
      </c>
      <c r="AJ165" s="4518">
        <v>307101</v>
      </c>
      <c r="AK165" s="4591">
        <v>150479.49</v>
      </c>
      <c r="AL165" s="4518">
        <v>86875</v>
      </c>
      <c r="AM165" s="4591">
        <v>42568.75</v>
      </c>
      <c r="AN165" s="4518">
        <v>2145</v>
      </c>
      <c r="AO165" s="4591">
        <f t="shared" si="17"/>
        <v>1051.05</v>
      </c>
      <c r="AP165" s="4518">
        <v>12718</v>
      </c>
      <c r="AQ165" s="4591">
        <f t="shared" si="18"/>
        <v>6231.82</v>
      </c>
      <c r="AR165" s="4518">
        <v>26</v>
      </c>
      <c r="AS165" s="4591">
        <f t="shared" si="19"/>
        <v>12.74</v>
      </c>
      <c r="AT165" s="4518">
        <v>37</v>
      </c>
      <c r="AU165" s="4591">
        <f t="shared" si="20"/>
        <v>18.13</v>
      </c>
      <c r="AV165" s="4518" t="s">
        <v>767</v>
      </c>
      <c r="AW165" s="4591" t="s">
        <v>767</v>
      </c>
      <c r="AX165" s="4518" t="s">
        <v>767</v>
      </c>
      <c r="AY165" s="4591" t="s">
        <v>767</v>
      </c>
      <c r="AZ165" s="4518">
        <v>53164</v>
      </c>
      <c r="BA165" s="4591">
        <f t="shared" si="21"/>
        <v>26050.36</v>
      </c>
      <c r="BB165" s="4518">
        <v>16982</v>
      </c>
      <c r="BC165" s="4591">
        <f t="shared" si="22"/>
        <v>8321.18</v>
      </c>
      <c r="BD165" s="4518">
        <v>60013</v>
      </c>
      <c r="BE165" s="4591">
        <f t="shared" si="23"/>
        <v>29406.37</v>
      </c>
      <c r="BF165" s="4518">
        <v>575010</v>
      </c>
      <c r="BG165" s="4591">
        <f t="shared" si="24"/>
        <v>281754.90000000002</v>
      </c>
      <c r="BH165" s="4543"/>
      <c r="BI165" s="4543"/>
      <c r="BJ165" s="4543"/>
      <c r="BK165" s="3185"/>
      <c r="BL165" s="4543"/>
      <c r="BM165" s="4543"/>
      <c r="BN165" s="4636"/>
      <c r="BO165" s="4633"/>
      <c r="BP165" s="4636"/>
      <c r="BQ165" s="4633"/>
      <c r="BR165" s="4617"/>
    </row>
    <row r="166" spans="1:70" ht="28.5" customHeight="1" x14ac:dyDescent="0.2">
      <c r="A166" s="1014"/>
      <c r="B166" s="1015"/>
      <c r="C166" s="1016"/>
      <c r="D166" s="1015"/>
      <c r="E166" s="1015"/>
      <c r="F166" s="1016"/>
      <c r="G166" s="1017"/>
      <c r="H166" s="1015"/>
      <c r="I166" s="1016"/>
      <c r="J166" s="4518"/>
      <c r="K166" s="4601"/>
      <c r="L166" s="4518"/>
      <c r="M166" s="4518"/>
      <c r="N166" s="4626"/>
      <c r="O166" s="1029" t="s">
        <v>955</v>
      </c>
      <c r="P166" s="4620"/>
      <c r="Q166" s="4521"/>
      <c r="R166" s="4622"/>
      <c r="S166" s="4534"/>
      <c r="T166" s="4601"/>
      <c r="U166" s="4548" t="s">
        <v>956</v>
      </c>
      <c r="V166" s="4624" t="s">
        <v>957</v>
      </c>
      <c r="W166" s="2595">
        <v>1750000</v>
      </c>
      <c r="X166" s="1809">
        <f>1750000</f>
        <v>1750000</v>
      </c>
      <c r="Y166" s="1809">
        <v>1750000</v>
      </c>
      <c r="Z166" s="1031">
        <v>61</v>
      </c>
      <c r="AA166" s="1033" t="s">
        <v>958</v>
      </c>
      <c r="AB166" s="4518"/>
      <c r="AC166" s="4591"/>
      <c r="AD166" s="4518">
        <v>282326</v>
      </c>
      <c r="AE166" s="4591">
        <f t="shared" si="14"/>
        <v>138339.74</v>
      </c>
      <c r="AF166" s="4518">
        <v>135912</v>
      </c>
      <c r="AG166" s="4591">
        <f t="shared" si="15"/>
        <v>66596.88</v>
      </c>
      <c r="AH166" s="4518">
        <v>45122</v>
      </c>
      <c r="AI166" s="4591">
        <f t="shared" si="16"/>
        <v>22109.78</v>
      </c>
      <c r="AJ166" s="4518">
        <v>307101</v>
      </c>
      <c r="AK166" s="4591">
        <v>150479.49</v>
      </c>
      <c r="AL166" s="4518">
        <v>86875</v>
      </c>
      <c r="AM166" s="4591">
        <v>42568.75</v>
      </c>
      <c r="AN166" s="4518">
        <v>2145</v>
      </c>
      <c r="AO166" s="4591">
        <f t="shared" si="17"/>
        <v>1051.05</v>
      </c>
      <c r="AP166" s="4518">
        <v>12718</v>
      </c>
      <c r="AQ166" s="4591">
        <f t="shared" si="18"/>
        <v>6231.82</v>
      </c>
      <c r="AR166" s="4518">
        <v>26</v>
      </c>
      <c r="AS166" s="4591">
        <f t="shared" si="19"/>
        <v>12.74</v>
      </c>
      <c r="AT166" s="4518">
        <v>37</v>
      </c>
      <c r="AU166" s="4591">
        <f t="shared" si="20"/>
        <v>18.13</v>
      </c>
      <c r="AV166" s="4518" t="s">
        <v>767</v>
      </c>
      <c r="AW166" s="4591" t="s">
        <v>767</v>
      </c>
      <c r="AX166" s="4518" t="s">
        <v>767</v>
      </c>
      <c r="AY166" s="4591" t="s">
        <v>767</v>
      </c>
      <c r="AZ166" s="4518">
        <v>53164</v>
      </c>
      <c r="BA166" s="4591">
        <f t="shared" si="21"/>
        <v>26050.36</v>
      </c>
      <c r="BB166" s="4518">
        <v>16982</v>
      </c>
      <c r="BC166" s="4591">
        <f t="shared" si="22"/>
        <v>8321.18</v>
      </c>
      <c r="BD166" s="4518">
        <v>60013</v>
      </c>
      <c r="BE166" s="4591">
        <f t="shared" si="23"/>
        <v>29406.37</v>
      </c>
      <c r="BF166" s="4518">
        <v>575010</v>
      </c>
      <c r="BG166" s="4591">
        <f t="shared" si="24"/>
        <v>281754.90000000002</v>
      </c>
      <c r="BH166" s="4543"/>
      <c r="BI166" s="4543"/>
      <c r="BJ166" s="4543"/>
      <c r="BK166" s="3185"/>
      <c r="BL166" s="4543"/>
      <c r="BM166" s="4543"/>
      <c r="BN166" s="4636"/>
      <c r="BO166" s="4633"/>
      <c r="BP166" s="4636"/>
      <c r="BQ166" s="4633"/>
      <c r="BR166" s="4617"/>
    </row>
    <row r="167" spans="1:70" ht="30" customHeight="1" x14ac:dyDescent="0.2">
      <c r="A167" s="1014"/>
      <c r="B167" s="1015"/>
      <c r="C167" s="1016"/>
      <c r="D167" s="1015"/>
      <c r="E167" s="1015"/>
      <c r="F167" s="1016"/>
      <c r="G167" s="1017"/>
      <c r="H167" s="1015"/>
      <c r="I167" s="1016"/>
      <c r="J167" s="4518"/>
      <c r="K167" s="4601"/>
      <c r="L167" s="4518"/>
      <c r="M167" s="4518"/>
      <c r="N167" s="4626"/>
      <c r="O167" s="1029"/>
      <c r="P167" s="4620"/>
      <c r="Q167" s="4521"/>
      <c r="R167" s="4622"/>
      <c r="S167" s="4534"/>
      <c r="T167" s="4601"/>
      <c r="U167" s="4549"/>
      <c r="V167" s="4635"/>
      <c r="W167" s="2595">
        <v>3000000</v>
      </c>
      <c r="X167" s="1809">
        <f>3000000-281048</f>
        <v>2718952</v>
      </c>
      <c r="Y167" s="1809">
        <v>2718952</v>
      </c>
      <c r="Z167" s="1031">
        <v>113</v>
      </c>
      <c r="AA167" s="1033"/>
      <c r="AB167" s="4518"/>
      <c r="AC167" s="4591"/>
      <c r="AD167" s="4518">
        <v>282326</v>
      </c>
      <c r="AE167" s="4591">
        <f t="shared" si="14"/>
        <v>138339.74</v>
      </c>
      <c r="AF167" s="4518">
        <v>135912</v>
      </c>
      <c r="AG167" s="4591">
        <f t="shared" si="15"/>
        <v>66596.88</v>
      </c>
      <c r="AH167" s="4518">
        <v>45122</v>
      </c>
      <c r="AI167" s="4591">
        <f t="shared" si="16"/>
        <v>22109.78</v>
      </c>
      <c r="AJ167" s="4518">
        <v>307101</v>
      </c>
      <c r="AK167" s="4591">
        <v>150479.49</v>
      </c>
      <c r="AL167" s="4518">
        <v>86875</v>
      </c>
      <c r="AM167" s="4591">
        <v>42568.75</v>
      </c>
      <c r="AN167" s="4518">
        <v>2145</v>
      </c>
      <c r="AO167" s="4591">
        <f t="shared" si="17"/>
        <v>1051.05</v>
      </c>
      <c r="AP167" s="4518">
        <v>12718</v>
      </c>
      <c r="AQ167" s="4591">
        <f t="shared" si="18"/>
        <v>6231.82</v>
      </c>
      <c r="AR167" s="4518">
        <v>26</v>
      </c>
      <c r="AS167" s="4591">
        <f t="shared" si="19"/>
        <v>12.74</v>
      </c>
      <c r="AT167" s="4518">
        <v>37</v>
      </c>
      <c r="AU167" s="4591">
        <f t="shared" si="20"/>
        <v>18.13</v>
      </c>
      <c r="AV167" s="4518" t="s">
        <v>767</v>
      </c>
      <c r="AW167" s="4591" t="s">
        <v>767</v>
      </c>
      <c r="AX167" s="4518" t="s">
        <v>767</v>
      </c>
      <c r="AY167" s="4591" t="s">
        <v>767</v>
      </c>
      <c r="AZ167" s="4518">
        <v>53164</v>
      </c>
      <c r="BA167" s="4591">
        <f t="shared" si="21"/>
        <v>26050.36</v>
      </c>
      <c r="BB167" s="4518">
        <v>16982</v>
      </c>
      <c r="BC167" s="4591">
        <f t="shared" si="22"/>
        <v>8321.18</v>
      </c>
      <c r="BD167" s="4518">
        <v>60013</v>
      </c>
      <c r="BE167" s="4591">
        <f t="shared" si="23"/>
        <v>29406.37</v>
      </c>
      <c r="BF167" s="4518">
        <v>575010</v>
      </c>
      <c r="BG167" s="4591">
        <f t="shared" si="24"/>
        <v>281754.90000000002</v>
      </c>
      <c r="BH167" s="4543"/>
      <c r="BI167" s="4543"/>
      <c r="BJ167" s="4543"/>
      <c r="BK167" s="3185"/>
      <c r="BL167" s="4543"/>
      <c r="BM167" s="4543"/>
      <c r="BN167" s="4636"/>
      <c r="BO167" s="4633"/>
      <c r="BP167" s="4636"/>
      <c r="BQ167" s="4633"/>
      <c r="BR167" s="4617"/>
    </row>
    <row r="168" spans="1:70" ht="27" customHeight="1" x14ac:dyDescent="0.2">
      <c r="A168" s="1014"/>
      <c r="B168" s="1015"/>
      <c r="C168" s="1016"/>
      <c r="D168" s="1015"/>
      <c r="E168" s="1015"/>
      <c r="F168" s="1016"/>
      <c r="G168" s="1017"/>
      <c r="H168" s="1015"/>
      <c r="I168" s="1016"/>
      <c r="J168" s="4518"/>
      <c r="K168" s="4601"/>
      <c r="L168" s="4518"/>
      <c r="M168" s="4518"/>
      <c r="N168" s="4626"/>
      <c r="O168" s="1029" t="s">
        <v>959</v>
      </c>
      <c r="P168" s="4620"/>
      <c r="Q168" s="4521"/>
      <c r="R168" s="4622"/>
      <c r="S168" s="4534"/>
      <c r="T168" s="4601"/>
      <c r="U168" s="4549"/>
      <c r="V168" s="4625"/>
      <c r="W168" s="2595">
        <v>250000</v>
      </c>
      <c r="X168" s="1809">
        <v>250000</v>
      </c>
      <c r="Y168" s="1809">
        <v>767500</v>
      </c>
      <c r="Z168" s="1031">
        <v>114</v>
      </c>
      <c r="AA168" s="1033"/>
      <c r="AB168" s="4518"/>
      <c r="AC168" s="4591"/>
      <c r="AD168" s="4518">
        <v>282326</v>
      </c>
      <c r="AE168" s="4591">
        <f t="shared" si="14"/>
        <v>138339.74</v>
      </c>
      <c r="AF168" s="4518">
        <v>135912</v>
      </c>
      <c r="AG168" s="4591">
        <f t="shared" si="15"/>
        <v>66596.88</v>
      </c>
      <c r="AH168" s="4518">
        <v>45122</v>
      </c>
      <c r="AI168" s="4591">
        <f t="shared" si="16"/>
        <v>22109.78</v>
      </c>
      <c r="AJ168" s="4518">
        <v>307101</v>
      </c>
      <c r="AK168" s="4591">
        <v>150479.49</v>
      </c>
      <c r="AL168" s="4518">
        <v>86875</v>
      </c>
      <c r="AM168" s="4591">
        <v>42568.75</v>
      </c>
      <c r="AN168" s="4518">
        <v>2145</v>
      </c>
      <c r="AO168" s="4591">
        <f t="shared" si="17"/>
        <v>1051.05</v>
      </c>
      <c r="AP168" s="4518">
        <v>12718</v>
      </c>
      <c r="AQ168" s="4591">
        <f t="shared" si="18"/>
        <v>6231.82</v>
      </c>
      <c r="AR168" s="4518">
        <v>26</v>
      </c>
      <c r="AS168" s="4591">
        <f t="shared" si="19"/>
        <v>12.74</v>
      </c>
      <c r="AT168" s="4518">
        <v>37</v>
      </c>
      <c r="AU168" s="4591">
        <f t="shared" si="20"/>
        <v>18.13</v>
      </c>
      <c r="AV168" s="4518" t="s">
        <v>767</v>
      </c>
      <c r="AW168" s="4591" t="s">
        <v>767</v>
      </c>
      <c r="AX168" s="4518" t="s">
        <v>767</v>
      </c>
      <c r="AY168" s="4591" t="s">
        <v>767</v>
      </c>
      <c r="AZ168" s="4518">
        <v>53164</v>
      </c>
      <c r="BA168" s="4591">
        <f t="shared" si="21"/>
        <v>26050.36</v>
      </c>
      <c r="BB168" s="4518">
        <v>16982</v>
      </c>
      <c r="BC168" s="4591">
        <f t="shared" si="22"/>
        <v>8321.18</v>
      </c>
      <c r="BD168" s="4518">
        <v>60013</v>
      </c>
      <c r="BE168" s="4591">
        <f t="shared" si="23"/>
        <v>29406.37</v>
      </c>
      <c r="BF168" s="4518">
        <v>575010</v>
      </c>
      <c r="BG168" s="4591">
        <f t="shared" si="24"/>
        <v>281754.90000000002</v>
      </c>
      <c r="BH168" s="4543"/>
      <c r="BI168" s="4543"/>
      <c r="BJ168" s="4543"/>
      <c r="BK168" s="3185"/>
      <c r="BL168" s="4543"/>
      <c r="BM168" s="4543"/>
      <c r="BN168" s="4636"/>
      <c r="BO168" s="4633"/>
      <c r="BP168" s="4636"/>
      <c r="BQ168" s="4633"/>
      <c r="BR168" s="4617"/>
    </row>
    <row r="169" spans="1:70" ht="27.75" customHeight="1" x14ac:dyDescent="0.2">
      <c r="A169" s="1014"/>
      <c r="B169" s="1015"/>
      <c r="C169" s="1016"/>
      <c r="D169" s="1015"/>
      <c r="E169" s="1015"/>
      <c r="F169" s="1016"/>
      <c r="G169" s="1017"/>
      <c r="H169" s="1015"/>
      <c r="I169" s="1016"/>
      <c r="J169" s="4518"/>
      <c r="K169" s="4601"/>
      <c r="L169" s="4518"/>
      <c r="M169" s="4518"/>
      <c r="N169" s="4626"/>
      <c r="O169" s="1029"/>
      <c r="P169" s="4620"/>
      <c r="Q169" s="4521"/>
      <c r="R169" s="4622"/>
      <c r="S169" s="4534"/>
      <c r="T169" s="4601"/>
      <c r="U169" s="4549"/>
      <c r="V169" s="4624" t="s">
        <v>960</v>
      </c>
      <c r="W169" s="2595">
        <v>10000000</v>
      </c>
      <c r="X169" s="1809">
        <f>8003500</f>
        <v>8003500</v>
      </c>
      <c r="Y169" s="1809">
        <v>4188400</v>
      </c>
      <c r="Z169" s="1031">
        <v>61</v>
      </c>
      <c r="AA169" s="946"/>
      <c r="AB169" s="4518"/>
      <c r="AC169" s="4591"/>
      <c r="AD169" s="4518">
        <v>282326</v>
      </c>
      <c r="AE169" s="4591">
        <f t="shared" si="14"/>
        <v>138339.74</v>
      </c>
      <c r="AF169" s="4518">
        <v>135912</v>
      </c>
      <c r="AG169" s="4591">
        <f t="shared" si="15"/>
        <v>66596.88</v>
      </c>
      <c r="AH169" s="4518">
        <v>45122</v>
      </c>
      <c r="AI169" s="4591">
        <f t="shared" si="16"/>
        <v>22109.78</v>
      </c>
      <c r="AJ169" s="4518">
        <v>307101</v>
      </c>
      <c r="AK169" s="4591">
        <v>150479.49</v>
      </c>
      <c r="AL169" s="4518">
        <v>86875</v>
      </c>
      <c r="AM169" s="4591">
        <v>42568.75</v>
      </c>
      <c r="AN169" s="4518">
        <v>2145</v>
      </c>
      <c r="AO169" s="4591">
        <f t="shared" si="17"/>
        <v>1051.05</v>
      </c>
      <c r="AP169" s="4518">
        <v>12718</v>
      </c>
      <c r="AQ169" s="4591">
        <f t="shared" si="18"/>
        <v>6231.82</v>
      </c>
      <c r="AR169" s="4518">
        <v>26</v>
      </c>
      <c r="AS169" s="4591">
        <f t="shared" si="19"/>
        <v>12.74</v>
      </c>
      <c r="AT169" s="4518">
        <v>37</v>
      </c>
      <c r="AU169" s="4591">
        <f t="shared" si="20"/>
        <v>18.13</v>
      </c>
      <c r="AV169" s="4518" t="s">
        <v>767</v>
      </c>
      <c r="AW169" s="4591" t="s">
        <v>767</v>
      </c>
      <c r="AX169" s="4518" t="s">
        <v>767</v>
      </c>
      <c r="AY169" s="4591" t="s">
        <v>767</v>
      </c>
      <c r="AZ169" s="4518">
        <v>53164</v>
      </c>
      <c r="BA169" s="4591">
        <f t="shared" si="21"/>
        <v>26050.36</v>
      </c>
      <c r="BB169" s="4518">
        <v>16982</v>
      </c>
      <c r="BC169" s="4591">
        <f t="shared" si="22"/>
        <v>8321.18</v>
      </c>
      <c r="BD169" s="4518">
        <v>60013</v>
      </c>
      <c r="BE169" s="4591">
        <f t="shared" si="23"/>
        <v>29406.37</v>
      </c>
      <c r="BF169" s="4518">
        <v>575010</v>
      </c>
      <c r="BG169" s="4591">
        <f t="shared" si="24"/>
        <v>281754.90000000002</v>
      </c>
      <c r="BH169" s="4543"/>
      <c r="BI169" s="4543"/>
      <c r="BJ169" s="4543"/>
      <c r="BK169" s="3185"/>
      <c r="BL169" s="4543"/>
      <c r="BM169" s="4543"/>
      <c r="BN169" s="4636"/>
      <c r="BO169" s="4633"/>
      <c r="BP169" s="4636"/>
      <c r="BQ169" s="4633"/>
      <c r="BR169" s="4617"/>
    </row>
    <row r="170" spans="1:70" ht="24" customHeight="1" x14ac:dyDescent="0.2">
      <c r="A170" s="1014"/>
      <c r="B170" s="1015"/>
      <c r="C170" s="1016"/>
      <c r="D170" s="1015"/>
      <c r="E170" s="1015"/>
      <c r="F170" s="1016"/>
      <c r="G170" s="1017"/>
      <c r="H170" s="1015"/>
      <c r="I170" s="1016"/>
      <c r="J170" s="4518"/>
      <c r="K170" s="4601"/>
      <c r="L170" s="4518"/>
      <c r="M170" s="4518"/>
      <c r="N170" s="4626"/>
      <c r="O170" s="1029"/>
      <c r="P170" s="4620"/>
      <c r="Q170" s="4521"/>
      <c r="R170" s="4622"/>
      <c r="S170" s="4534"/>
      <c r="T170" s="4601"/>
      <c r="U170" s="4549"/>
      <c r="V170" s="4635"/>
      <c r="W170" s="2595">
        <v>40000000</v>
      </c>
      <c r="X170" s="1809">
        <f>8217000+8217000</f>
        <v>16434000</v>
      </c>
      <c r="Y170" s="1809">
        <v>3467300</v>
      </c>
      <c r="Z170" s="1031">
        <v>113</v>
      </c>
      <c r="AA170" s="1033"/>
      <c r="AB170" s="4518"/>
      <c r="AC170" s="4591"/>
      <c r="AD170" s="4518">
        <v>282326</v>
      </c>
      <c r="AE170" s="4591">
        <f t="shared" si="14"/>
        <v>138339.74</v>
      </c>
      <c r="AF170" s="4518">
        <v>135912</v>
      </c>
      <c r="AG170" s="4591">
        <f t="shared" si="15"/>
        <v>66596.88</v>
      </c>
      <c r="AH170" s="4518">
        <v>45122</v>
      </c>
      <c r="AI170" s="4591">
        <f t="shared" si="16"/>
        <v>22109.78</v>
      </c>
      <c r="AJ170" s="4518">
        <v>307101</v>
      </c>
      <c r="AK170" s="4591">
        <v>150479.49</v>
      </c>
      <c r="AL170" s="4518">
        <v>86875</v>
      </c>
      <c r="AM170" s="4591">
        <v>42568.75</v>
      </c>
      <c r="AN170" s="4518">
        <v>2145</v>
      </c>
      <c r="AO170" s="4591">
        <f t="shared" si="17"/>
        <v>1051.05</v>
      </c>
      <c r="AP170" s="4518">
        <v>12718</v>
      </c>
      <c r="AQ170" s="4591">
        <f t="shared" si="18"/>
        <v>6231.82</v>
      </c>
      <c r="AR170" s="4518">
        <v>26</v>
      </c>
      <c r="AS170" s="4591">
        <f t="shared" si="19"/>
        <v>12.74</v>
      </c>
      <c r="AT170" s="4518">
        <v>37</v>
      </c>
      <c r="AU170" s="4591">
        <f t="shared" si="20"/>
        <v>18.13</v>
      </c>
      <c r="AV170" s="4518" t="s">
        <v>767</v>
      </c>
      <c r="AW170" s="4591" t="s">
        <v>767</v>
      </c>
      <c r="AX170" s="4518" t="s">
        <v>767</v>
      </c>
      <c r="AY170" s="4591" t="s">
        <v>767</v>
      </c>
      <c r="AZ170" s="4518">
        <v>53164</v>
      </c>
      <c r="BA170" s="4591">
        <f t="shared" si="21"/>
        <v>26050.36</v>
      </c>
      <c r="BB170" s="4518">
        <v>16982</v>
      </c>
      <c r="BC170" s="4591">
        <f t="shared" si="22"/>
        <v>8321.18</v>
      </c>
      <c r="BD170" s="4518">
        <v>60013</v>
      </c>
      <c r="BE170" s="4591">
        <f t="shared" si="23"/>
        <v>29406.37</v>
      </c>
      <c r="BF170" s="4518">
        <v>575010</v>
      </c>
      <c r="BG170" s="4591">
        <f t="shared" si="24"/>
        <v>281754.90000000002</v>
      </c>
      <c r="BH170" s="4543"/>
      <c r="BI170" s="4543"/>
      <c r="BJ170" s="4543"/>
      <c r="BK170" s="3185"/>
      <c r="BL170" s="4543"/>
      <c r="BM170" s="4543"/>
      <c r="BN170" s="4636"/>
      <c r="BO170" s="4633"/>
      <c r="BP170" s="4636"/>
      <c r="BQ170" s="4633"/>
      <c r="BR170" s="4617"/>
    </row>
    <row r="171" spans="1:70" ht="25.5" customHeight="1" x14ac:dyDescent="0.2">
      <c r="A171" s="1014"/>
      <c r="B171" s="1015"/>
      <c r="C171" s="1016"/>
      <c r="D171" s="1015"/>
      <c r="E171" s="1015"/>
      <c r="F171" s="1016"/>
      <c r="G171" s="1017"/>
      <c r="H171" s="1015"/>
      <c r="I171" s="1016"/>
      <c r="J171" s="4518"/>
      <c r="K171" s="4601"/>
      <c r="L171" s="4518"/>
      <c r="M171" s="4518"/>
      <c r="N171" s="4626"/>
      <c r="O171" s="1029"/>
      <c r="P171" s="4620"/>
      <c r="Q171" s="4521"/>
      <c r="R171" s="4622"/>
      <c r="S171" s="4534"/>
      <c r="T171" s="4601"/>
      <c r="U171" s="4550"/>
      <c r="V171" s="4625"/>
      <c r="W171" s="2595">
        <v>4000000</v>
      </c>
      <c r="X171" s="1809">
        <f>2178800+1000000</f>
        <v>3178800</v>
      </c>
      <c r="Y171" s="1809">
        <v>767500</v>
      </c>
      <c r="Z171" s="1031">
        <v>114</v>
      </c>
      <c r="AA171" s="1033"/>
      <c r="AB171" s="4518"/>
      <c r="AC171" s="4591"/>
      <c r="AD171" s="4518">
        <v>282326</v>
      </c>
      <c r="AE171" s="4591">
        <f t="shared" si="14"/>
        <v>138339.74</v>
      </c>
      <c r="AF171" s="4518">
        <v>135912</v>
      </c>
      <c r="AG171" s="4591">
        <f t="shared" si="15"/>
        <v>66596.88</v>
      </c>
      <c r="AH171" s="4518">
        <v>45122</v>
      </c>
      <c r="AI171" s="4591">
        <f t="shared" si="16"/>
        <v>22109.78</v>
      </c>
      <c r="AJ171" s="4518">
        <v>307101</v>
      </c>
      <c r="AK171" s="4591">
        <v>150479.49</v>
      </c>
      <c r="AL171" s="4518">
        <v>86875</v>
      </c>
      <c r="AM171" s="4591">
        <v>42568.75</v>
      </c>
      <c r="AN171" s="4518">
        <v>2145</v>
      </c>
      <c r="AO171" s="4591">
        <f t="shared" si="17"/>
        <v>1051.05</v>
      </c>
      <c r="AP171" s="4518">
        <v>12718</v>
      </c>
      <c r="AQ171" s="4591">
        <f t="shared" si="18"/>
        <v>6231.82</v>
      </c>
      <c r="AR171" s="4518">
        <v>26</v>
      </c>
      <c r="AS171" s="4591">
        <f t="shared" si="19"/>
        <v>12.74</v>
      </c>
      <c r="AT171" s="4518">
        <v>37</v>
      </c>
      <c r="AU171" s="4591">
        <f t="shared" si="20"/>
        <v>18.13</v>
      </c>
      <c r="AV171" s="4518" t="s">
        <v>767</v>
      </c>
      <c r="AW171" s="4591" t="s">
        <v>767</v>
      </c>
      <c r="AX171" s="4518" t="s">
        <v>767</v>
      </c>
      <c r="AY171" s="4591" t="s">
        <v>767</v>
      </c>
      <c r="AZ171" s="4518">
        <v>53164</v>
      </c>
      <c r="BA171" s="4591">
        <f t="shared" si="21"/>
        <v>26050.36</v>
      </c>
      <c r="BB171" s="4518">
        <v>16982</v>
      </c>
      <c r="BC171" s="4591">
        <f t="shared" si="22"/>
        <v>8321.18</v>
      </c>
      <c r="BD171" s="4518">
        <v>60013</v>
      </c>
      <c r="BE171" s="4591">
        <f t="shared" si="23"/>
        <v>29406.37</v>
      </c>
      <c r="BF171" s="4518">
        <v>575010</v>
      </c>
      <c r="BG171" s="4591">
        <f t="shared" si="24"/>
        <v>281754.90000000002</v>
      </c>
      <c r="BH171" s="4543"/>
      <c r="BI171" s="4543"/>
      <c r="BJ171" s="4543"/>
      <c r="BK171" s="3185"/>
      <c r="BL171" s="4543"/>
      <c r="BM171" s="4543"/>
      <c r="BN171" s="4636"/>
      <c r="BO171" s="4633"/>
      <c r="BP171" s="4636"/>
      <c r="BQ171" s="4633"/>
      <c r="BR171" s="4617"/>
    </row>
    <row r="172" spans="1:70" ht="58.5" customHeight="1" x14ac:dyDescent="0.2">
      <c r="A172" s="1014"/>
      <c r="B172" s="1015"/>
      <c r="C172" s="1016"/>
      <c r="D172" s="1015"/>
      <c r="E172" s="1015"/>
      <c r="F172" s="1016"/>
      <c r="G172" s="1017"/>
      <c r="H172" s="1015"/>
      <c r="I172" s="1016"/>
      <c r="J172" s="4518"/>
      <c r="K172" s="4601"/>
      <c r="L172" s="4518"/>
      <c r="M172" s="4518"/>
      <c r="N172" s="4626"/>
      <c r="O172" s="1029"/>
      <c r="P172" s="4620"/>
      <c r="Q172" s="4521"/>
      <c r="R172" s="4622"/>
      <c r="S172" s="4534"/>
      <c r="T172" s="4601"/>
      <c r="U172" s="4520" t="s">
        <v>961</v>
      </c>
      <c r="V172" s="1034" t="s">
        <v>962</v>
      </c>
      <c r="W172" s="2595">
        <v>18000000</v>
      </c>
      <c r="X172" s="1809">
        <f>8217000</f>
        <v>8217000</v>
      </c>
      <c r="Y172" s="1809">
        <f>3467300+3012000</f>
        <v>6479300</v>
      </c>
      <c r="Z172" s="1031">
        <v>113</v>
      </c>
      <c r="AA172" s="1033" t="s">
        <v>963</v>
      </c>
      <c r="AB172" s="4518"/>
      <c r="AC172" s="4591"/>
      <c r="AD172" s="4518">
        <v>282326</v>
      </c>
      <c r="AE172" s="4591">
        <f t="shared" si="14"/>
        <v>138339.74</v>
      </c>
      <c r="AF172" s="4518">
        <v>135912</v>
      </c>
      <c r="AG172" s="4591">
        <f t="shared" si="15"/>
        <v>66596.88</v>
      </c>
      <c r="AH172" s="4518">
        <v>45122</v>
      </c>
      <c r="AI172" s="4591">
        <f t="shared" si="16"/>
        <v>22109.78</v>
      </c>
      <c r="AJ172" s="4518">
        <v>307101</v>
      </c>
      <c r="AK172" s="4591">
        <v>150479.49</v>
      </c>
      <c r="AL172" s="4518">
        <v>86875</v>
      </c>
      <c r="AM172" s="4591">
        <v>42568.75</v>
      </c>
      <c r="AN172" s="4518">
        <v>2145</v>
      </c>
      <c r="AO172" s="4591">
        <f t="shared" si="17"/>
        <v>1051.05</v>
      </c>
      <c r="AP172" s="4518">
        <v>12718</v>
      </c>
      <c r="AQ172" s="4591">
        <f t="shared" si="18"/>
        <v>6231.82</v>
      </c>
      <c r="AR172" s="4518">
        <v>26</v>
      </c>
      <c r="AS172" s="4591">
        <f t="shared" si="19"/>
        <v>12.74</v>
      </c>
      <c r="AT172" s="4518">
        <v>37</v>
      </c>
      <c r="AU172" s="4591">
        <f t="shared" si="20"/>
        <v>18.13</v>
      </c>
      <c r="AV172" s="4518" t="s">
        <v>767</v>
      </c>
      <c r="AW172" s="4591" t="s">
        <v>767</v>
      </c>
      <c r="AX172" s="4518" t="s">
        <v>767</v>
      </c>
      <c r="AY172" s="4591" t="s">
        <v>767</v>
      </c>
      <c r="AZ172" s="4518">
        <v>53164</v>
      </c>
      <c r="BA172" s="4591">
        <f t="shared" si="21"/>
        <v>26050.36</v>
      </c>
      <c r="BB172" s="4518">
        <v>16982</v>
      </c>
      <c r="BC172" s="4591">
        <f t="shared" si="22"/>
        <v>8321.18</v>
      </c>
      <c r="BD172" s="4518">
        <v>60013</v>
      </c>
      <c r="BE172" s="4591">
        <f t="shared" si="23"/>
        <v>29406.37</v>
      </c>
      <c r="BF172" s="4518">
        <v>575010</v>
      </c>
      <c r="BG172" s="4591">
        <f t="shared" si="24"/>
        <v>281754.90000000002</v>
      </c>
      <c r="BH172" s="4543"/>
      <c r="BI172" s="4543"/>
      <c r="BJ172" s="4543"/>
      <c r="BK172" s="3185"/>
      <c r="BL172" s="4543"/>
      <c r="BM172" s="4543"/>
      <c r="BN172" s="4636"/>
      <c r="BO172" s="4633"/>
      <c r="BP172" s="4636"/>
      <c r="BQ172" s="4633"/>
      <c r="BR172" s="4617"/>
    </row>
    <row r="173" spans="1:70" ht="27.75" customHeight="1" x14ac:dyDescent="0.2">
      <c r="A173" s="1014"/>
      <c r="B173" s="1015"/>
      <c r="C173" s="1016"/>
      <c r="D173" s="1015"/>
      <c r="E173" s="1015"/>
      <c r="F173" s="1016"/>
      <c r="G173" s="1017"/>
      <c r="H173" s="1015"/>
      <c r="I173" s="1016"/>
      <c r="J173" s="4518"/>
      <c r="K173" s="4601"/>
      <c r="L173" s="4518"/>
      <c r="M173" s="4518"/>
      <c r="N173" s="4626"/>
      <c r="O173" s="1029"/>
      <c r="P173" s="4620"/>
      <c r="Q173" s="4521"/>
      <c r="R173" s="4622"/>
      <c r="S173" s="4534"/>
      <c r="T173" s="4601"/>
      <c r="U173" s="4521"/>
      <c r="V173" s="4624" t="s">
        <v>964</v>
      </c>
      <c r="W173" s="2595">
        <v>9000000</v>
      </c>
      <c r="X173" s="1809">
        <f>8003500</f>
        <v>8003500</v>
      </c>
      <c r="Y173" s="1809">
        <v>4188300</v>
      </c>
      <c r="Z173" s="1031">
        <v>61</v>
      </c>
      <c r="AA173" s="1033"/>
      <c r="AB173" s="4518"/>
      <c r="AC173" s="4591"/>
      <c r="AD173" s="4518">
        <v>282326</v>
      </c>
      <c r="AE173" s="4591">
        <f t="shared" si="14"/>
        <v>138339.74</v>
      </c>
      <c r="AF173" s="4518">
        <v>135912</v>
      </c>
      <c r="AG173" s="4591">
        <f t="shared" si="15"/>
        <v>66596.88</v>
      </c>
      <c r="AH173" s="4518">
        <v>45122</v>
      </c>
      <c r="AI173" s="4591">
        <f t="shared" si="16"/>
        <v>22109.78</v>
      </c>
      <c r="AJ173" s="4518">
        <v>307101</v>
      </c>
      <c r="AK173" s="4591">
        <v>150479.49</v>
      </c>
      <c r="AL173" s="4518">
        <v>86875</v>
      </c>
      <c r="AM173" s="4591">
        <v>42568.75</v>
      </c>
      <c r="AN173" s="4518">
        <v>2145</v>
      </c>
      <c r="AO173" s="4591">
        <f t="shared" si="17"/>
        <v>1051.05</v>
      </c>
      <c r="AP173" s="4518">
        <v>12718</v>
      </c>
      <c r="AQ173" s="4591">
        <f t="shared" si="18"/>
        <v>6231.82</v>
      </c>
      <c r="AR173" s="4518">
        <v>26</v>
      </c>
      <c r="AS173" s="4591">
        <f t="shared" si="19"/>
        <v>12.74</v>
      </c>
      <c r="AT173" s="4518">
        <v>37</v>
      </c>
      <c r="AU173" s="4591">
        <f t="shared" si="20"/>
        <v>18.13</v>
      </c>
      <c r="AV173" s="4518" t="s">
        <v>767</v>
      </c>
      <c r="AW173" s="4591" t="s">
        <v>767</v>
      </c>
      <c r="AX173" s="4518" t="s">
        <v>767</v>
      </c>
      <c r="AY173" s="4591" t="s">
        <v>767</v>
      </c>
      <c r="AZ173" s="4518">
        <v>53164</v>
      </c>
      <c r="BA173" s="4591">
        <f t="shared" si="21"/>
        <v>26050.36</v>
      </c>
      <c r="BB173" s="4518">
        <v>16982</v>
      </c>
      <c r="BC173" s="4591">
        <f t="shared" si="22"/>
        <v>8321.18</v>
      </c>
      <c r="BD173" s="4518">
        <v>60013</v>
      </c>
      <c r="BE173" s="4591">
        <f t="shared" si="23"/>
        <v>29406.37</v>
      </c>
      <c r="BF173" s="4518">
        <v>575010</v>
      </c>
      <c r="BG173" s="4591">
        <f t="shared" si="24"/>
        <v>281754.90000000002</v>
      </c>
      <c r="BH173" s="4543"/>
      <c r="BI173" s="4543"/>
      <c r="BJ173" s="4543"/>
      <c r="BK173" s="3185"/>
      <c r="BL173" s="4543"/>
      <c r="BM173" s="4543"/>
      <c r="BN173" s="4636"/>
      <c r="BO173" s="4633"/>
      <c r="BP173" s="4636"/>
      <c r="BQ173" s="4633"/>
      <c r="BR173" s="4617"/>
    </row>
    <row r="174" spans="1:70" ht="26.25" customHeight="1" x14ac:dyDescent="0.2">
      <c r="A174" s="1014"/>
      <c r="B174" s="1015"/>
      <c r="C174" s="1016"/>
      <c r="D174" s="1015"/>
      <c r="E174" s="1015"/>
      <c r="F174" s="1016"/>
      <c r="G174" s="1017"/>
      <c r="H174" s="1015"/>
      <c r="I174" s="1016"/>
      <c r="J174" s="4518"/>
      <c r="K174" s="4601"/>
      <c r="L174" s="4518"/>
      <c r="M174" s="4518"/>
      <c r="N174" s="4626"/>
      <c r="O174" s="1029"/>
      <c r="P174" s="4620"/>
      <c r="Q174" s="4521"/>
      <c r="R174" s="4622"/>
      <c r="S174" s="4534"/>
      <c r="T174" s="4601"/>
      <c r="U174" s="4521"/>
      <c r="V174" s="4635"/>
      <c r="W174" s="2595">
        <v>21000000</v>
      </c>
      <c r="X174" s="1809">
        <f>8217000</f>
        <v>8217000</v>
      </c>
      <c r="Y174" s="1809">
        <f>3467300+3012000+24</f>
        <v>6479324</v>
      </c>
      <c r="Z174" s="1031">
        <v>113</v>
      </c>
      <c r="AA174" s="1033" t="s">
        <v>965</v>
      </c>
      <c r="AB174" s="4518"/>
      <c r="AC174" s="4591"/>
      <c r="AD174" s="4518">
        <v>282326</v>
      </c>
      <c r="AE174" s="4591">
        <f t="shared" si="14"/>
        <v>138339.74</v>
      </c>
      <c r="AF174" s="4518">
        <v>135912</v>
      </c>
      <c r="AG174" s="4591">
        <f t="shared" si="15"/>
        <v>66596.88</v>
      </c>
      <c r="AH174" s="4518">
        <v>45122</v>
      </c>
      <c r="AI174" s="4591">
        <f t="shared" si="16"/>
        <v>22109.78</v>
      </c>
      <c r="AJ174" s="4518">
        <v>307101</v>
      </c>
      <c r="AK174" s="4591">
        <v>150479.49</v>
      </c>
      <c r="AL174" s="4518">
        <v>86875</v>
      </c>
      <c r="AM174" s="4591">
        <v>42568.75</v>
      </c>
      <c r="AN174" s="4518">
        <v>2145</v>
      </c>
      <c r="AO174" s="4591">
        <f t="shared" si="17"/>
        <v>1051.05</v>
      </c>
      <c r="AP174" s="4518">
        <v>12718</v>
      </c>
      <c r="AQ174" s="4591">
        <f t="shared" si="18"/>
        <v>6231.82</v>
      </c>
      <c r="AR174" s="4518">
        <v>26</v>
      </c>
      <c r="AS174" s="4591">
        <f t="shared" si="19"/>
        <v>12.74</v>
      </c>
      <c r="AT174" s="4518">
        <v>37</v>
      </c>
      <c r="AU174" s="4591">
        <f t="shared" si="20"/>
        <v>18.13</v>
      </c>
      <c r="AV174" s="4518" t="s">
        <v>767</v>
      </c>
      <c r="AW174" s="4591" t="s">
        <v>767</v>
      </c>
      <c r="AX174" s="4518" t="s">
        <v>767</v>
      </c>
      <c r="AY174" s="4591" t="s">
        <v>767</v>
      </c>
      <c r="AZ174" s="4518">
        <v>53164</v>
      </c>
      <c r="BA174" s="4591">
        <f t="shared" si="21"/>
        <v>26050.36</v>
      </c>
      <c r="BB174" s="4518">
        <v>16982</v>
      </c>
      <c r="BC174" s="4591">
        <f t="shared" si="22"/>
        <v>8321.18</v>
      </c>
      <c r="BD174" s="4518">
        <v>60013</v>
      </c>
      <c r="BE174" s="4591">
        <f t="shared" si="23"/>
        <v>29406.37</v>
      </c>
      <c r="BF174" s="4518">
        <v>575010</v>
      </c>
      <c r="BG174" s="4591">
        <f t="shared" si="24"/>
        <v>281754.90000000002</v>
      </c>
      <c r="BH174" s="4543"/>
      <c r="BI174" s="4543"/>
      <c r="BJ174" s="4543"/>
      <c r="BK174" s="3185"/>
      <c r="BL174" s="4543"/>
      <c r="BM174" s="4543"/>
      <c r="BN174" s="4636"/>
      <c r="BO174" s="4633"/>
      <c r="BP174" s="4636"/>
      <c r="BQ174" s="4633"/>
      <c r="BR174" s="4617"/>
    </row>
    <row r="175" spans="1:70" ht="22.5" customHeight="1" x14ac:dyDescent="0.2">
      <c r="A175" s="1014"/>
      <c r="B175" s="1015"/>
      <c r="C175" s="1016"/>
      <c r="D175" s="1015"/>
      <c r="E175" s="1015"/>
      <c r="F175" s="1016"/>
      <c r="G175" s="1017"/>
      <c r="H175" s="1015"/>
      <c r="I175" s="1016"/>
      <c r="J175" s="4518"/>
      <c r="K175" s="4601"/>
      <c r="L175" s="4518"/>
      <c r="M175" s="4518"/>
      <c r="N175" s="4626"/>
      <c r="O175" s="1029"/>
      <c r="P175" s="4620"/>
      <c r="Q175" s="4521"/>
      <c r="R175" s="4622"/>
      <c r="S175" s="4534"/>
      <c r="T175" s="4601"/>
      <c r="U175" s="4521"/>
      <c r="V175" s="4625"/>
      <c r="W175" s="2595">
        <v>7500000</v>
      </c>
      <c r="X175" s="1809">
        <f>2178800+2357981</f>
        <v>4536781</v>
      </c>
      <c r="Y175" s="1809">
        <v>767500</v>
      </c>
      <c r="Z175" s="1031">
        <v>114</v>
      </c>
      <c r="AA175" s="1033"/>
      <c r="AB175" s="4518"/>
      <c r="AC175" s="4591"/>
      <c r="AD175" s="4518">
        <v>282326</v>
      </c>
      <c r="AE175" s="4591">
        <f t="shared" si="14"/>
        <v>138339.74</v>
      </c>
      <c r="AF175" s="4518">
        <v>135912</v>
      </c>
      <c r="AG175" s="4591">
        <f t="shared" si="15"/>
        <v>66596.88</v>
      </c>
      <c r="AH175" s="4518">
        <v>45122</v>
      </c>
      <c r="AI175" s="4591">
        <f t="shared" si="16"/>
        <v>22109.78</v>
      </c>
      <c r="AJ175" s="4518">
        <v>307101</v>
      </c>
      <c r="AK175" s="4591">
        <v>150479.49</v>
      </c>
      <c r="AL175" s="4518">
        <v>86875</v>
      </c>
      <c r="AM175" s="4591">
        <v>42568.75</v>
      </c>
      <c r="AN175" s="4518">
        <v>2145</v>
      </c>
      <c r="AO175" s="4591">
        <f t="shared" si="17"/>
        <v>1051.05</v>
      </c>
      <c r="AP175" s="4518">
        <v>12718</v>
      </c>
      <c r="AQ175" s="4591">
        <f t="shared" si="18"/>
        <v>6231.82</v>
      </c>
      <c r="AR175" s="4518">
        <v>26</v>
      </c>
      <c r="AS175" s="4591">
        <f t="shared" si="19"/>
        <v>12.74</v>
      </c>
      <c r="AT175" s="4518">
        <v>37</v>
      </c>
      <c r="AU175" s="4591">
        <f t="shared" si="20"/>
        <v>18.13</v>
      </c>
      <c r="AV175" s="4518" t="s">
        <v>767</v>
      </c>
      <c r="AW175" s="4591" t="s">
        <v>767</v>
      </c>
      <c r="AX175" s="4518" t="s">
        <v>767</v>
      </c>
      <c r="AY175" s="4591" t="s">
        <v>767</v>
      </c>
      <c r="AZ175" s="4518">
        <v>53164</v>
      </c>
      <c r="BA175" s="4591">
        <f t="shared" si="21"/>
        <v>26050.36</v>
      </c>
      <c r="BB175" s="4518">
        <v>16982</v>
      </c>
      <c r="BC175" s="4591">
        <f t="shared" si="22"/>
        <v>8321.18</v>
      </c>
      <c r="BD175" s="4518">
        <v>60013</v>
      </c>
      <c r="BE175" s="4591">
        <f t="shared" si="23"/>
        <v>29406.37</v>
      </c>
      <c r="BF175" s="4518">
        <v>575010</v>
      </c>
      <c r="BG175" s="4591">
        <f t="shared" si="24"/>
        <v>281754.90000000002</v>
      </c>
      <c r="BH175" s="4543"/>
      <c r="BI175" s="4543"/>
      <c r="BJ175" s="4543"/>
      <c r="BK175" s="3185"/>
      <c r="BL175" s="4543"/>
      <c r="BM175" s="4543"/>
      <c r="BN175" s="4636"/>
      <c r="BO175" s="4633"/>
      <c r="BP175" s="4636"/>
      <c r="BQ175" s="4633"/>
      <c r="BR175" s="4617"/>
    </row>
    <row r="176" spans="1:70" ht="31.5" customHeight="1" x14ac:dyDescent="0.2">
      <c r="A176" s="1014"/>
      <c r="B176" s="1015"/>
      <c r="C176" s="1016"/>
      <c r="D176" s="1015"/>
      <c r="E176" s="1015"/>
      <c r="F176" s="1016"/>
      <c r="G176" s="1017"/>
      <c r="H176" s="1015"/>
      <c r="I176" s="1016"/>
      <c r="J176" s="4518"/>
      <c r="K176" s="4601"/>
      <c r="L176" s="4518"/>
      <c r="M176" s="4518"/>
      <c r="N176" s="4626"/>
      <c r="O176" s="1029"/>
      <c r="P176" s="4620"/>
      <c r="Q176" s="4521"/>
      <c r="R176" s="4622"/>
      <c r="S176" s="4534"/>
      <c r="T176" s="4601"/>
      <c r="U176" s="4521"/>
      <c r="V176" s="4624" t="s">
        <v>966</v>
      </c>
      <c r="W176" s="2595">
        <v>9000000</v>
      </c>
      <c r="X176" s="1809">
        <f>8003500</f>
        <v>8003500</v>
      </c>
      <c r="Y176" s="1809">
        <v>0</v>
      </c>
      <c r="Z176" s="1031">
        <v>61</v>
      </c>
      <c r="AA176" s="1033"/>
      <c r="AB176" s="4518"/>
      <c r="AC176" s="4591"/>
      <c r="AD176" s="4518">
        <v>282326</v>
      </c>
      <c r="AE176" s="4591">
        <f t="shared" si="14"/>
        <v>138339.74</v>
      </c>
      <c r="AF176" s="4518">
        <v>135912</v>
      </c>
      <c r="AG176" s="4591">
        <f t="shared" si="15"/>
        <v>66596.88</v>
      </c>
      <c r="AH176" s="4518">
        <v>45122</v>
      </c>
      <c r="AI176" s="4591">
        <f t="shared" si="16"/>
        <v>22109.78</v>
      </c>
      <c r="AJ176" s="4518">
        <v>307101</v>
      </c>
      <c r="AK176" s="4591">
        <v>150479.49</v>
      </c>
      <c r="AL176" s="4518">
        <v>86875</v>
      </c>
      <c r="AM176" s="4591">
        <v>42568.75</v>
      </c>
      <c r="AN176" s="4518">
        <v>2145</v>
      </c>
      <c r="AO176" s="4591">
        <f t="shared" si="17"/>
        <v>1051.05</v>
      </c>
      <c r="AP176" s="4518">
        <v>12718</v>
      </c>
      <c r="AQ176" s="4591">
        <f t="shared" si="18"/>
        <v>6231.82</v>
      </c>
      <c r="AR176" s="4518">
        <v>26</v>
      </c>
      <c r="AS176" s="4591">
        <f t="shared" si="19"/>
        <v>12.74</v>
      </c>
      <c r="AT176" s="4518">
        <v>37</v>
      </c>
      <c r="AU176" s="4591">
        <f t="shared" si="20"/>
        <v>18.13</v>
      </c>
      <c r="AV176" s="4518" t="s">
        <v>767</v>
      </c>
      <c r="AW176" s="4591" t="s">
        <v>767</v>
      </c>
      <c r="AX176" s="4518" t="s">
        <v>767</v>
      </c>
      <c r="AY176" s="4591" t="s">
        <v>767</v>
      </c>
      <c r="AZ176" s="4518">
        <v>53164</v>
      </c>
      <c r="BA176" s="4591">
        <f t="shared" si="21"/>
        <v>26050.36</v>
      </c>
      <c r="BB176" s="4518">
        <v>16982</v>
      </c>
      <c r="BC176" s="4591">
        <f t="shared" si="22"/>
        <v>8321.18</v>
      </c>
      <c r="BD176" s="4518">
        <v>60013</v>
      </c>
      <c r="BE176" s="4591">
        <f t="shared" si="23"/>
        <v>29406.37</v>
      </c>
      <c r="BF176" s="4518">
        <v>575010</v>
      </c>
      <c r="BG176" s="4591">
        <f t="shared" si="24"/>
        <v>281754.90000000002</v>
      </c>
      <c r="BH176" s="4543"/>
      <c r="BI176" s="4543"/>
      <c r="BJ176" s="4543"/>
      <c r="BK176" s="3185"/>
      <c r="BL176" s="4543"/>
      <c r="BM176" s="4543"/>
      <c r="BN176" s="4636"/>
      <c r="BO176" s="4633"/>
      <c r="BP176" s="4636"/>
      <c r="BQ176" s="4633"/>
      <c r="BR176" s="4617"/>
    </row>
    <row r="177" spans="1:70" ht="31.5" customHeight="1" x14ac:dyDescent="0.2">
      <c r="A177" s="1014"/>
      <c r="B177" s="1015"/>
      <c r="C177" s="1016"/>
      <c r="D177" s="1015"/>
      <c r="E177" s="1015"/>
      <c r="F177" s="1016"/>
      <c r="G177" s="1017"/>
      <c r="H177" s="1015"/>
      <c r="I177" s="1016"/>
      <c r="J177" s="4518"/>
      <c r="K177" s="4601"/>
      <c r="L177" s="4518"/>
      <c r="M177" s="4518"/>
      <c r="N177" s="4626"/>
      <c r="O177" s="1029"/>
      <c r="P177" s="4620"/>
      <c r="Q177" s="4521"/>
      <c r="R177" s="4622"/>
      <c r="S177" s="4534"/>
      <c r="T177" s="4601"/>
      <c r="U177" s="4521"/>
      <c r="V177" s="4635"/>
      <c r="W177" s="2595">
        <v>21000000</v>
      </c>
      <c r="X177" s="1809">
        <f>2178800+2178800+381</f>
        <v>4357981</v>
      </c>
      <c r="Y177" s="1809">
        <v>4357981</v>
      </c>
      <c r="Z177" s="1031">
        <v>113</v>
      </c>
      <c r="AA177" s="1033"/>
      <c r="AB177" s="4518"/>
      <c r="AC177" s="4591"/>
      <c r="AD177" s="4518">
        <v>282326</v>
      </c>
      <c r="AE177" s="4591">
        <f t="shared" si="14"/>
        <v>138339.74</v>
      </c>
      <c r="AF177" s="4518">
        <v>135912</v>
      </c>
      <c r="AG177" s="4591">
        <f t="shared" si="15"/>
        <v>66596.88</v>
      </c>
      <c r="AH177" s="4518">
        <v>45122</v>
      </c>
      <c r="AI177" s="4591">
        <f t="shared" si="16"/>
        <v>22109.78</v>
      </c>
      <c r="AJ177" s="4518">
        <v>307101</v>
      </c>
      <c r="AK177" s="4591">
        <v>150479.49</v>
      </c>
      <c r="AL177" s="4518">
        <v>86875</v>
      </c>
      <c r="AM177" s="4591">
        <v>42568.75</v>
      </c>
      <c r="AN177" s="4518">
        <v>2145</v>
      </c>
      <c r="AO177" s="4591">
        <f t="shared" si="17"/>
        <v>1051.05</v>
      </c>
      <c r="AP177" s="4518">
        <v>12718</v>
      </c>
      <c r="AQ177" s="4591">
        <f t="shared" si="18"/>
        <v>6231.82</v>
      </c>
      <c r="AR177" s="4518">
        <v>26</v>
      </c>
      <c r="AS177" s="4591">
        <f t="shared" si="19"/>
        <v>12.74</v>
      </c>
      <c r="AT177" s="4518">
        <v>37</v>
      </c>
      <c r="AU177" s="4591">
        <f t="shared" si="20"/>
        <v>18.13</v>
      </c>
      <c r="AV177" s="4518" t="s">
        <v>767</v>
      </c>
      <c r="AW177" s="4591" t="s">
        <v>767</v>
      </c>
      <c r="AX177" s="4518" t="s">
        <v>767</v>
      </c>
      <c r="AY177" s="4591" t="s">
        <v>767</v>
      </c>
      <c r="AZ177" s="4518">
        <v>53164</v>
      </c>
      <c r="BA177" s="4591">
        <f t="shared" si="21"/>
        <v>26050.36</v>
      </c>
      <c r="BB177" s="4518">
        <v>16982</v>
      </c>
      <c r="BC177" s="4591">
        <f t="shared" si="22"/>
        <v>8321.18</v>
      </c>
      <c r="BD177" s="4518">
        <v>60013</v>
      </c>
      <c r="BE177" s="4591">
        <f t="shared" si="23"/>
        <v>29406.37</v>
      </c>
      <c r="BF177" s="4518">
        <v>575010</v>
      </c>
      <c r="BG177" s="4591">
        <f t="shared" si="24"/>
        <v>281754.90000000002</v>
      </c>
      <c r="BH177" s="4543"/>
      <c r="BI177" s="4543"/>
      <c r="BJ177" s="4543"/>
      <c r="BK177" s="3185"/>
      <c r="BL177" s="4543"/>
      <c r="BM177" s="4543"/>
      <c r="BN177" s="4636"/>
      <c r="BO177" s="4633"/>
      <c r="BP177" s="4636"/>
      <c r="BQ177" s="4633"/>
      <c r="BR177" s="4617"/>
    </row>
    <row r="178" spans="1:70" ht="28.5" customHeight="1" x14ac:dyDescent="0.2">
      <c r="A178" s="1014"/>
      <c r="B178" s="1015"/>
      <c r="C178" s="1016"/>
      <c r="D178" s="1015"/>
      <c r="E178" s="1015"/>
      <c r="F178" s="1016"/>
      <c r="G178" s="1035"/>
      <c r="H178" s="1036"/>
      <c r="I178" s="1037"/>
      <c r="J178" s="4519"/>
      <c r="K178" s="4603"/>
      <c r="L178" s="4519"/>
      <c r="M178" s="4519"/>
      <c r="N178" s="4626"/>
      <c r="O178" s="1019"/>
      <c r="P178" s="4621"/>
      <c r="Q178" s="4522"/>
      <c r="R178" s="4623"/>
      <c r="S178" s="4535"/>
      <c r="T178" s="4603"/>
      <c r="U178" s="4522"/>
      <c r="V178" s="4625"/>
      <c r="W178" s="2595">
        <v>7500000</v>
      </c>
      <c r="X178" s="1809">
        <v>2178800</v>
      </c>
      <c r="Y178" s="1809">
        <v>768000</v>
      </c>
      <c r="Z178" s="1031">
        <v>114</v>
      </c>
      <c r="AA178" s="1038"/>
      <c r="AB178" s="4519"/>
      <c r="AC178" s="4592"/>
      <c r="AD178" s="4519">
        <v>282326</v>
      </c>
      <c r="AE178" s="4592">
        <f t="shared" si="14"/>
        <v>138339.74</v>
      </c>
      <c r="AF178" s="4519">
        <v>135912</v>
      </c>
      <c r="AG178" s="4592">
        <f t="shared" si="15"/>
        <v>66596.88</v>
      </c>
      <c r="AH178" s="4519">
        <v>45122</v>
      </c>
      <c r="AI178" s="4592">
        <f t="shared" si="16"/>
        <v>22109.78</v>
      </c>
      <c r="AJ178" s="4519">
        <v>307101</v>
      </c>
      <c r="AK178" s="4592">
        <v>150479.49</v>
      </c>
      <c r="AL178" s="4519">
        <v>86875</v>
      </c>
      <c r="AM178" s="4592">
        <v>42568.75</v>
      </c>
      <c r="AN178" s="4519">
        <v>2145</v>
      </c>
      <c r="AO178" s="4592">
        <f t="shared" si="17"/>
        <v>1051.05</v>
      </c>
      <c r="AP178" s="4519">
        <v>12718</v>
      </c>
      <c r="AQ178" s="4592">
        <f t="shared" si="18"/>
        <v>6231.82</v>
      </c>
      <c r="AR178" s="4519">
        <v>26</v>
      </c>
      <c r="AS178" s="4592">
        <f t="shared" si="19"/>
        <v>12.74</v>
      </c>
      <c r="AT178" s="4519">
        <v>37</v>
      </c>
      <c r="AU178" s="4592">
        <f t="shared" si="20"/>
        <v>18.13</v>
      </c>
      <c r="AV178" s="4519" t="s">
        <v>767</v>
      </c>
      <c r="AW178" s="4592" t="s">
        <v>767</v>
      </c>
      <c r="AX178" s="4519" t="s">
        <v>767</v>
      </c>
      <c r="AY178" s="4592" t="s">
        <v>767</v>
      </c>
      <c r="AZ178" s="4519">
        <v>53164</v>
      </c>
      <c r="BA178" s="4592">
        <f t="shared" si="21"/>
        <v>26050.36</v>
      </c>
      <c r="BB178" s="4519">
        <v>16982</v>
      </c>
      <c r="BC178" s="4592">
        <f t="shared" si="22"/>
        <v>8321.18</v>
      </c>
      <c r="BD178" s="4519">
        <v>60013</v>
      </c>
      <c r="BE178" s="4592">
        <f t="shared" si="23"/>
        <v>29406.37</v>
      </c>
      <c r="BF178" s="4519">
        <v>575010</v>
      </c>
      <c r="BG178" s="4592">
        <f t="shared" si="24"/>
        <v>281754.90000000002</v>
      </c>
      <c r="BH178" s="4544"/>
      <c r="BI178" s="4544"/>
      <c r="BJ178" s="4544"/>
      <c r="BK178" s="3186"/>
      <c r="BL178" s="4544"/>
      <c r="BM178" s="4544"/>
      <c r="BN178" s="4636"/>
      <c r="BO178" s="4634"/>
      <c r="BP178" s="4636"/>
      <c r="BQ178" s="4634"/>
      <c r="BR178" s="4618"/>
    </row>
    <row r="179" spans="1:70" ht="38.25" customHeight="1" x14ac:dyDescent="0.2">
      <c r="A179" s="957"/>
      <c r="B179" s="958"/>
      <c r="C179" s="959"/>
      <c r="D179" s="958"/>
      <c r="E179" s="958"/>
      <c r="F179" s="959"/>
      <c r="G179" s="991">
        <v>41</v>
      </c>
      <c r="H179" s="963" t="s">
        <v>967</v>
      </c>
      <c r="I179" s="963"/>
      <c r="J179" s="963"/>
      <c r="K179" s="964"/>
      <c r="L179" s="963"/>
      <c r="M179" s="963"/>
      <c r="N179" s="963"/>
      <c r="O179" s="965"/>
      <c r="P179" s="992"/>
      <c r="Q179" s="964"/>
      <c r="R179" s="963"/>
      <c r="S179" s="993"/>
      <c r="T179" s="963"/>
      <c r="U179" s="964"/>
      <c r="V179" s="964"/>
      <c r="W179" s="2612"/>
      <c r="X179" s="2612"/>
      <c r="Y179" s="2612"/>
      <c r="Z179" s="1039"/>
      <c r="AA179" s="965"/>
      <c r="AB179" s="965"/>
      <c r="AC179" s="965"/>
      <c r="AD179" s="965"/>
      <c r="AE179" s="965"/>
      <c r="AF179" s="965"/>
      <c r="AG179" s="965"/>
      <c r="AH179" s="965"/>
      <c r="AI179" s="965"/>
      <c r="AJ179" s="965"/>
      <c r="AK179" s="965"/>
      <c r="AL179" s="965"/>
      <c r="AM179" s="965"/>
      <c r="AN179" s="965"/>
      <c r="AO179" s="965"/>
      <c r="AP179" s="965"/>
      <c r="AQ179" s="965"/>
      <c r="AR179" s="965"/>
      <c r="AS179" s="965"/>
      <c r="AT179" s="965"/>
      <c r="AU179" s="965"/>
      <c r="AV179" s="965"/>
      <c r="AW179" s="965"/>
      <c r="AX179" s="965"/>
      <c r="AY179" s="965"/>
      <c r="AZ179" s="965"/>
      <c r="BA179" s="965"/>
      <c r="BB179" s="965"/>
      <c r="BC179" s="965"/>
      <c r="BD179" s="965"/>
      <c r="BE179" s="965"/>
      <c r="BF179" s="965"/>
      <c r="BG179" s="965"/>
      <c r="BH179" s="965"/>
      <c r="BI179" s="965"/>
      <c r="BJ179" s="965"/>
      <c r="BK179" s="965"/>
      <c r="BL179" s="965"/>
      <c r="BM179" s="965"/>
      <c r="BN179" s="963"/>
      <c r="BO179" s="963"/>
      <c r="BP179" s="963"/>
      <c r="BQ179" s="963"/>
      <c r="BR179" s="970"/>
    </row>
    <row r="180" spans="1:70" ht="27.75" customHeight="1" x14ac:dyDescent="0.2">
      <c r="A180" s="971"/>
      <c r="B180" s="972"/>
      <c r="C180" s="973"/>
      <c r="D180" s="972"/>
      <c r="E180" s="972"/>
      <c r="F180" s="973"/>
      <c r="G180" s="974"/>
      <c r="H180" s="975"/>
      <c r="I180" s="976"/>
      <c r="J180" s="4517">
        <v>147</v>
      </c>
      <c r="K180" s="4520" t="s">
        <v>968</v>
      </c>
      <c r="L180" s="4523" t="s">
        <v>759</v>
      </c>
      <c r="M180" s="4523">
        <v>14</v>
      </c>
      <c r="N180" s="4526">
        <v>0</v>
      </c>
      <c r="O180" s="4523" t="s">
        <v>969</v>
      </c>
      <c r="P180" s="4527" t="s">
        <v>970</v>
      </c>
      <c r="Q180" s="4520" t="s">
        <v>971</v>
      </c>
      <c r="R180" s="4530">
        <f>SUM(W180:W183)/S180</f>
        <v>0.48275862068965519</v>
      </c>
      <c r="S180" s="4533">
        <f>SUM(W180:W188)</f>
        <v>29000000</v>
      </c>
      <c r="T180" s="4520" t="s">
        <v>972</v>
      </c>
      <c r="U180" s="4520" t="s">
        <v>973</v>
      </c>
      <c r="V180" s="4624" t="s">
        <v>974</v>
      </c>
      <c r="W180" s="2595">
        <v>6000000</v>
      </c>
      <c r="X180" s="1809">
        <v>6000000</v>
      </c>
      <c r="Y180" s="1809">
        <v>1072000</v>
      </c>
      <c r="Z180" s="1040">
        <v>61</v>
      </c>
      <c r="AA180" s="1041" t="s">
        <v>975</v>
      </c>
      <c r="AB180" s="4523">
        <v>292684</v>
      </c>
      <c r="AC180" s="4523">
        <v>0</v>
      </c>
      <c r="AD180" s="4523">
        <v>282326</v>
      </c>
      <c r="AE180" s="4523">
        <v>0</v>
      </c>
      <c r="AF180" s="4542">
        <v>135912</v>
      </c>
      <c r="AG180" s="4523">
        <v>0</v>
      </c>
      <c r="AH180" s="4542">
        <v>45122</v>
      </c>
      <c r="AI180" s="4523">
        <v>0</v>
      </c>
      <c r="AJ180" s="4542">
        <f>AJ155</f>
        <v>307101</v>
      </c>
      <c r="AK180" s="4523">
        <v>0</v>
      </c>
      <c r="AL180" s="4542">
        <f>AL155</f>
        <v>86875</v>
      </c>
      <c r="AM180" s="4523">
        <v>0</v>
      </c>
      <c r="AN180" s="4542">
        <v>2145</v>
      </c>
      <c r="AO180" s="4523">
        <v>0</v>
      </c>
      <c r="AP180" s="4542">
        <v>12718</v>
      </c>
      <c r="AQ180" s="4523">
        <v>0</v>
      </c>
      <c r="AR180" s="4542">
        <v>26</v>
      </c>
      <c r="AS180" s="4523">
        <v>0</v>
      </c>
      <c r="AT180" s="4542">
        <v>37</v>
      </c>
      <c r="AU180" s="4523">
        <v>0</v>
      </c>
      <c r="AV180" s="4542" t="s">
        <v>767</v>
      </c>
      <c r="AW180" s="4542" t="s">
        <v>767</v>
      </c>
      <c r="AX180" s="4542" t="s">
        <v>767</v>
      </c>
      <c r="AY180" s="4542" t="s">
        <v>767</v>
      </c>
      <c r="AZ180" s="4542">
        <v>53164</v>
      </c>
      <c r="BA180" s="4523">
        <v>0</v>
      </c>
      <c r="BB180" s="4542">
        <v>16982</v>
      </c>
      <c r="BC180" s="4523">
        <v>0</v>
      </c>
      <c r="BD180" s="4542">
        <v>60013</v>
      </c>
      <c r="BE180" s="4523">
        <v>0</v>
      </c>
      <c r="BF180" s="4542">
        <v>575010</v>
      </c>
      <c r="BG180" s="4523">
        <v>0</v>
      </c>
      <c r="BH180" s="4542">
        <v>2</v>
      </c>
      <c r="BI180" s="4568">
        <f>SUM(X180:X188)</f>
        <v>16960000</v>
      </c>
      <c r="BJ180" s="4568">
        <f>SUM(Y180:Y188)</f>
        <v>10176000</v>
      </c>
      <c r="BK180" s="3184">
        <f>+BJ180/BI180</f>
        <v>0.6</v>
      </c>
      <c r="BL180" s="4542"/>
      <c r="BM180" s="4542"/>
      <c r="BN180" s="4553">
        <v>43467</v>
      </c>
      <c r="BO180" s="1042"/>
      <c r="BP180" s="4553">
        <v>43830</v>
      </c>
      <c r="BQ180" s="1043"/>
      <c r="BR180" s="4556" t="s">
        <v>770</v>
      </c>
    </row>
    <row r="181" spans="1:70" ht="24" customHeight="1" x14ac:dyDescent="0.2">
      <c r="A181" s="971"/>
      <c r="B181" s="972"/>
      <c r="C181" s="973"/>
      <c r="D181" s="972"/>
      <c r="E181" s="972"/>
      <c r="F181" s="973"/>
      <c r="G181" s="979"/>
      <c r="H181" s="972"/>
      <c r="I181" s="973"/>
      <c r="J181" s="4518"/>
      <c r="K181" s="4521"/>
      <c r="L181" s="4524"/>
      <c r="M181" s="4524"/>
      <c r="N181" s="4526"/>
      <c r="O181" s="4524"/>
      <c r="P181" s="4528"/>
      <c r="Q181" s="4521"/>
      <c r="R181" s="4531"/>
      <c r="S181" s="4534"/>
      <c r="T181" s="4521"/>
      <c r="U181" s="4521"/>
      <c r="V181" s="4625"/>
      <c r="W181" s="2595">
        <v>4000000</v>
      </c>
      <c r="X181" s="2595">
        <v>0</v>
      </c>
      <c r="Y181" s="2595">
        <v>0</v>
      </c>
      <c r="Z181" s="1044">
        <v>98</v>
      </c>
      <c r="AA181" s="1021" t="s">
        <v>976</v>
      </c>
      <c r="AB181" s="4524"/>
      <c r="AC181" s="4524"/>
      <c r="AD181" s="4524"/>
      <c r="AE181" s="4524"/>
      <c r="AF181" s="4543"/>
      <c r="AG181" s="4524"/>
      <c r="AH181" s="4543"/>
      <c r="AI181" s="4524"/>
      <c r="AJ181" s="4543"/>
      <c r="AK181" s="4524"/>
      <c r="AL181" s="4543"/>
      <c r="AM181" s="4524"/>
      <c r="AN181" s="4543"/>
      <c r="AO181" s="4524"/>
      <c r="AP181" s="4543"/>
      <c r="AQ181" s="4524"/>
      <c r="AR181" s="4543"/>
      <c r="AS181" s="4524"/>
      <c r="AT181" s="4543"/>
      <c r="AU181" s="4524"/>
      <c r="AV181" s="4543"/>
      <c r="AW181" s="4543"/>
      <c r="AX181" s="4543"/>
      <c r="AY181" s="4543"/>
      <c r="AZ181" s="4543"/>
      <c r="BA181" s="4524"/>
      <c r="BB181" s="4543"/>
      <c r="BC181" s="4524"/>
      <c r="BD181" s="4543"/>
      <c r="BE181" s="4524"/>
      <c r="BF181" s="4543"/>
      <c r="BG181" s="4524"/>
      <c r="BH181" s="4543"/>
      <c r="BI181" s="4543"/>
      <c r="BJ181" s="4543"/>
      <c r="BK181" s="3185"/>
      <c r="BL181" s="4543"/>
      <c r="BM181" s="4543"/>
      <c r="BN181" s="4554"/>
      <c r="BO181" s="1045"/>
      <c r="BP181" s="4554"/>
      <c r="BQ181" s="1046"/>
      <c r="BR181" s="4557"/>
    </row>
    <row r="182" spans="1:70" ht="57" x14ac:dyDescent="0.2">
      <c r="A182" s="971"/>
      <c r="B182" s="972"/>
      <c r="C182" s="973"/>
      <c r="D182" s="972"/>
      <c r="E182" s="972"/>
      <c r="F182" s="973"/>
      <c r="G182" s="979"/>
      <c r="H182" s="972"/>
      <c r="I182" s="973"/>
      <c r="J182" s="4518"/>
      <c r="K182" s="4521"/>
      <c r="L182" s="4524"/>
      <c r="M182" s="4524"/>
      <c r="N182" s="4526"/>
      <c r="O182" s="4524"/>
      <c r="P182" s="4528"/>
      <c r="Q182" s="4521"/>
      <c r="R182" s="4531"/>
      <c r="S182" s="4534"/>
      <c r="T182" s="4521"/>
      <c r="U182" s="4521"/>
      <c r="V182" s="1034" t="s">
        <v>977</v>
      </c>
      <c r="W182" s="2595">
        <v>2000000</v>
      </c>
      <c r="X182" s="1809">
        <v>2000000</v>
      </c>
      <c r="Y182" s="1809">
        <v>1072000</v>
      </c>
      <c r="Z182" s="1040">
        <v>61</v>
      </c>
      <c r="AA182" s="1041" t="s">
        <v>975</v>
      </c>
      <c r="AB182" s="4524"/>
      <c r="AC182" s="4524"/>
      <c r="AD182" s="4524"/>
      <c r="AE182" s="4524"/>
      <c r="AF182" s="4543"/>
      <c r="AG182" s="4524"/>
      <c r="AH182" s="4543"/>
      <c r="AI182" s="4524"/>
      <c r="AJ182" s="4543"/>
      <c r="AK182" s="4524"/>
      <c r="AL182" s="4543"/>
      <c r="AM182" s="4524"/>
      <c r="AN182" s="4543"/>
      <c r="AO182" s="4524"/>
      <c r="AP182" s="4543"/>
      <c r="AQ182" s="4524"/>
      <c r="AR182" s="4543"/>
      <c r="AS182" s="4524"/>
      <c r="AT182" s="4543"/>
      <c r="AU182" s="4524"/>
      <c r="AV182" s="4543"/>
      <c r="AW182" s="4543"/>
      <c r="AX182" s="4543"/>
      <c r="AY182" s="4543"/>
      <c r="AZ182" s="4543"/>
      <c r="BA182" s="4524"/>
      <c r="BB182" s="4543"/>
      <c r="BC182" s="4524"/>
      <c r="BD182" s="4543"/>
      <c r="BE182" s="4524"/>
      <c r="BF182" s="4543"/>
      <c r="BG182" s="4524"/>
      <c r="BH182" s="4543"/>
      <c r="BI182" s="4543"/>
      <c r="BJ182" s="4543"/>
      <c r="BK182" s="3185"/>
      <c r="BL182" s="4543"/>
      <c r="BM182" s="4543"/>
      <c r="BN182" s="4554"/>
      <c r="BO182" s="1045"/>
      <c r="BP182" s="4554"/>
      <c r="BQ182" s="1046"/>
      <c r="BR182" s="4557"/>
    </row>
    <row r="183" spans="1:70" ht="42.75" x14ac:dyDescent="0.2">
      <c r="A183" s="971"/>
      <c r="B183" s="972"/>
      <c r="C183" s="973"/>
      <c r="D183" s="972"/>
      <c r="E183" s="972"/>
      <c r="F183" s="973"/>
      <c r="G183" s="979"/>
      <c r="H183" s="972"/>
      <c r="I183" s="973"/>
      <c r="J183" s="4519"/>
      <c r="K183" s="4522"/>
      <c r="L183" s="4525"/>
      <c r="M183" s="4525"/>
      <c r="N183" s="4526"/>
      <c r="O183" s="4524"/>
      <c r="P183" s="4528"/>
      <c r="Q183" s="4521"/>
      <c r="R183" s="4532"/>
      <c r="S183" s="4534"/>
      <c r="T183" s="4521"/>
      <c r="U183" s="4522"/>
      <c r="V183" s="1034" t="s">
        <v>978</v>
      </c>
      <c r="W183" s="2595">
        <v>2000000</v>
      </c>
      <c r="X183" s="1809">
        <v>2000000</v>
      </c>
      <c r="Y183" s="1809">
        <v>1072000</v>
      </c>
      <c r="Z183" s="1040">
        <v>61</v>
      </c>
      <c r="AA183" s="1041" t="s">
        <v>975</v>
      </c>
      <c r="AB183" s="4524"/>
      <c r="AC183" s="4524"/>
      <c r="AD183" s="4524"/>
      <c r="AE183" s="4524"/>
      <c r="AF183" s="4543"/>
      <c r="AG183" s="4524"/>
      <c r="AH183" s="4543"/>
      <c r="AI183" s="4524"/>
      <c r="AJ183" s="4543"/>
      <c r="AK183" s="4524"/>
      <c r="AL183" s="4543"/>
      <c r="AM183" s="4524"/>
      <c r="AN183" s="4543"/>
      <c r="AO183" s="4524"/>
      <c r="AP183" s="4543"/>
      <c r="AQ183" s="4524"/>
      <c r="AR183" s="4543"/>
      <c r="AS183" s="4524"/>
      <c r="AT183" s="4543"/>
      <c r="AU183" s="4524"/>
      <c r="AV183" s="4543"/>
      <c r="AW183" s="4543"/>
      <c r="AX183" s="4543"/>
      <c r="AY183" s="4543"/>
      <c r="AZ183" s="4543"/>
      <c r="BA183" s="4524"/>
      <c r="BB183" s="4543"/>
      <c r="BC183" s="4524"/>
      <c r="BD183" s="4543"/>
      <c r="BE183" s="4524"/>
      <c r="BF183" s="4543"/>
      <c r="BG183" s="4524"/>
      <c r="BH183" s="4543"/>
      <c r="BI183" s="4543"/>
      <c r="BJ183" s="4543"/>
      <c r="BK183" s="3185"/>
      <c r="BL183" s="4543"/>
      <c r="BM183" s="4543"/>
      <c r="BN183" s="4554"/>
      <c r="BO183" s="1045"/>
      <c r="BP183" s="4554"/>
      <c r="BQ183" s="1046"/>
      <c r="BR183" s="4557"/>
    </row>
    <row r="184" spans="1:70" ht="34.5" customHeight="1" x14ac:dyDescent="0.2">
      <c r="A184" s="971"/>
      <c r="B184" s="972"/>
      <c r="C184" s="973"/>
      <c r="D184" s="972"/>
      <c r="E184" s="972"/>
      <c r="F184" s="973"/>
      <c r="G184" s="979"/>
      <c r="H184" s="972"/>
      <c r="I184" s="973"/>
      <c r="J184" s="4517">
        <v>148</v>
      </c>
      <c r="K184" s="4520" t="s">
        <v>979</v>
      </c>
      <c r="L184" s="4523" t="s">
        <v>759</v>
      </c>
      <c r="M184" s="4523">
        <v>11</v>
      </c>
      <c r="N184" s="4526">
        <v>0</v>
      </c>
      <c r="O184" s="4524"/>
      <c r="P184" s="4528"/>
      <c r="Q184" s="4521"/>
      <c r="R184" s="4530">
        <f>SUM(W184:W188)/S180</f>
        <v>0.51724137931034486</v>
      </c>
      <c r="S184" s="4534"/>
      <c r="T184" s="4521"/>
      <c r="U184" s="4520" t="s">
        <v>980</v>
      </c>
      <c r="V184" s="4624" t="s">
        <v>981</v>
      </c>
      <c r="W184" s="2595">
        <v>7000000</v>
      </c>
      <c r="X184" s="1809">
        <v>3960000</v>
      </c>
      <c r="Y184" s="1809">
        <v>3960000</v>
      </c>
      <c r="Z184" s="1040">
        <v>61</v>
      </c>
      <c r="AA184" s="1041" t="s">
        <v>975</v>
      </c>
      <c r="AB184" s="4524"/>
      <c r="AC184" s="4524"/>
      <c r="AD184" s="4524"/>
      <c r="AE184" s="4524"/>
      <c r="AF184" s="4543"/>
      <c r="AG184" s="4524"/>
      <c r="AH184" s="4543"/>
      <c r="AI184" s="4524"/>
      <c r="AJ184" s="4543"/>
      <c r="AK184" s="4524"/>
      <c r="AL184" s="4543"/>
      <c r="AM184" s="4524"/>
      <c r="AN184" s="4543"/>
      <c r="AO184" s="4524"/>
      <c r="AP184" s="4543"/>
      <c r="AQ184" s="4524"/>
      <c r="AR184" s="4543"/>
      <c r="AS184" s="4524"/>
      <c r="AT184" s="4543"/>
      <c r="AU184" s="4524"/>
      <c r="AV184" s="4543"/>
      <c r="AW184" s="4543"/>
      <c r="AX184" s="4543"/>
      <c r="AY184" s="4543"/>
      <c r="AZ184" s="4543"/>
      <c r="BA184" s="4524"/>
      <c r="BB184" s="4543"/>
      <c r="BC184" s="4524"/>
      <c r="BD184" s="4543"/>
      <c r="BE184" s="4524"/>
      <c r="BF184" s="4543"/>
      <c r="BG184" s="4524"/>
      <c r="BH184" s="4543"/>
      <c r="BI184" s="4543"/>
      <c r="BJ184" s="4543"/>
      <c r="BK184" s="3185"/>
      <c r="BL184" s="4543"/>
      <c r="BM184" s="4543"/>
      <c r="BN184" s="4554"/>
      <c r="BO184" s="1045"/>
      <c r="BP184" s="4554"/>
      <c r="BQ184" s="1046"/>
      <c r="BR184" s="4557"/>
    </row>
    <row r="185" spans="1:70" ht="39" customHeight="1" x14ac:dyDescent="0.2">
      <c r="A185" s="971"/>
      <c r="B185" s="972"/>
      <c r="C185" s="973"/>
      <c r="D185" s="972"/>
      <c r="E185" s="972"/>
      <c r="F185" s="973"/>
      <c r="G185" s="979"/>
      <c r="H185" s="972"/>
      <c r="I185" s="973"/>
      <c r="J185" s="4518"/>
      <c r="K185" s="4521"/>
      <c r="L185" s="4524"/>
      <c r="M185" s="4524"/>
      <c r="N185" s="4526"/>
      <c r="O185" s="4524"/>
      <c r="P185" s="4528"/>
      <c r="Q185" s="4521"/>
      <c r="R185" s="4531"/>
      <c r="S185" s="4534"/>
      <c r="T185" s="4521"/>
      <c r="U185" s="4521"/>
      <c r="V185" s="4625"/>
      <c r="W185" s="2595">
        <v>5000000</v>
      </c>
      <c r="X185" s="2595">
        <v>0</v>
      </c>
      <c r="Y185" s="2595">
        <v>0</v>
      </c>
      <c r="Z185" s="1044">
        <v>98</v>
      </c>
      <c r="AA185" s="1021" t="s">
        <v>976</v>
      </c>
      <c r="AB185" s="4524"/>
      <c r="AC185" s="4524"/>
      <c r="AD185" s="4524"/>
      <c r="AE185" s="4524"/>
      <c r="AF185" s="4543"/>
      <c r="AG185" s="4524"/>
      <c r="AH185" s="4543"/>
      <c r="AI185" s="4524"/>
      <c r="AJ185" s="4543"/>
      <c r="AK185" s="4524"/>
      <c r="AL185" s="4543"/>
      <c r="AM185" s="4524"/>
      <c r="AN185" s="4543"/>
      <c r="AO185" s="4524"/>
      <c r="AP185" s="4543"/>
      <c r="AQ185" s="4524"/>
      <c r="AR185" s="4543"/>
      <c r="AS185" s="4524"/>
      <c r="AT185" s="4543"/>
      <c r="AU185" s="4524"/>
      <c r="AV185" s="4543"/>
      <c r="AW185" s="4543"/>
      <c r="AX185" s="4543"/>
      <c r="AY185" s="4543"/>
      <c r="AZ185" s="4543"/>
      <c r="BA185" s="4524"/>
      <c r="BB185" s="4543"/>
      <c r="BC185" s="4524"/>
      <c r="BD185" s="4543"/>
      <c r="BE185" s="4524"/>
      <c r="BF185" s="4543"/>
      <c r="BG185" s="4524"/>
      <c r="BH185" s="4543"/>
      <c r="BI185" s="4543"/>
      <c r="BJ185" s="4543"/>
      <c r="BK185" s="3185"/>
      <c r="BL185" s="4543"/>
      <c r="BM185" s="4543"/>
      <c r="BN185" s="4554"/>
      <c r="BO185" s="1045"/>
      <c r="BP185" s="4554"/>
      <c r="BQ185" s="1046"/>
      <c r="BR185" s="4557"/>
    </row>
    <row r="186" spans="1:70" ht="42.75" x14ac:dyDescent="0.2">
      <c r="A186" s="971"/>
      <c r="B186" s="972"/>
      <c r="C186" s="973"/>
      <c r="D186" s="972"/>
      <c r="E186" s="972"/>
      <c r="F186" s="973"/>
      <c r="G186" s="979"/>
      <c r="H186" s="972"/>
      <c r="I186" s="973"/>
      <c r="J186" s="4518"/>
      <c r="K186" s="4521"/>
      <c r="L186" s="4524"/>
      <c r="M186" s="4524"/>
      <c r="N186" s="4526"/>
      <c r="O186" s="4524"/>
      <c r="P186" s="4528"/>
      <c r="Q186" s="4521"/>
      <c r="R186" s="4531"/>
      <c r="S186" s="4534"/>
      <c r="T186" s="4521"/>
      <c r="U186" s="4521"/>
      <c r="V186" s="1034" t="s">
        <v>982</v>
      </c>
      <c r="W186" s="2595">
        <v>1000000</v>
      </c>
      <c r="X186" s="1809">
        <v>1000000</v>
      </c>
      <c r="Y186" s="1809">
        <v>1000000</v>
      </c>
      <c r="Z186" s="1040">
        <v>61</v>
      </c>
      <c r="AA186" s="1041" t="s">
        <v>975</v>
      </c>
      <c r="AB186" s="4524"/>
      <c r="AC186" s="4524"/>
      <c r="AD186" s="4524"/>
      <c r="AE186" s="4524"/>
      <c r="AF186" s="4543"/>
      <c r="AG186" s="4524"/>
      <c r="AH186" s="4543"/>
      <c r="AI186" s="4524"/>
      <c r="AJ186" s="4543"/>
      <c r="AK186" s="4524"/>
      <c r="AL186" s="4543"/>
      <c r="AM186" s="4524"/>
      <c r="AN186" s="4543"/>
      <c r="AO186" s="4524"/>
      <c r="AP186" s="4543"/>
      <c r="AQ186" s="4524"/>
      <c r="AR186" s="4543"/>
      <c r="AS186" s="4524"/>
      <c r="AT186" s="4543"/>
      <c r="AU186" s="4524"/>
      <c r="AV186" s="4543"/>
      <c r="AW186" s="4543"/>
      <c r="AX186" s="4543"/>
      <c r="AY186" s="4543"/>
      <c r="AZ186" s="4543"/>
      <c r="BA186" s="4524"/>
      <c r="BB186" s="4543"/>
      <c r="BC186" s="4524"/>
      <c r="BD186" s="4543"/>
      <c r="BE186" s="4524"/>
      <c r="BF186" s="4543"/>
      <c r="BG186" s="4524"/>
      <c r="BH186" s="4543"/>
      <c r="BI186" s="4543"/>
      <c r="BJ186" s="4543"/>
      <c r="BK186" s="3185"/>
      <c r="BL186" s="4543"/>
      <c r="BM186" s="4543"/>
      <c r="BN186" s="4554"/>
      <c r="BO186" s="1045"/>
      <c r="BP186" s="4554"/>
      <c r="BQ186" s="1046"/>
      <c r="BR186" s="4557"/>
    </row>
    <row r="187" spans="1:70" ht="42.75" x14ac:dyDescent="0.2">
      <c r="A187" s="971"/>
      <c r="B187" s="972"/>
      <c r="C187" s="973"/>
      <c r="D187" s="972"/>
      <c r="E187" s="972"/>
      <c r="F187" s="973"/>
      <c r="G187" s="979"/>
      <c r="H187" s="972"/>
      <c r="I187" s="973"/>
      <c r="J187" s="4518"/>
      <c r="K187" s="4521"/>
      <c r="L187" s="4524"/>
      <c r="M187" s="4524"/>
      <c r="N187" s="4526"/>
      <c r="O187" s="4524"/>
      <c r="P187" s="4528"/>
      <c r="Q187" s="4521"/>
      <c r="R187" s="4531"/>
      <c r="S187" s="4534"/>
      <c r="T187" s="4521"/>
      <c r="U187" s="4521"/>
      <c r="V187" s="1034" t="s">
        <v>983</v>
      </c>
      <c r="W187" s="2595">
        <v>1000000</v>
      </c>
      <c r="X187" s="1809">
        <v>1000000</v>
      </c>
      <c r="Y187" s="1809">
        <v>1000000</v>
      </c>
      <c r="Z187" s="1040">
        <v>61</v>
      </c>
      <c r="AA187" s="1041" t="s">
        <v>975</v>
      </c>
      <c r="AB187" s="4524"/>
      <c r="AC187" s="4524"/>
      <c r="AD187" s="4524"/>
      <c r="AE187" s="4524"/>
      <c r="AF187" s="4543"/>
      <c r="AG187" s="4524"/>
      <c r="AH187" s="4543"/>
      <c r="AI187" s="4524"/>
      <c r="AJ187" s="4543"/>
      <c r="AK187" s="4524"/>
      <c r="AL187" s="4543"/>
      <c r="AM187" s="4524"/>
      <c r="AN187" s="4543"/>
      <c r="AO187" s="4524"/>
      <c r="AP187" s="4543"/>
      <c r="AQ187" s="4524"/>
      <c r="AR187" s="4543"/>
      <c r="AS187" s="4524"/>
      <c r="AT187" s="4543"/>
      <c r="AU187" s="4524"/>
      <c r="AV187" s="4543"/>
      <c r="AW187" s="4543"/>
      <c r="AX187" s="4543"/>
      <c r="AY187" s="4543"/>
      <c r="AZ187" s="4543"/>
      <c r="BA187" s="4524"/>
      <c r="BB187" s="4543"/>
      <c r="BC187" s="4524"/>
      <c r="BD187" s="4543"/>
      <c r="BE187" s="4524"/>
      <c r="BF187" s="4543"/>
      <c r="BG187" s="4524"/>
      <c r="BH187" s="4543"/>
      <c r="BI187" s="4543"/>
      <c r="BJ187" s="4543"/>
      <c r="BK187" s="3185"/>
      <c r="BL187" s="4543"/>
      <c r="BM187" s="4543"/>
      <c r="BN187" s="4554"/>
      <c r="BO187" s="1045"/>
      <c r="BP187" s="4554"/>
      <c r="BQ187" s="1046"/>
      <c r="BR187" s="4557"/>
    </row>
    <row r="188" spans="1:70" ht="71.25" x14ac:dyDescent="0.2">
      <c r="A188" s="971"/>
      <c r="B188" s="972"/>
      <c r="C188" s="973"/>
      <c r="D188" s="972"/>
      <c r="E188" s="972"/>
      <c r="F188" s="973"/>
      <c r="G188" s="983"/>
      <c r="H188" s="981"/>
      <c r="I188" s="982"/>
      <c r="J188" s="4519"/>
      <c r="K188" s="4522"/>
      <c r="L188" s="4525"/>
      <c r="M188" s="4525"/>
      <c r="N188" s="4526"/>
      <c r="O188" s="4525"/>
      <c r="P188" s="4529"/>
      <c r="Q188" s="4522"/>
      <c r="R188" s="4532"/>
      <c r="S188" s="4535"/>
      <c r="T188" s="4522"/>
      <c r="U188" s="4522"/>
      <c r="V188" s="1034" t="s">
        <v>984</v>
      </c>
      <c r="W188" s="2595">
        <v>1000000</v>
      </c>
      <c r="X188" s="1809">
        <v>1000000</v>
      </c>
      <c r="Y188" s="1809">
        <v>1000000</v>
      </c>
      <c r="Z188" s="1040">
        <v>61</v>
      </c>
      <c r="AA188" s="1041" t="s">
        <v>975</v>
      </c>
      <c r="AB188" s="4525"/>
      <c r="AC188" s="4525"/>
      <c r="AD188" s="4525"/>
      <c r="AE188" s="4525"/>
      <c r="AF188" s="4544"/>
      <c r="AG188" s="4525"/>
      <c r="AH188" s="4544"/>
      <c r="AI188" s="4525"/>
      <c r="AJ188" s="4544"/>
      <c r="AK188" s="4525"/>
      <c r="AL188" s="4544"/>
      <c r="AM188" s="4525"/>
      <c r="AN188" s="4544"/>
      <c r="AO188" s="4525"/>
      <c r="AP188" s="4544"/>
      <c r="AQ188" s="4525"/>
      <c r="AR188" s="4544"/>
      <c r="AS188" s="4525"/>
      <c r="AT188" s="4544"/>
      <c r="AU188" s="4525"/>
      <c r="AV188" s="4544"/>
      <c r="AW188" s="4544"/>
      <c r="AX188" s="4544"/>
      <c r="AY188" s="4544"/>
      <c r="AZ188" s="4544"/>
      <c r="BA188" s="4525"/>
      <c r="BB188" s="4544"/>
      <c r="BC188" s="4525"/>
      <c r="BD188" s="4544"/>
      <c r="BE188" s="4525"/>
      <c r="BF188" s="4544"/>
      <c r="BG188" s="4525"/>
      <c r="BH188" s="4544"/>
      <c r="BI188" s="4544"/>
      <c r="BJ188" s="4544"/>
      <c r="BK188" s="3186"/>
      <c r="BL188" s="4544"/>
      <c r="BM188" s="4544"/>
      <c r="BN188" s="4555"/>
      <c r="BO188" s="1047"/>
      <c r="BP188" s="4555"/>
      <c r="BQ188" s="1048"/>
      <c r="BR188" s="4558"/>
    </row>
    <row r="189" spans="1:70" ht="36" customHeight="1" x14ac:dyDescent="0.2">
      <c r="A189" s="957"/>
      <c r="B189" s="958"/>
      <c r="C189" s="959"/>
      <c r="D189" s="958"/>
      <c r="E189" s="958"/>
      <c r="F189" s="959"/>
      <c r="G189" s="991">
        <v>42</v>
      </c>
      <c r="H189" s="963" t="s">
        <v>985</v>
      </c>
      <c r="I189" s="963"/>
      <c r="J189" s="963"/>
      <c r="K189" s="964"/>
      <c r="L189" s="963"/>
      <c r="M189" s="963"/>
      <c r="N189" s="963"/>
      <c r="O189" s="965"/>
      <c r="P189" s="992"/>
      <c r="Q189" s="964"/>
      <c r="R189" s="963"/>
      <c r="S189" s="993"/>
      <c r="T189" s="963"/>
      <c r="U189" s="964"/>
      <c r="V189" s="964"/>
      <c r="W189" s="2607"/>
      <c r="X189" s="2607"/>
      <c r="Y189" s="2607"/>
      <c r="Z189" s="994"/>
      <c r="AA189" s="965"/>
      <c r="AB189" s="965"/>
      <c r="AC189" s="965"/>
      <c r="AD189" s="965"/>
      <c r="AE189" s="965"/>
      <c r="AF189" s="965"/>
      <c r="AG189" s="965"/>
      <c r="AH189" s="965"/>
      <c r="AI189" s="965"/>
      <c r="AJ189" s="965"/>
      <c r="AK189" s="965"/>
      <c r="AL189" s="965"/>
      <c r="AM189" s="965"/>
      <c r="AN189" s="965"/>
      <c r="AO189" s="965"/>
      <c r="AP189" s="965"/>
      <c r="AQ189" s="965"/>
      <c r="AR189" s="965"/>
      <c r="AS189" s="965"/>
      <c r="AT189" s="965"/>
      <c r="AU189" s="965"/>
      <c r="AV189" s="965"/>
      <c r="AW189" s="965"/>
      <c r="AX189" s="965"/>
      <c r="AY189" s="965"/>
      <c r="AZ189" s="965"/>
      <c r="BA189" s="965"/>
      <c r="BB189" s="965"/>
      <c r="BC189" s="965"/>
      <c r="BD189" s="965"/>
      <c r="BE189" s="965"/>
      <c r="BF189" s="965"/>
      <c r="BG189" s="965"/>
      <c r="BH189" s="965"/>
      <c r="BI189" s="965"/>
      <c r="BJ189" s="965"/>
      <c r="BK189" s="1049"/>
      <c r="BL189" s="965"/>
      <c r="BM189" s="965"/>
      <c r="BN189" s="963"/>
      <c r="BO189" s="963"/>
      <c r="BP189" s="963"/>
      <c r="BQ189" s="963"/>
      <c r="BR189" s="970"/>
    </row>
    <row r="190" spans="1:70" ht="81" customHeight="1" x14ac:dyDescent="0.2">
      <c r="A190" s="971"/>
      <c r="B190" s="972"/>
      <c r="C190" s="973"/>
      <c r="D190" s="972"/>
      <c r="E190" s="972"/>
      <c r="F190" s="973"/>
      <c r="G190" s="974"/>
      <c r="H190" s="975"/>
      <c r="I190" s="976"/>
      <c r="J190" s="4517">
        <v>149</v>
      </c>
      <c r="K190" s="4520" t="s">
        <v>986</v>
      </c>
      <c r="L190" s="4523" t="s">
        <v>759</v>
      </c>
      <c r="M190" s="4523">
        <v>8</v>
      </c>
      <c r="N190" s="4526">
        <v>6</v>
      </c>
      <c r="O190" s="4523" t="s">
        <v>987</v>
      </c>
      <c r="P190" s="4527" t="s">
        <v>988</v>
      </c>
      <c r="Q190" s="4520" t="s">
        <v>989</v>
      </c>
      <c r="R190" s="4530">
        <f>SUM(W190:W195)/S190</f>
        <v>0.63157894736842102</v>
      </c>
      <c r="S190" s="4533">
        <f>SUM(W190:W200)</f>
        <v>76000000</v>
      </c>
      <c r="T190" s="4520" t="s">
        <v>990</v>
      </c>
      <c r="U190" s="4520" t="s">
        <v>991</v>
      </c>
      <c r="V190" s="980" t="s">
        <v>992</v>
      </c>
      <c r="W190" s="2600">
        <v>8000000</v>
      </c>
      <c r="X190" s="1809">
        <v>4664000</v>
      </c>
      <c r="Y190" s="1809">
        <v>3730600</v>
      </c>
      <c r="Z190" s="977">
        <v>61</v>
      </c>
      <c r="AA190" s="1041" t="s">
        <v>975</v>
      </c>
      <c r="AB190" s="4523">
        <v>292684</v>
      </c>
      <c r="AC190" s="4637">
        <f>SUM(AB190*0.69)</f>
        <v>201951.96</v>
      </c>
      <c r="AD190" s="4523">
        <v>282326</v>
      </c>
      <c r="AE190" s="4637">
        <f t="shared" ref="AE190:AE200" si="25">SUM(AD190*0.69)</f>
        <v>194804.93999999997</v>
      </c>
      <c r="AF190" s="4523">
        <v>135912</v>
      </c>
      <c r="AG190" s="4637">
        <f t="shared" ref="AG190:AG200" si="26">SUM(AF190*0.69)</f>
        <v>93779.28</v>
      </c>
      <c r="AH190" s="4523">
        <v>45122</v>
      </c>
      <c r="AI190" s="4637">
        <f t="shared" ref="AI190:AI200" si="27">SUM(AH190*0.69)</f>
        <v>31134.179999999997</v>
      </c>
      <c r="AJ190" s="4523">
        <v>307101</v>
      </c>
      <c r="AK190" s="4637">
        <v>211899.68999999997</v>
      </c>
      <c r="AL190" s="4523">
        <v>86875</v>
      </c>
      <c r="AM190" s="4637">
        <v>59943.749999999993</v>
      </c>
      <c r="AN190" s="4523">
        <v>2145</v>
      </c>
      <c r="AO190" s="4637">
        <f t="shared" ref="AO190:AO200" si="28">SUM(AN190*0.69)</f>
        <v>1480.05</v>
      </c>
      <c r="AP190" s="4523">
        <v>12718</v>
      </c>
      <c r="AQ190" s="4637">
        <f t="shared" ref="AQ190:AQ200" si="29">SUM(AP190*0.69)</f>
        <v>8775.42</v>
      </c>
      <c r="AR190" s="4523">
        <v>26</v>
      </c>
      <c r="AS190" s="4637">
        <f t="shared" ref="AS190:AS200" si="30">SUM(AR190*0.69)</f>
        <v>17.939999999999998</v>
      </c>
      <c r="AT190" s="4523">
        <v>37</v>
      </c>
      <c r="AU190" s="4637">
        <f t="shared" ref="AU190:AU200" si="31">SUM(AT190*0.69)</f>
        <v>25.529999999999998</v>
      </c>
      <c r="AV190" s="4523" t="s">
        <v>767</v>
      </c>
      <c r="AW190" s="4637" t="s">
        <v>767</v>
      </c>
      <c r="AX190" s="4523" t="s">
        <v>767</v>
      </c>
      <c r="AY190" s="4637" t="s">
        <v>767</v>
      </c>
      <c r="AZ190" s="4523">
        <v>53164</v>
      </c>
      <c r="BA190" s="4637">
        <f t="shared" ref="BA190:BA200" si="32">SUM(AZ190*0.69)</f>
        <v>36683.159999999996</v>
      </c>
      <c r="BB190" s="4523">
        <v>16982</v>
      </c>
      <c r="BC190" s="4637">
        <f t="shared" ref="BC190:BC200" si="33">SUM(BB190*0.69)</f>
        <v>11717.58</v>
      </c>
      <c r="BD190" s="4523">
        <v>60013</v>
      </c>
      <c r="BE190" s="4637">
        <f t="shared" ref="BE190:BE200" si="34">SUM(BD190*0.69)</f>
        <v>41408.969999999994</v>
      </c>
      <c r="BF190" s="4523">
        <v>575010</v>
      </c>
      <c r="BG190" s="4637">
        <f t="shared" ref="BG190:BG200" si="35">SUM(BF190*0.69)</f>
        <v>396756.89999999997</v>
      </c>
      <c r="BH190" s="4542">
        <v>3</v>
      </c>
      <c r="BI190" s="4568">
        <f>SUM(X190:X200)</f>
        <v>41970000</v>
      </c>
      <c r="BJ190" s="4568">
        <f>SUM(Y190:Y200)</f>
        <v>33576000</v>
      </c>
      <c r="BK190" s="3184">
        <f>+BJ190/BI190</f>
        <v>0.8</v>
      </c>
      <c r="BL190" s="4542">
        <v>61</v>
      </c>
      <c r="BM190" s="4542" t="s">
        <v>769</v>
      </c>
      <c r="BN190" s="4553">
        <v>43467</v>
      </c>
      <c r="BO190" s="4553">
        <v>43830</v>
      </c>
      <c r="BP190" s="4553">
        <v>43830</v>
      </c>
      <c r="BQ190" s="4553">
        <v>43830</v>
      </c>
      <c r="BR190" s="4556" t="s">
        <v>770</v>
      </c>
    </row>
    <row r="191" spans="1:70" ht="71.25" x14ac:dyDescent="0.2">
      <c r="A191" s="971"/>
      <c r="B191" s="972"/>
      <c r="C191" s="973"/>
      <c r="D191" s="972"/>
      <c r="E191" s="972"/>
      <c r="F191" s="973"/>
      <c r="G191" s="979"/>
      <c r="H191" s="972"/>
      <c r="I191" s="973"/>
      <c r="J191" s="4518"/>
      <c r="K191" s="4521"/>
      <c r="L191" s="4524"/>
      <c r="M191" s="4524"/>
      <c r="N191" s="4526"/>
      <c r="O191" s="4524"/>
      <c r="P191" s="4528"/>
      <c r="Q191" s="4521"/>
      <c r="R191" s="4531"/>
      <c r="S191" s="4534"/>
      <c r="T191" s="4521"/>
      <c r="U191" s="4521"/>
      <c r="V191" s="980" t="s">
        <v>993</v>
      </c>
      <c r="W191" s="2600">
        <v>8000000</v>
      </c>
      <c r="X191" s="1809">
        <v>4664000</v>
      </c>
      <c r="Y191" s="1809">
        <v>3730600</v>
      </c>
      <c r="Z191" s="977">
        <v>61</v>
      </c>
      <c r="AA191" s="1041" t="s">
        <v>975</v>
      </c>
      <c r="AB191" s="4524"/>
      <c r="AC191" s="4638"/>
      <c r="AD191" s="4524">
        <v>282326</v>
      </c>
      <c r="AE191" s="4638">
        <f t="shared" si="25"/>
        <v>194804.93999999997</v>
      </c>
      <c r="AF191" s="4524">
        <v>135912</v>
      </c>
      <c r="AG191" s="4638">
        <f t="shared" si="26"/>
        <v>93779.28</v>
      </c>
      <c r="AH191" s="4524">
        <v>45122</v>
      </c>
      <c r="AI191" s="4638">
        <f t="shared" si="27"/>
        <v>31134.179999999997</v>
      </c>
      <c r="AJ191" s="4524">
        <v>307101</v>
      </c>
      <c r="AK191" s="4638">
        <v>211899.68999999997</v>
      </c>
      <c r="AL191" s="4524">
        <v>86875</v>
      </c>
      <c r="AM191" s="4638">
        <v>59943.749999999993</v>
      </c>
      <c r="AN191" s="4524">
        <v>2145</v>
      </c>
      <c r="AO191" s="4638">
        <f t="shared" si="28"/>
        <v>1480.05</v>
      </c>
      <c r="AP191" s="4524">
        <v>12718</v>
      </c>
      <c r="AQ191" s="4638">
        <f t="shared" si="29"/>
        <v>8775.42</v>
      </c>
      <c r="AR191" s="4524">
        <v>26</v>
      </c>
      <c r="AS191" s="4638">
        <f t="shared" si="30"/>
        <v>17.939999999999998</v>
      </c>
      <c r="AT191" s="4524">
        <v>37</v>
      </c>
      <c r="AU191" s="4638">
        <f t="shared" si="31"/>
        <v>25.529999999999998</v>
      </c>
      <c r="AV191" s="4524" t="s">
        <v>767</v>
      </c>
      <c r="AW191" s="4638" t="s">
        <v>767</v>
      </c>
      <c r="AX191" s="4524" t="s">
        <v>767</v>
      </c>
      <c r="AY191" s="4638" t="s">
        <v>767</v>
      </c>
      <c r="AZ191" s="4524">
        <v>53164</v>
      </c>
      <c r="BA191" s="4638">
        <f t="shared" si="32"/>
        <v>36683.159999999996</v>
      </c>
      <c r="BB191" s="4524">
        <v>16982</v>
      </c>
      <c r="BC191" s="4638">
        <f t="shared" si="33"/>
        <v>11717.58</v>
      </c>
      <c r="BD191" s="4524">
        <v>60013</v>
      </c>
      <c r="BE191" s="4638">
        <f t="shared" si="34"/>
        <v>41408.969999999994</v>
      </c>
      <c r="BF191" s="4524">
        <v>575010</v>
      </c>
      <c r="BG191" s="4638">
        <f t="shared" si="35"/>
        <v>396756.89999999997</v>
      </c>
      <c r="BH191" s="4543"/>
      <c r="BI191" s="4543"/>
      <c r="BJ191" s="4543"/>
      <c r="BK191" s="3185"/>
      <c r="BL191" s="4543"/>
      <c r="BM191" s="4543"/>
      <c r="BN191" s="4554"/>
      <c r="BO191" s="4554"/>
      <c r="BP191" s="4554"/>
      <c r="BQ191" s="4554"/>
      <c r="BR191" s="4557"/>
    </row>
    <row r="192" spans="1:70" ht="71.25" x14ac:dyDescent="0.2">
      <c r="A192" s="971"/>
      <c r="B192" s="972"/>
      <c r="C192" s="973"/>
      <c r="D192" s="972"/>
      <c r="E192" s="972"/>
      <c r="F192" s="973"/>
      <c r="G192" s="979"/>
      <c r="H192" s="972"/>
      <c r="I192" s="973"/>
      <c r="J192" s="4518"/>
      <c r="K192" s="4521"/>
      <c r="L192" s="4524"/>
      <c r="M192" s="4524"/>
      <c r="N192" s="4526"/>
      <c r="O192" s="4524"/>
      <c r="P192" s="4528"/>
      <c r="Q192" s="4521"/>
      <c r="R192" s="4531"/>
      <c r="S192" s="4534"/>
      <c r="T192" s="4521"/>
      <c r="U192" s="4521"/>
      <c r="V192" s="980" t="s">
        <v>994</v>
      </c>
      <c r="W192" s="2600">
        <v>8000000</v>
      </c>
      <c r="X192" s="1809">
        <v>4663000</v>
      </c>
      <c r="Y192" s="1809">
        <v>3730600</v>
      </c>
      <c r="Z192" s="977">
        <v>61</v>
      </c>
      <c r="AA192" s="1041" t="s">
        <v>975</v>
      </c>
      <c r="AB192" s="4524"/>
      <c r="AC192" s="4638"/>
      <c r="AD192" s="4524">
        <v>282326</v>
      </c>
      <c r="AE192" s="4638">
        <f t="shared" si="25"/>
        <v>194804.93999999997</v>
      </c>
      <c r="AF192" s="4524">
        <v>135912</v>
      </c>
      <c r="AG192" s="4638">
        <f t="shared" si="26"/>
        <v>93779.28</v>
      </c>
      <c r="AH192" s="4524">
        <v>45122</v>
      </c>
      <c r="AI192" s="4638">
        <f t="shared" si="27"/>
        <v>31134.179999999997</v>
      </c>
      <c r="AJ192" s="4524">
        <v>307101</v>
      </c>
      <c r="AK192" s="4638">
        <v>211899.68999999997</v>
      </c>
      <c r="AL192" s="4524">
        <v>86875</v>
      </c>
      <c r="AM192" s="4638">
        <v>59943.749999999993</v>
      </c>
      <c r="AN192" s="4524">
        <v>2145</v>
      </c>
      <c r="AO192" s="4638">
        <f t="shared" si="28"/>
        <v>1480.05</v>
      </c>
      <c r="AP192" s="4524">
        <v>12718</v>
      </c>
      <c r="AQ192" s="4638">
        <f t="shared" si="29"/>
        <v>8775.42</v>
      </c>
      <c r="AR192" s="4524">
        <v>26</v>
      </c>
      <c r="AS192" s="4638">
        <f t="shared" si="30"/>
        <v>17.939999999999998</v>
      </c>
      <c r="AT192" s="4524">
        <v>37</v>
      </c>
      <c r="AU192" s="4638">
        <f t="shared" si="31"/>
        <v>25.529999999999998</v>
      </c>
      <c r="AV192" s="4524" t="s">
        <v>767</v>
      </c>
      <c r="AW192" s="4638" t="s">
        <v>767</v>
      </c>
      <c r="AX192" s="4524" t="s">
        <v>767</v>
      </c>
      <c r="AY192" s="4638" t="s">
        <v>767</v>
      </c>
      <c r="AZ192" s="4524">
        <v>53164</v>
      </c>
      <c r="BA192" s="4638">
        <f t="shared" si="32"/>
        <v>36683.159999999996</v>
      </c>
      <c r="BB192" s="4524">
        <v>16982</v>
      </c>
      <c r="BC192" s="4638">
        <f t="shared" si="33"/>
        <v>11717.58</v>
      </c>
      <c r="BD192" s="4524">
        <v>60013</v>
      </c>
      <c r="BE192" s="4638">
        <f t="shared" si="34"/>
        <v>41408.969999999994</v>
      </c>
      <c r="BF192" s="4524">
        <v>575010</v>
      </c>
      <c r="BG192" s="4638">
        <f t="shared" si="35"/>
        <v>396756.89999999997</v>
      </c>
      <c r="BH192" s="4543"/>
      <c r="BI192" s="4543"/>
      <c r="BJ192" s="4543"/>
      <c r="BK192" s="3185"/>
      <c r="BL192" s="4543"/>
      <c r="BM192" s="4543"/>
      <c r="BN192" s="4554"/>
      <c r="BO192" s="4554"/>
      <c r="BP192" s="4554"/>
      <c r="BQ192" s="4554"/>
      <c r="BR192" s="4557"/>
    </row>
    <row r="193" spans="1:70" ht="71.25" x14ac:dyDescent="0.2">
      <c r="A193" s="971"/>
      <c r="B193" s="972"/>
      <c r="C193" s="973"/>
      <c r="D193" s="972"/>
      <c r="E193" s="972"/>
      <c r="F193" s="973"/>
      <c r="G193" s="979"/>
      <c r="H193" s="972"/>
      <c r="I193" s="973"/>
      <c r="J193" s="4518"/>
      <c r="K193" s="4521"/>
      <c r="L193" s="4524"/>
      <c r="M193" s="4524"/>
      <c r="N193" s="4526"/>
      <c r="O193" s="4524"/>
      <c r="P193" s="4528"/>
      <c r="Q193" s="4521"/>
      <c r="R193" s="4531"/>
      <c r="S193" s="4534"/>
      <c r="T193" s="4521"/>
      <c r="U193" s="4521"/>
      <c r="V193" s="980" t="s">
        <v>995</v>
      </c>
      <c r="W193" s="2600">
        <v>8000000</v>
      </c>
      <c r="X193" s="1809">
        <v>4663000</v>
      </c>
      <c r="Y193" s="1809">
        <v>3730600</v>
      </c>
      <c r="Z193" s="977">
        <v>61</v>
      </c>
      <c r="AA193" s="1041" t="s">
        <v>975</v>
      </c>
      <c r="AB193" s="4524"/>
      <c r="AC193" s="4638"/>
      <c r="AD193" s="4524">
        <v>282326</v>
      </c>
      <c r="AE193" s="4638">
        <f t="shared" si="25"/>
        <v>194804.93999999997</v>
      </c>
      <c r="AF193" s="4524">
        <v>135912</v>
      </c>
      <c r="AG193" s="4638">
        <f t="shared" si="26"/>
        <v>93779.28</v>
      </c>
      <c r="AH193" s="4524">
        <v>45122</v>
      </c>
      <c r="AI193" s="4638">
        <f t="shared" si="27"/>
        <v>31134.179999999997</v>
      </c>
      <c r="AJ193" s="4524">
        <v>307101</v>
      </c>
      <c r="AK193" s="4638">
        <v>211899.68999999997</v>
      </c>
      <c r="AL193" s="4524">
        <v>86875</v>
      </c>
      <c r="AM193" s="4638">
        <v>59943.749999999993</v>
      </c>
      <c r="AN193" s="4524">
        <v>2145</v>
      </c>
      <c r="AO193" s="4638">
        <f t="shared" si="28"/>
        <v>1480.05</v>
      </c>
      <c r="AP193" s="4524">
        <v>12718</v>
      </c>
      <c r="AQ193" s="4638">
        <f t="shared" si="29"/>
        <v>8775.42</v>
      </c>
      <c r="AR193" s="4524">
        <v>26</v>
      </c>
      <c r="AS193" s="4638">
        <f t="shared" si="30"/>
        <v>17.939999999999998</v>
      </c>
      <c r="AT193" s="4524">
        <v>37</v>
      </c>
      <c r="AU193" s="4638">
        <f t="shared" si="31"/>
        <v>25.529999999999998</v>
      </c>
      <c r="AV193" s="4524" t="s">
        <v>767</v>
      </c>
      <c r="AW193" s="4638" t="s">
        <v>767</v>
      </c>
      <c r="AX193" s="4524" t="s">
        <v>767</v>
      </c>
      <c r="AY193" s="4638" t="s">
        <v>767</v>
      </c>
      <c r="AZ193" s="4524">
        <v>53164</v>
      </c>
      <c r="BA193" s="4638">
        <f t="shared" si="32"/>
        <v>36683.159999999996</v>
      </c>
      <c r="BB193" s="4524">
        <v>16982</v>
      </c>
      <c r="BC193" s="4638">
        <f t="shared" si="33"/>
        <v>11717.58</v>
      </c>
      <c r="BD193" s="4524">
        <v>60013</v>
      </c>
      <c r="BE193" s="4638">
        <f t="shared" si="34"/>
        <v>41408.969999999994</v>
      </c>
      <c r="BF193" s="4524">
        <v>575010</v>
      </c>
      <c r="BG193" s="4638">
        <f t="shared" si="35"/>
        <v>396756.89999999997</v>
      </c>
      <c r="BH193" s="4543"/>
      <c r="BI193" s="4543"/>
      <c r="BJ193" s="4543"/>
      <c r="BK193" s="3185"/>
      <c r="BL193" s="4543"/>
      <c r="BM193" s="4543"/>
      <c r="BN193" s="4554"/>
      <c r="BO193" s="4554"/>
      <c r="BP193" s="4554"/>
      <c r="BQ193" s="4554"/>
      <c r="BR193" s="4557"/>
    </row>
    <row r="194" spans="1:70" ht="57" x14ac:dyDescent="0.2">
      <c r="A194" s="971"/>
      <c r="B194" s="972"/>
      <c r="C194" s="973"/>
      <c r="D194" s="972"/>
      <c r="E194" s="972"/>
      <c r="F194" s="973"/>
      <c r="G194" s="979"/>
      <c r="H194" s="972"/>
      <c r="I194" s="973"/>
      <c r="J194" s="4518"/>
      <c r="K194" s="4521"/>
      <c r="L194" s="4524"/>
      <c r="M194" s="4524"/>
      <c r="N194" s="4526"/>
      <c r="O194" s="4524"/>
      <c r="P194" s="4528"/>
      <c r="Q194" s="4521"/>
      <c r="R194" s="4531"/>
      <c r="S194" s="4534"/>
      <c r="T194" s="4521"/>
      <c r="U194" s="4521"/>
      <c r="V194" s="980" t="s">
        <v>996</v>
      </c>
      <c r="W194" s="2600">
        <v>8000000</v>
      </c>
      <c r="X194" s="1809">
        <v>4663000</v>
      </c>
      <c r="Y194" s="1809">
        <v>3730600</v>
      </c>
      <c r="Z194" s="977">
        <v>61</v>
      </c>
      <c r="AA194" s="1041" t="s">
        <v>975</v>
      </c>
      <c r="AB194" s="4524"/>
      <c r="AC194" s="4638"/>
      <c r="AD194" s="4524">
        <v>282326</v>
      </c>
      <c r="AE194" s="4638">
        <f t="shared" si="25"/>
        <v>194804.93999999997</v>
      </c>
      <c r="AF194" s="4524">
        <v>135912</v>
      </c>
      <c r="AG194" s="4638">
        <f t="shared" si="26"/>
        <v>93779.28</v>
      </c>
      <c r="AH194" s="4524">
        <v>45122</v>
      </c>
      <c r="AI194" s="4638">
        <f t="shared" si="27"/>
        <v>31134.179999999997</v>
      </c>
      <c r="AJ194" s="4524">
        <v>307101</v>
      </c>
      <c r="AK194" s="4638">
        <v>211899.68999999997</v>
      </c>
      <c r="AL194" s="4524">
        <v>86875</v>
      </c>
      <c r="AM194" s="4638">
        <v>59943.749999999993</v>
      </c>
      <c r="AN194" s="4524">
        <v>2145</v>
      </c>
      <c r="AO194" s="4638">
        <f t="shared" si="28"/>
        <v>1480.05</v>
      </c>
      <c r="AP194" s="4524">
        <v>12718</v>
      </c>
      <c r="AQ194" s="4638">
        <f t="shared" si="29"/>
        <v>8775.42</v>
      </c>
      <c r="AR194" s="4524">
        <v>26</v>
      </c>
      <c r="AS194" s="4638">
        <f t="shared" si="30"/>
        <v>17.939999999999998</v>
      </c>
      <c r="AT194" s="4524">
        <v>37</v>
      </c>
      <c r="AU194" s="4638">
        <f t="shared" si="31"/>
        <v>25.529999999999998</v>
      </c>
      <c r="AV194" s="4524" t="s">
        <v>767</v>
      </c>
      <c r="AW194" s="4638" t="s">
        <v>767</v>
      </c>
      <c r="AX194" s="4524" t="s">
        <v>767</v>
      </c>
      <c r="AY194" s="4638" t="s">
        <v>767</v>
      </c>
      <c r="AZ194" s="4524">
        <v>53164</v>
      </c>
      <c r="BA194" s="4638">
        <f t="shared" si="32"/>
        <v>36683.159999999996</v>
      </c>
      <c r="BB194" s="4524">
        <v>16982</v>
      </c>
      <c r="BC194" s="4638">
        <f t="shared" si="33"/>
        <v>11717.58</v>
      </c>
      <c r="BD194" s="4524">
        <v>60013</v>
      </c>
      <c r="BE194" s="4638">
        <f t="shared" si="34"/>
        <v>41408.969999999994</v>
      </c>
      <c r="BF194" s="4524">
        <v>575010</v>
      </c>
      <c r="BG194" s="4638">
        <f t="shared" si="35"/>
        <v>396756.89999999997</v>
      </c>
      <c r="BH194" s="4543"/>
      <c r="BI194" s="4543"/>
      <c r="BJ194" s="4543"/>
      <c r="BK194" s="3185"/>
      <c r="BL194" s="4543"/>
      <c r="BM194" s="4543"/>
      <c r="BN194" s="4554"/>
      <c r="BO194" s="4554"/>
      <c r="BP194" s="4554"/>
      <c r="BQ194" s="4554"/>
      <c r="BR194" s="4557"/>
    </row>
    <row r="195" spans="1:70" ht="67.5" customHeight="1" x14ac:dyDescent="0.2">
      <c r="A195" s="971"/>
      <c r="B195" s="972"/>
      <c r="C195" s="973"/>
      <c r="D195" s="972"/>
      <c r="E195" s="972"/>
      <c r="F195" s="973"/>
      <c r="G195" s="979"/>
      <c r="H195" s="972"/>
      <c r="I195" s="973"/>
      <c r="J195" s="4519"/>
      <c r="K195" s="4522"/>
      <c r="L195" s="4525"/>
      <c r="M195" s="4525"/>
      <c r="N195" s="4526"/>
      <c r="O195" s="4524"/>
      <c r="P195" s="4528"/>
      <c r="Q195" s="4521"/>
      <c r="R195" s="4532"/>
      <c r="S195" s="4534"/>
      <c r="T195" s="4521"/>
      <c r="U195" s="4522"/>
      <c r="V195" s="980" t="s">
        <v>997</v>
      </c>
      <c r="W195" s="2600">
        <v>8000000</v>
      </c>
      <c r="X195" s="1809">
        <v>4663000</v>
      </c>
      <c r="Y195" s="1809">
        <v>3731000</v>
      </c>
      <c r="Z195" s="977">
        <v>61</v>
      </c>
      <c r="AA195" s="1041" t="s">
        <v>975</v>
      </c>
      <c r="AB195" s="4524"/>
      <c r="AC195" s="4638"/>
      <c r="AD195" s="4524">
        <v>282326</v>
      </c>
      <c r="AE195" s="4638">
        <f t="shared" si="25"/>
        <v>194804.93999999997</v>
      </c>
      <c r="AF195" s="4524">
        <v>135912</v>
      </c>
      <c r="AG195" s="4638">
        <f t="shared" si="26"/>
        <v>93779.28</v>
      </c>
      <c r="AH195" s="4524">
        <v>45122</v>
      </c>
      <c r="AI195" s="4638">
        <f t="shared" si="27"/>
        <v>31134.179999999997</v>
      </c>
      <c r="AJ195" s="4524">
        <v>307101</v>
      </c>
      <c r="AK195" s="4638">
        <v>211899.68999999997</v>
      </c>
      <c r="AL195" s="4524">
        <v>86875</v>
      </c>
      <c r="AM195" s="4638">
        <v>59943.749999999993</v>
      </c>
      <c r="AN195" s="4524">
        <v>2145</v>
      </c>
      <c r="AO195" s="4638">
        <f t="shared" si="28"/>
        <v>1480.05</v>
      </c>
      <c r="AP195" s="4524">
        <v>12718</v>
      </c>
      <c r="AQ195" s="4638">
        <f t="shared" si="29"/>
        <v>8775.42</v>
      </c>
      <c r="AR195" s="4524">
        <v>26</v>
      </c>
      <c r="AS195" s="4638">
        <f t="shared" si="30"/>
        <v>17.939999999999998</v>
      </c>
      <c r="AT195" s="4524">
        <v>37</v>
      </c>
      <c r="AU195" s="4638">
        <f t="shared" si="31"/>
        <v>25.529999999999998</v>
      </c>
      <c r="AV195" s="4524" t="s">
        <v>767</v>
      </c>
      <c r="AW195" s="4638" t="s">
        <v>767</v>
      </c>
      <c r="AX195" s="4524" t="s">
        <v>767</v>
      </c>
      <c r="AY195" s="4638" t="s">
        <v>767</v>
      </c>
      <c r="AZ195" s="4524">
        <v>53164</v>
      </c>
      <c r="BA195" s="4638">
        <f t="shared" si="32"/>
        <v>36683.159999999996</v>
      </c>
      <c r="BB195" s="4524">
        <v>16982</v>
      </c>
      <c r="BC195" s="4638">
        <f t="shared" si="33"/>
        <v>11717.58</v>
      </c>
      <c r="BD195" s="4524">
        <v>60013</v>
      </c>
      <c r="BE195" s="4638">
        <f t="shared" si="34"/>
        <v>41408.969999999994</v>
      </c>
      <c r="BF195" s="4524">
        <v>575010</v>
      </c>
      <c r="BG195" s="4638">
        <f t="shared" si="35"/>
        <v>396756.89999999997</v>
      </c>
      <c r="BH195" s="4543"/>
      <c r="BI195" s="4543"/>
      <c r="BJ195" s="4543"/>
      <c r="BK195" s="3185"/>
      <c r="BL195" s="4543"/>
      <c r="BM195" s="4543"/>
      <c r="BN195" s="4554"/>
      <c r="BO195" s="4554"/>
      <c r="BP195" s="4554"/>
      <c r="BQ195" s="4554"/>
      <c r="BR195" s="4557"/>
    </row>
    <row r="196" spans="1:70" ht="57" x14ac:dyDescent="0.2">
      <c r="A196" s="971"/>
      <c r="B196" s="972"/>
      <c r="C196" s="973"/>
      <c r="D196" s="972"/>
      <c r="E196" s="972"/>
      <c r="F196" s="973"/>
      <c r="G196" s="979"/>
      <c r="H196" s="972"/>
      <c r="I196" s="973"/>
      <c r="J196" s="4517">
        <v>150</v>
      </c>
      <c r="K196" s="4520" t="s">
        <v>998</v>
      </c>
      <c r="L196" s="4523" t="s">
        <v>759</v>
      </c>
      <c r="M196" s="4523">
        <v>14</v>
      </c>
      <c r="N196" s="4526">
        <v>11</v>
      </c>
      <c r="O196" s="4524"/>
      <c r="P196" s="4528"/>
      <c r="Q196" s="4521"/>
      <c r="R196" s="4530">
        <f>(W196+W199+W200+W197+W198)/S190</f>
        <v>0.36842105263157893</v>
      </c>
      <c r="S196" s="4534"/>
      <c r="T196" s="4521"/>
      <c r="U196" s="4520" t="s">
        <v>999</v>
      </c>
      <c r="V196" s="980" t="s">
        <v>1000</v>
      </c>
      <c r="W196" s="2600">
        <v>5000000</v>
      </c>
      <c r="X196" s="1809">
        <v>2798000</v>
      </c>
      <c r="Y196" s="1809">
        <v>2238400</v>
      </c>
      <c r="Z196" s="977">
        <v>61</v>
      </c>
      <c r="AA196" s="1041" t="s">
        <v>975</v>
      </c>
      <c r="AB196" s="4524"/>
      <c r="AC196" s="4638"/>
      <c r="AD196" s="4524">
        <v>282326</v>
      </c>
      <c r="AE196" s="4638">
        <f t="shared" si="25"/>
        <v>194804.93999999997</v>
      </c>
      <c r="AF196" s="4524">
        <v>135912</v>
      </c>
      <c r="AG196" s="4638">
        <f t="shared" si="26"/>
        <v>93779.28</v>
      </c>
      <c r="AH196" s="4524">
        <v>45122</v>
      </c>
      <c r="AI196" s="4638">
        <f t="shared" si="27"/>
        <v>31134.179999999997</v>
      </c>
      <c r="AJ196" s="4524">
        <v>307101</v>
      </c>
      <c r="AK196" s="4638">
        <v>211899.68999999997</v>
      </c>
      <c r="AL196" s="4524">
        <v>86875</v>
      </c>
      <c r="AM196" s="4638">
        <v>59943.749999999993</v>
      </c>
      <c r="AN196" s="4524">
        <v>2145</v>
      </c>
      <c r="AO196" s="4638">
        <f t="shared" si="28"/>
        <v>1480.05</v>
      </c>
      <c r="AP196" s="4524">
        <v>12718</v>
      </c>
      <c r="AQ196" s="4638">
        <f t="shared" si="29"/>
        <v>8775.42</v>
      </c>
      <c r="AR196" s="4524">
        <v>26</v>
      </c>
      <c r="AS196" s="4638">
        <f t="shared" si="30"/>
        <v>17.939999999999998</v>
      </c>
      <c r="AT196" s="4524">
        <v>37</v>
      </c>
      <c r="AU196" s="4638">
        <f t="shared" si="31"/>
        <v>25.529999999999998</v>
      </c>
      <c r="AV196" s="4524" t="s">
        <v>767</v>
      </c>
      <c r="AW196" s="4638" t="s">
        <v>767</v>
      </c>
      <c r="AX196" s="4524" t="s">
        <v>767</v>
      </c>
      <c r="AY196" s="4638" t="s">
        <v>767</v>
      </c>
      <c r="AZ196" s="4524">
        <v>53164</v>
      </c>
      <c r="BA196" s="4638">
        <f t="shared" si="32"/>
        <v>36683.159999999996</v>
      </c>
      <c r="BB196" s="4524">
        <v>16982</v>
      </c>
      <c r="BC196" s="4638">
        <f t="shared" si="33"/>
        <v>11717.58</v>
      </c>
      <c r="BD196" s="4524">
        <v>60013</v>
      </c>
      <c r="BE196" s="4638">
        <f t="shared" si="34"/>
        <v>41408.969999999994</v>
      </c>
      <c r="BF196" s="4524">
        <v>575010</v>
      </c>
      <c r="BG196" s="4638">
        <f t="shared" si="35"/>
        <v>396756.89999999997</v>
      </c>
      <c r="BH196" s="4543"/>
      <c r="BI196" s="4543"/>
      <c r="BJ196" s="4543"/>
      <c r="BK196" s="3185"/>
      <c r="BL196" s="4543"/>
      <c r="BM196" s="4543"/>
      <c r="BN196" s="4554"/>
      <c r="BO196" s="4554"/>
      <c r="BP196" s="4554"/>
      <c r="BQ196" s="4554"/>
      <c r="BR196" s="4557"/>
    </row>
    <row r="197" spans="1:70" ht="57" x14ac:dyDescent="0.2">
      <c r="A197" s="971"/>
      <c r="B197" s="972"/>
      <c r="C197" s="973"/>
      <c r="D197" s="972"/>
      <c r="E197" s="972"/>
      <c r="F197" s="973"/>
      <c r="G197" s="979"/>
      <c r="H197" s="972"/>
      <c r="I197" s="973"/>
      <c r="J197" s="4518"/>
      <c r="K197" s="4521"/>
      <c r="L197" s="4524"/>
      <c r="M197" s="4524"/>
      <c r="N197" s="4526"/>
      <c r="O197" s="4524"/>
      <c r="P197" s="4528"/>
      <c r="Q197" s="4521"/>
      <c r="R197" s="4531"/>
      <c r="S197" s="4534"/>
      <c r="T197" s="4521"/>
      <c r="U197" s="4521"/>
      <c r="V197" s="980" t="s">
        <v>1001</v>
      </c>
      <c r="W197" s="2600">
        <v>5000000</v>
      </c>
      <c r="X197" s="1809">
        <v>2798000</v>
      </c>
      <c r="Y197" s="1809">
        <v>2238400</v>
      </c>
      <c r="Z197" s="977">
        <v>61</v>
      </c>
      <c r="AA197" s="1041" t="s">
        <v>975</v>
      </c>
      <c r="AB197" s="4524"/>
      <c r="AC197" s="4638"/>
      <c r="AD197" s="4524">
        <v>282326</v>
      </c>
      <c r="AE197" s="4638">
        <f t="shared" si="25"/>
        <v>194804.93999999997</v>
      </c>
      <c r="AF197" s="4524">
        <v>135912</v>
      </c>
      <c r="AG197" s="4638">
        <f t="shared" si="26"/>
        <v>93779.28</v>
      </c>
      <c r="AH197" s="4524">
        <v>45122</v>
      </c>
      <c r="AI197" s="4638">
        <f t="shared" si="27"/>
        <v>31134.179999999997</v>
      </c>
      <c r="AJ197" s="4524">
        <v>307101</v>
      </c>
      <c r="AK197" s="4638">
        <v>211899.68999999997</v>
      </c>
      <c r="AL197" s="4524">
        <v>86875</v>
      </c>
      <c r="AM197" s="4638">
        <v>59943.749999999993</v>
      </c>
      <c r="AN197" s="4524">
        <v>2145</v>
      </c>
      <c r="AO197" s="4638">
        <f t="shared" si="28"/>
        <v>1480.05</v>
      </c>
      <c r="AP197" s="4524">
        <v>12718</v>
      </c>
      <c r="AQ197" s="4638">
        <f t="shared" si="29"/>
        <v>8775.42</v>
      </c>
      <c r="AR197" s="4524">
        <v>26</v>
      </c>
      <c r="AS197" s="4638">
        <f t="shared" si="30"/>
        <v>17.939999999999998</v>
      </c>
      <c r="AT197" s="4524">
        <v>37</v>
      </c>
      <c r="AU197" s="4638">
        <f t="shared" si="31"/>
        <v>25.529999999999998</v>
      </c>
      <c r="AV197" s="4524" t="s">
        <v>767</v>
      </c>
      <c r="AW197" s="4638" t="s">
        <v>767</v>
      </c>
      <c r="AX197" s="4524" t="s">
        <v>767</v>
      </c>
      <c r="AY197" s="4638" t="s">
        <v>767</v>
      </c>
      <c r="AZ197" s="4524">
        <v>53164</v>
      </c>
      <c r="BA197" s="4638">
        <f t="shared" si="32"/>
        <v>36683.159999999996</v>
      </c>
      <c r="BB197" s="4524">
        <v>16982</v>
      </c>
      <c r="BC197" s="4638">
        <f t="shared" si="33"/>
        <v>11717.58</v>
      </c>
      <c r="BD197" s="4524">
        <v>60013</v>
      </c>
      <c r="BE197" s="4638">
        <f t="shared" si="34"/>
        <v>41408.969999999994</v>
      </c>
      <c r="BF197" s="4524">
        <v>575010</v>
      </c>
      <c r="BG197" s="4638">
        <f t="shared" si="35"/>
        <v>396756.89999999997</v>
      </c>
      <c r="BH197" s="4543"/>
      <c r="BI197" s="4543"/>
      <c r="BJ197" s="4543"/>
      <c r="BK197" s="3185"/>
      <c r="BL197" s="4543"/>
      <c r="BM197" s="4543"/>
      <c r="BN197" s="4554"/>
      <c r="BO197" s="4554"/>
      <c r="BP197" s="4554"/>
      <c r="BQ197" s="4554"/>
      <c r="BR197" s="4557"/>
    </row>
    <row r="198" spans="1:70" ht="85.5" x14ac:dyDescent="0.2">
      <c r="A198" s="971"/>
      <c r="B198" s="972"/>
      <c r="C198" s="973"/>
      <c r="D198" s="972"/>
      <c r="E198" s="972"/>
      <c r="F198" s="973"/>
      <c r="G198" s="979"/>
      <c r="H198" s="972"/>
      <c r="I198" s="973"/>
      <c r="J198" s="4518"/>
      <c r="K198" s="4521"/>
      <c r="L198" s="4524"/>
      <c r="M198" s="4524"/>
      <c r="N198" s="4526"/>
      <c r="O198" s="4524"/>
      <c r="P198" s="4528"/>
      <c r="Q198" s="4521"/>
      <c r="R198" s="4531"/>
      <c r="S198" s="4534"/>
      <c r="T198" s="4521"/>
      <c r="U198" s="4521"/>
      <c r="V198" s="980" t="s">
        <v>1002</v>
      </c>
      <c r="W198" s="2600">
        <v>5000000</v>
      </c>
      <c r="X198" s="1809">
        <v>2798000</v>
      </c>
      <c r="Y198" s="1809">
        <v>2238400</v>
      </c>
      <c r="Z198" s="977">
        <v>61</v>
      </c>
      <c r="AA198" s="1041" t="s">
        <v>975</v>
      </c>
      <c r="AB198" s="4524"/>
      <c r="AC198" s="4638"/>
      <c r="AD198" s="4524">
        <v>282326</v>
      </c>
      <c r="AE198" s="4638">
        <f t="shared" si="25"/>
        <v>194804.93999999997</v>
      </c>
      <c r="AF198" s="4524">
        <v>135912</v>
      </c>
      <c r="AG198" s="4638">
        <f t="shared" si="26"/>
        <v>93779.28</v>
      </c>
      <c r="AH198" s="4524">
        <v>45122</v>
      </c>
      <c r="AI198" s="4638">
        <f t="shared" si="27"/>
        <v>31134.179999999997</v>
      </c>
      <c r="AJ198" s="4524">
        <v>307101</v>
      </c>
      <c r="AK198" s="4638">
        <v>211899.68999999997</v>
      </c>
      <c r="AL198" s="4524">
        <v>86875</v>
      </c>
      <c r="AM198" s="4638">
        <v>59943.749999999993</v>
      </c>
      <c r="AN198" s="4524">
        <v>2145</v>
      </c>
      <c r="AO198" s="4638">
        <f t="shared" si="28"/>
        <v>1480.05</v>
      </c>
      <c r="AP198" s="4524">
        <v>12718</v>
      </c>
      <c r="AQ198" s="4638">
        <f t="shared" si="29"/>
        <v>8775.42</v>
      </c>
      <c r="AR198" s="4524">
        <v>26</v>
      </c>
      <c r="AS198" s="4638">
        <f t="shared" si="30"/>
        <v>17.939999999999998</v>
      </c>
      <c r="AT198" s="4524">
        <v>37</v>
      </c>
      <c r="AU198" s="4638">
        <f t="shared" si="31"/>
        <v>25.529999999999998</v>
      </c>
      <c r="AV198" s="4524" t="s">
        <v>767</v>
      </c>
      <c r="AW198" s="4638" t="s">
        <v>767</v>
      </c>
      <c r="AX198" s="4524" t="s">
        <v>767</v>
      </c>
      <c r="AY198" s="4638" t="s">
        <v>767</v>
      </c>
      <c r="AZ198" s="4524">
        <v>53164</v>
      </c>
      <c r="BA198" s="4638">
        <f t="shared" si="32"/>
        <v>36683.159999999996</v>
      </c>
      <c r="BB198" s="4524">
        <v>16982</v>
      </c>
      <c r="BC198" s="4638">
        <f t="shared" si="33"/>
        <v>11717.58</v>
      </c>
      <c r="BD198" s="4524">
        <v>60013</v>
      </c>
      <c r="BE198" s="4638">
        <f t="shared" si="34"/>
        <v>41408.969999999994</v>
      </c>
      <c r="BF198" s="4524">
        <v>575010</v>
      </c>
      <c r="BG198" s="4638">
        <f t="shared" si="35"/>
        <v>396756.89999999997</v>
      </c>
      <c r="BH198" s="4543"/>
      <c r="BI198" s="4543"/>
      <c r="BJ198" s="4543"/>
      <c r="BK198" s="3185"/>
      <c r="BL198" s="4543"/>
      <c r="BM198" s="4543"/>
      <c r="BN198" s="4554"/>
      <c r="BO198" s="4554"/>
      <c r="BP198" s="4554"/>
      <c r="BQ198" s="4554"/>
      <c r="BR198" s="4557"/>
    </row>
    <row r="199" spans="1:70" ht="58.5" customHeight="1" x14ac:dyDescent="0.2">
      <c r="A199" s="971"/>
      <c r="B199" s="972"/>
      <c r="C199" s="973"/>
      <c r="D199" s="972"/>
      <c r="E199" s="972"/>
      <c r="F199" s="973"/>
      <c r="G199" s="979"/>
      <c r="H199" s="972"/>
      <c r="I199" s="973"/>
      <c r="J199" s="4518"/>
      <c r="K199" s="4521"/>
      <c r="L199" s="4524"/>
      <c r="M199" s="4524"/>
      <c r="N199" s="4526"/>
      <c r="O199" s="4524"/>
      <c r="P199" s="4528"/>
      <c r="Q199" s="4521"/>
      <c r="R199" s="4531"/>
      <c r="S199" s="4534"/>
      <c r="T199" s="4521"/>
      <c r="U199" s="4521"/>
      <c r="V199" s="980" t="s">
        <v>1003</v>
      </c>
      <c r="W199" s="2600">
        <v>5000000</v>
      </c>
      <c r="X199" s="1809">
        <v>2798000</v>
      </c>
      <c r="Y199" s="1809">
        <v>2238400</v>
      </c>
      <c r="Z199" s="977">
        <v>61</v>
      </c>
      <c r="AA199" s="1041" t="s">
        <v>975</v>
      </c>
      <c r="AB199" s="4524"/>
      <c r="AC199" s="4638"/>
      <c r="AD199" s="4524">
        <v>282326</v>
      </c>
      <c r="AE199" s="4638">
        <f t="shared" si="25"/>
        <v>194804.93999999997</v>
      </c>
      <c r="AF199" s="4524">
        <v>135912</v>
      </c>
      <c r="AG199" s="4638">
        <f t="shared" si="26"/>
        <v>93779.28</v>
      </c>
      <c r="AH199" s="4524">
        <v>45122</v>
      </c>
      <c r="AI199" s="4638">
        <f t="shared" si="27"/>
        <v>31134.179999999997</v>
      </c>
      <c r="AJ199" s="4524">
        <v>307101</v>
      </c>
      <c r="AK199" s="4638">
        <v>211899.68999999997</v>
      </c>
      <c r="AL199" s="4524">
        <v>86875</v>
      </c>
      <c r="AM199" s="4638">
        <v>59943.749999999993</v>
      </c>
      <c r="AN199" s="4524">
        <v>2145</v>
      </c>
      <c r="AO199" s="4638">
        <f t="shared" si="28"/>
        <v>1480.05</v>
      </c>
      <c r="AP199" s="4524">
        <v>12718</v>
      </c>
      <c r="AQ199" s="4638">
        <f t="shared" si="29"/>
        <v>8775.42</v>
      </c>
      <c r="AR199" s="4524">
        <v>26</v>
      </c>
      <c r="AS199" s="4638">
        <f t="shared" si="30"/>
        <v>17.939999999999998</v>
      </c>
      <c r="AT199" s="4524">
        <v>37</v>
      </c>
      <c r="AU199" s="4638">
        <f t="shared" si="31"/>
        <v>25.529999999999998</v>
      </c>
      <c r="AV199" s="4524" t="s">
        <v>767</v>
      </c>
      <c r="AW199" s="4638" t="s">
        <v>767</v>
      </c>
      <c r="AX199" s="4524" t="s">
        <v>767</v>
      </c>
      <c r="AY199" s="4638" t="s">
        <v>767</v>
      </c>
      <c r="AZ199" s="4524">
        <v>53164</v>
      </c>
      <c r="BA199" s="4638">
        <f t="shared" si="32"/>
        <v>36683.159999999996</v>
      </c>
      <c r="BB199" s="4524">
        <v>16982</v>
      </c>
      <c r="BC199" s="4638">
        <f t="shared" si="33"/>
        <v>11717.58</v>
      </c>
      <c r="BD199" s="4524">
        <v>60013</v>
      </c>
      <c r="BE199" s="4638">
        <f t="shared" si="34"/>
        <v>41408.969999999994</v>
      </c>
      <c r="BF199" s="4524">
        <v>575010</v>
      </c>
      <c r="BG199" s="4638">
        <f t="shared" si="35"/>
        <v>396756.89999999997</v>
      </c>
      <c r="BH199" s="4543"/>
      <c r="BI199" s="4543"/>
      <c r="BJ199" s="4543"/>
      <c r="BK199" s="3185"/>
      <c r="BL199" s="4543"/>
      <c r="BM199" s="4543"/>
      <c r="BN199" s="4554"/>
      <c r="BO199" s="4554"/>
      <c r="BP199" s="4554"/>
      <c r="BQ199" s="4554"/>
      <c r="BR199" s="4557"/>
    </row>
    <row r="200" spans="1:70" ht="42.75" x14ac:dyDescent="0.2">
      <c r="A200" s="971"/>
      <c r="B200" s="972"/>
      <c r="C200" s="973"/>
      <c r="D200" s="972"/>
      <c r="E200" s="972"/>
      <c r="F200" s="973"/>
      <c r="G200" s="983"/>
      <c r="H200" s="981"/>
      <c r="I200" s="982"/>
      <c r="J200" s="4519"/>
      <c r="K200" s="4522"/>
      <c r="L200" s="4525"/>
      <c r="M200" s="4525"/>
      <c r="N200" s="4526"/>
      <c r="O200" s="4525"/>
      <c r="P200" s="4529"/>
      <c r="Q200" s="4522"/>
      <c r="R200" s="4532"/>
      <c r="S200" s="4535"/>
      <c r="T200" s="4522"/>
      <c r="U200" s="4522"/>
      <c r="V200" s="980" t="s">
        <v>1004</v>
      </c>
      <c r="W200" s="2600">
        <v>8000000</v>
      </c>
      <c r="X200" s="1809">
        <v>2798000</v>
      </c>
      <c r="Y200" s="1809">
        <v>2238400</v>
      </c>
      <c r="Z200" s="977">
        <v>61</v>
      </c>
      <c r="AA200" s="1041" t="s">
        <v>975</v>
      </c>
      <c r="AB200" s="4525"/>
      <c r="AC200" s="4639"/>
      <c r="AD200" s="4525">
        <v>282326</v>
      </c>
      <c r="AE200" s="4639">
        <f t="shared" si="25"/>
        <v>194804.93999999997</v>
      </c>
      <c r="AF200" s="4525">
        <v>135912</v>
      </c>
      <c r="AG200" s="4639">
        <f t="shared" si="26"/>
        <v>93779.28</v>
      </c>
      <c r="AH200" s="4525">
        <v>45122</v>
      </c>
      <c r="AI200" s="4639">
        <f t="shared" si="27"/>
        <v>31134.179999999997</v>
      </c>
      <c r="AJ200" s="4525">
        <v>307101</v>
      </c>
      <c r="AK200" s="4639">
        <v>211899.68999999997</v>
      </c>
      <c r="AL200" s="4525">
        <v>86875</v>
      </c>
      <c r="AM200" s="4639">
        <v>59943.749999999993</v>
      </c>
      <c r="AN200" s="4525">
        <v>2145</v>
      </c>
      <c r="AO200" s="4639">
        <f t="shared" si="28"/>
        <v>1480.05</v>
      </c>
      <c r="AP200" s="4525">
        <v>12718</v>
      </c>
      <c r="AQ200" s="4639">
        <f t="shared" si="29"/>
        <v>8775.42</v>
      </c>
      <c r="AR200" s="4525">
        <v>26</v>
      </c>
      <c r="AS200" s="4639">
        <f t="shared" si="30"/>
        <v>17.939999999999998</v>
      </c>
      <c r="AT200" s="4525">
        <v>37</v>
      </c>
      <c r="AU200" s="4639">
        <f t="shared" si="31"/>
        <v>25.529999999999998</v>
      </c>
      <c r="AV200" s="4525" t="s">
        <v>767</v>
      </c>
      <c r="AW200" s="4639" t="s">
        <v>767</v>
      </c>
      <c r="AX200" s="4525" t="s">
        <v>767</v>
      </c>
      <c r="AY200" s="4639" t="s">
        <v>767</v>
      </c>
      <c r="AZ200" s="4525">
        <v>53164</v>
      </c>
      <c r="BA200" s="4639">
        <f t="shared" si="32"/>
        <v>36683.159999999996</v>
      </c>
      <c r="BB200" s="4525">
        <v>16982</v>
      </c>
      <c r="BC200" s="4639">
        <f t="shared" si="33"/>
        <v>11717.58</v>
      </c>
      <c r="BD200" s="4525">
        <v>60013</v>
      </c>
      <c r="BE200" s="4639">
        <f t="shared" si="34"/>
        <v>41408.969999999994</v>
      </c>
      <c r="BF200" s="4525">
        <v>575010</v>
      </c>
      <c r="BG200" s="4639">
        <f t="shared" si="35"/>
        <v>396756.89999999997</v>
      </c>
      <c r="BH200" s="4544"/>
      <c r="BI200" s="4544"/>
      <c r="BJ200" s="4544"/>
      <c r="BK200" s="3186"/>
      <c r="BL200" s="4544"/>
      <c r="BM200" s="4544"/>
      <c r="BN200" s="4555"/>
      <c r="BO200" s="4555"/>
      <c r="BP200" s="4555"/>
      <c r="BQ200" s="4555"/>
      <c r="BR200" s="4558"/>
    </row>
    <row r="201" spans="1:70" ht="36" customHeight="1" x14ac:dyDescent="0.2">
      <c r="A201" s="957"/>
      <c r="B201" s="958"/>
      <c r="C201" s="959"/>
      <c r="D201" s="958"/>
      <c r="E201" s="958"/>
      <c r="F201" s="959"/>
      <c r="G201" s="991">
        <v>43</v>
      </c>
      <c r="H201" s="963" t="s">
        <v>1005</v>
      </c>
      <c r="I201" s="963"/>
      <c r="J201" s="963"/>
      <c r="K201" s="964"/>
      <c r="L201" s="963"/>
      <c r="M201" s="963"/>
      <c r="N201" s="963"/>
      <c r="O201" s="965"/>
      <c r="P201" s="992"/>
      <c r="Q201" s="964"/>
      <c r="R201" s="963"/>
      <c r="S201" s="993"/>
      <c r="T201" s="963"/>
      <c r="U201" s="964"/>
      <c r="V201" s="964"/>
      <c r="W201" s="2607"/>
      <c r="X201" s="2613"/>
      <c r="Y201" s="2613"/>
      <c r="Z201" s="1050"/>
      <c r="AA201" s="1011"/>
      <c r="AB201" s="965"/>
      <c r="AC201" s="965"/>
      <c r="AD201" s="965"/>
      <c r="AE201" s="965"/>
      <c r="AF201" s="965"/>
      <c r="AG201" s="965"/>
      <c r="AH201" s="965"/>
      <c r="AI201" s="965"/>
      <c r="AJ201" s="965"/>
      <c r="AK201" s="965"/>
      <c r="AL201" s="965"/>
      <c r="AM201" s="965"/>
      <c r="AN201" s="965"/>
      <c r="AO201" s="965"/>
      <c r="AP201" s="965"/>
      <c r="AQ201" s="965"/>
      <c r="AR201" s="965"/>
      <c r="AS201" s="965"/>
      <c r="AT201" s="965"/>
      <c r="AU201" s="965"/>
      <c r="AV201" s="965"/>
      <c r="AW201" s="965"/>
      <c r="AX201" s="965"/>
      <c r="AY201" s="965"/>
      <c r="AZ201" s="965"/>
      <c r="BA201" s="965"/>
      <c r="BB201" s="965"/>
      <c r="BC201" s="965"/>
      <c r="BD201" s="965"/>
      <c r="BE201" s="965"/>
      <c r="BF201" s="965"/>
      <c r="BG201" s="965"/>
      <c r="BH201" s="965"/>
      <c r="BI201" s="965"/>
      <c r="BJ201" s="965"/>
      <c r="BK201" s="965"/>
      <c r="BL201" s="965"/>
      <c r="BM201" s="965"/>
      <c r="BN201" s="963"/>
      <c r="BO201" s="963"/>
      <c r="BP201" s="963"/>
      <c r="BQ201" s="963"/>
      <c r="BR201" s="970"/>
    </row>
    <row r="202" spans="1:70" ht="81.75" customHeight="1" x14ac:dyDescent="0.2">
      <c r="A202" s="995"/>
      <c r="B202" s="996"/>
      <c r="C202" s="997"/>
      <c r="D202" s="996"/>
      <c r="E202" s="996"/>
      <c r="F202" s="997"/>
      <c r="G202" s="998"/>
      <c r="H202" s="999"/>
      <c r="I202" s="1000"/>
      <c r="J202" s="4517">
        <v>151</v>
      </c>
      <c r="K202" s="4600" t="s">
        <v>1006</v>
      </c>
      <c r="L202" s="4526" t="s">
        <v>759</v>
      </c>
      <c r="M202" s="4526">
        <v>12</v>
      </c>
      <c r="N202" s="4526">
        <v>12</v>
      </c>
      <c r="O202" s="1041"/>
      <c r="P202" s="4527" t="s">
        <v>1007</v>
      </c>
      <c r="Q202" s="4520" t="s">
        <v>1008</v>
      </c>
      <c r="R202" s="4530">
        <f>SUM(W202:W206)/S202</f>
        <v>7.1805462249808105E-2</v>
      </c>
      <c r="S202" s="4533">
        <f>SUM(W202:W217)</f>
        <v>1615475987</v>
      </c>
      <c r="T202" s="4520" t="s">
        <v>1009</v>
      </c>
      <c r="U202" s="4520" t="s">
        <v>1010</v>
      </c>
      <c r="V202" s="980" t="s">
        <v>1011</v>
      </c>
      <c r="W202" s="2301">
        <v>15000000</v>
      </c>
      <c r="X202" s="1809">
        <v>15000000</v>
      </c>
      <c r="Y202" s="1809">
        <v>10358600</v>
      </c>
      <c r="Z202" s="1051">
        <v>61</v>
      </c>
      <c r="AA202" s="1052" t="s">
        <v>883</v>
      </c>
      <c r="AB202" s="4640">
        <v>292684</v>
      </c>
      <c r="AC202" s="4637">
        <f>SUM(AB202*0.3)</f>
        <v>87805.2</v>
      </c>
      <c r="AD202" s="4640">
        <v>282326</v>
      </c>
      <c r="AE202" s="4637">
        <f t="shared" ref="AE202:AE217" si="36">SUM(AD202*0.3)</f>
        <v>84697.8</v>
      </c>
      <c r="AF202" s="4640">
        <v>135912</v>
      </c>
      <c r="AG202" s="4637">
        <f t="shared" ref="AG202:AG217" si="37">SUM(AF202*0.3)</f>
        <v>40773.599999999999</v>
      </c>
      <c r="AH202" s="4640">
        <v>45122</v>
      </c>
      <c r="AI202" s="4637">
        <f t="shared" ref="AI202:AI217" si="38">SUM(AH202*0.3)</f>
        <v>13536.6</v>
      </c>
      <c r="AJ202" s="4640">
        <v>307101</v>
      </c>
      <c r="AK202" s="4637">
        <v>92130.3</v>
      </c>
      <c r="AL202" s="4640">
        <v>86875</v>
      </c>
      <c r="AM202" s="4637">
        <v>26062.5</v>
      </c>
      <c r="AN202" s="4640">
        <v>2145</v>
      </c>
      <c r="AO202" s="4637">
        <f t="shared" ref="AO202:AO217" si="39">SUM(AN202*0.3)</f>
        <v>643.5</v>
      </c>
      <c r="AP202" s="4640">
        <v>12718</v>
      </c>
      <c r="AQ202" s="4637">
        <f t="shared" ref="AQ202:AQ217" si="40">SUM(AP202*0.3)</f>
        <v>3815.3999999999996</v>
      </c>
      <c r="AR202" s="4640">
        <v>26</v>
      </c>
      <c r="AS202" s="4637">
        <f t="shared" ref="AS202:AS217" si="41">SUM(AR202*0.3)</f>
        <v>7.8</v>
      </c>
      <c r="AT202" s="4640">
        <v>37</v>
      </c>
      <c r="AU202" s="4637">
        <f t="shared" ref="AU202:AU217" si="42">SUM(AT202*0.3)</f>
        <v>11.1</v>
      </c>
      <c r="AV202" s="4640" t="s">
        <v>767</v>
      </c>
      <c r="AW202" s="4637" t="s">
        <v>767</v>
      </c>
      <c r="AX202" s="4640" t="s">
        <v>767</v>
      </c>
      <c r="AY202" s="4637" t="s">
        <v>767</v>
      </c>
      <c r="AZ202" s="4640">
        <v>53164</v>
      </c>
      <c r="BA202" s="4637">
        <f t="shared" ref="BA202:BA217" si="43">SUM(AZ202*0.3)</f>
        <v>15949.199999999999</v>
      </c>
      <c r="BB202" s="4640">
        <v>16982</v>
      </c>
      <c r="BC202" s="4637">
        <f t="shared" ref="BC202:BC217" si="44">SUM(BB202*0.3)</f>
        <v>5094.5999999999995</v>
      </c>
      <c r="BD202" s="4640">
        <v>60013</v>
      </c>
      <c r="BE202" s="4637">
        <f t="shared" ref="BE202:BE217" si="45">SUM(BD202*0.3)</f>
        <v>18003.899999999998</v>
      </c>
      <c r="BF202" s="4640">
        <v>575010</v>
      </c>
      <c r="BG202" s="4637">
        <f t="shared" ref="BG202:BG217" si="46">SUM(BF202*0.3)</f>
        <v>172503</v>
      </c>
      <c r="BH202" s="4542">
        <v>24</v>
      </c>
      <c r="BI202" s="4568">
        <f>SUM(X202:X217)</f>
        <v>357095000</v>
      </c>
      <c r="BJ202" s="4568">
        <f>SUM(Y202:Y217)</f>
        <v>285839616</v>
      </c>
      <c r="BK202" s="3184">
        <f>+BJ202/BI202</f>
        <v>0.80045818619695042</v>
      </c>
      <c r="BL202" s="4542" t="s">
        <v>1012</v>
      </c>
      <c r="BM202" s="4542" t="s">
        <v>769</v>
      </c>
      <c r="BN202" s="4647">
        <f>+BN190</f>
        <v>43467</v>
      </c>
      <c r="BO202" s="4647">
        <v>43830</v>
      </c>
      <c r="BP202" s="4647">
        <v>43830</v>
      </c>
      <c r="BQ202" s="4647">
        <v>43830</v>
      </c>
      <c r="BR202" s="4556" t="s">
        <v>770</v>
      </c>
    </row>
    <row r="203" spans="1:70" ht="29.25" customHeight="1" x14ac:dyDescent="0.2">
      <c r="A203" s="995"/>
      <c r="B203" s="996"/>
      <c r="C203" s="997"/>
      <c r="D203" s="996"/>
      <c r="E203" s="996"/>
      <c r="F203" s="997"/>
      <c r="G203" s="1001"/>
      <c r="H203" s="996"/>
      <c r="I203" s="997"/>
      <c r="J203" s="4518"/>
      <c r="K203" s="4601"/>
      <c r="L203" s="4526"/>
      <c r="M203" s="4526"/>
      <c r="N203" s="4526"/>
      <c r="O203" s="1053"/>
      <c r="P203" s="4528"/>
      <c r="Q203" s="4521"/>
      <c r="R203" s="4531"/>
      <c r="S203" s="4534"/>
      <c r="T203" s="4521"/>
      <c r="U203" s="4521"/>
      <c r="V203" s="4551" t="s">
        <v>1013</v>
      </c>
      <c r="W203" s="2301">
        <v>9000000</v>
      </c>
      <c r="X203" s="1809">
        <v>7769000</v>
      </c>
      <c r="Y203" s="1809">
        <v>10358600</v>
      </c>
      <c r="Z203" s="1051">
        <v>61</v>
      </c>
      <c r="AA203" s="1052" t="s">
        <v>883</v>
      </c>
      <c r="AB203" s="4641"/>
      <c r="AC203" s="4638"/>
      <c r="AD203" s="4641">
        <v>282326</v>
      </c>
      <c r="AE203" s="4638">
        <f t="shared" si="36"/>
        <v>84697.8</v>
      </c>
      <c r="AF203" s="4641">
        <v>135912</v>
      </c>
      <c r="AG203" s="4638">
        <f t="shared" si="37"/>
        <v>40773.599999999999</v>
      </c>
      <c r="AH203" s="4641">
        <v>45122</v>
      </c>
      <c r="AI203" s="4638">
        <f t="shared" si="38"/>
        <v>13536.6</v>
      </c>
      <c r="AJ203" s="4641">
        <v>307101</v>
      </c>
      <c r="AK203" s="4638">
        <v>92130.3</v>
      </c>
      <c r="AL203" s="4641">
        <v>86875</v>
      </c>
      <c r="AM203" s="4638">
        <v>26062.5</v>
      </c>
      <c r="AN203" s="4641">
        <v>2145</v>
      </c>
      <c r="AO203" s="4638">
        <f t="shared" si="39"/>
        <v>643.5</v>
      </c>
      <c r="AP203" s="4641">
        <v>12718</v>
      </c>
      <c r="AQ203" s="4638">
        <f t="shared" si="40"/>
        <v>3815.3999999999996</v>
      </c>
      <c r="AR203" s="4641">
        <v>26</v>
      </c>
      <c r="AS203" s="4638">
        <f t="shared" si="41"/>
        <v>7.8</v>
      </c>
      <c r="AT203" s="4641">
        <v>37</v>
      </c>
      <c r="AU203" s="4638">
        <f t="shared" si="42"/>
        <v>11.1</v>
      </c>
      <c r="AV203" s="4641" t="s">
        <v>767</v>
      </c>
      <c r="AW203" s="4638" t="s">
        <v>767</v>
      </c>
      <c r="AX203" s="4641" t="s">
        <v>767</v>
      </c>
      <c r="AY203" s="4638" t="s">
        <v>767</v>
      </c>
      <c r="AZ203" s="4641">
        <v>53164</v>
      </c>
      <c r="BA203" s="4638">
        <f t="shared" si="43"/>
        <v>15949.199999999999</v>
      </c>
      <c r="BB203" s="4641">
        <v>16982</v>
      </c>
      <c r="BC203" s="4638">
        <f t="shared" si="44"/>
        <v>5094.5999999999995</v>
      </c>
      <c r="BD203" s="4641">
        <v>60013</v>
      </c>
      <c r="BE203" s="4638">
        <f t="shared" si="45"/>
        <v>18003.899999999998</v>
      </c>
      <c r="BF203" s="4641">
        <v>575010</v>
      </c>
      <c r="BG203" s="4638">
        <f t="shared" si="46"/>
        <v>172503</v>
      </c>
      <c r="BH203" s="4543"/>
      <c r="BI203" s="4543"/>
      <c r="BJ203" s="4543"/>
      <c r="BK203" s="3185"/>
      <c r="BL203" s="4543"/>
      <c r="BM203" s="4543"/>
      <c r="BN203" s="4648"/>
      <c r="BO203" s="4648"/>
      <c r="BP203" s="4648"/>
      <c r="BQ203" s="4648"/>
      <c r="BR203" s="4557"/>
    </row>
    <row r="204" spans="1:70" ht="30" customHeight="1" x14ac:dyDescent="0.2">
      <c r="A204" s="995"/>
      <c r="B204" s="996"/>
      <c r="C204" s="997"/>
      <c r="D204" s="996"/>
      <c r="E204" s="996"/>
      <c r="F204" s="997"/>
      <c r="G204" s="1001"/>
      <c r="H204" s="996"/>
      <c r="I204" s="997"/>
      <c r="J204" s="4518"/>
      <c r="K204" s="4601"/>
      <c r="L204" s="4526"/>
      <c r="M204" s="4526"/>
      <c r="N204" s="4526"/>
      <c r="O204" s="1053"/>
      <c r="P204" s="4528"/>
      <c r="Q204" s="4521"/>
      <c r="R204" s="4531"/>
      <c r="S204" s="4534"/>
      <c r="T204" s="4521"/>
      <c r="U204" s="4521"/>
      <c r="V204" s="4631"/>
      <c r="W204" s="2301">
        <v>36000000</v>
      </c>
      <c r="X204" s="1809">
        <v>27980000</v>
      </c>
      <c r="Y204" s="1809">
        <v>19586000</v>
      </c>
      <c r="Z204" s="1051">
        <v>20</v>
      </c>
      <c r="AA204" s="1052" t="s">
        <v>86</v>
      </c>
      <c r="AB204" s="4641"/>
      <c r="AC204" s="4638"/>
      <c r="AD204" s="4641">
        <v>282326</v>
      </c>
      <c r="AE204" s="4638">
        <f t="shared" si="36"/>
        <v>84697.8</v>
      </c>
      <c r="AF204" s="4641">
        <v>135912</v>
      </c>
      <c r="AG204" s="4638">
        <f t="shared" si="37"/>
        <v>40773.599999999999</v>
      </c>
      <c r="AH204" s="4641">
        <v>45122</v>
      </c>
      <c r="AI204" s="4638">
        <f t="shared" si="38"/>
        <v>13536.6</v>
      </c>
      <c r="AJ204" s="4641">
        <v>307101</v>
      </c>
      <c r="AK204" s="4638">
        <v>92130.3</v>
      </c>
      <c r="AL204" s="4641">
        <v>86875</v>
      </c>
      <c r="AM204" s="4638">
        <v>26062.5</v>
      </c>
      <c r="AN204" s="4641">
        <v>2145</v>
      </c>
      <c r="AO204" s="4638">
        <f t="shared" si="39"/>
        <v>643.5</v>
      </c>
      <c r="AP204" s="4641">
        <v>12718</v>
      </c>
      <c r="AQ204" s="4638">
        <f t="shared" si="40"/>
        <v>3815.3999999999996</v>
      </c>
      <c r="AR204" s="4641">
        <v>26</v>
      </c>
      <c r="AS204" s="4638">
        <f t="shared" si="41"/>
        <v>7.8</v>
      </c>
      <c r="AT204" s="4641">
        <v>37</v>
      </c>
      <c r="AU204" s="4638">
        <f t="shared" si="42"/>
        <v>11.1</v>
      </c>
      <c r="AV204" s="4641" t="s">
        <v>767</v>
      </c>
      <c r="AW204" s="4638" t="s">
        <v>767</v>
      </c>
      <c r="AX204" s="4641" t="s">
        <v>767</v>
      </c>
      <c r="AY204" s="4638" t="s">
        <v>767</v>
      </c>
      <c r="AZ204" s="4641">
        <v>53164</v>
      </c>
      <c r="BA204" s="4638">
        <f t="shared" si="43"/>
        <v>15949.199999999999</v>
      </c>
      <c r="BB204" s="4641">
        <v>16982</v>
      </c>
      <c r="BC204" s="4638">
        <f t="shared" si="44"/>
        <v>5094.5999999999995</v>
      </c>
      <c r="BD204" s="4641">
        <v>60013</v>
      </c>
      <c r="BE204" s="4638">
        <f t="shared" si="45"/>
        <v>18003.899999999998</v>
      </c>
      <c r="BF204" s="4641">
        <v>575010</v>
      </c>
      <c r="BG204" s="4638">
        <f t="shared" si="46"/>
        <v>172503</v>
      </c>
      <c r="BH204" s="4543"/>
      <c r="BI204" s="4543"/>
      <c r="BJ204" s="4543"/>
      <c r="BK204" s="3185"/>
      <c r="BL204" s="4543"/>
      <c r="BM204" s="4543"/>
      <c r="BN204" s="4648"/>
      <c r="BO204" s="4648"/>
      <c r="BP204" s="4648"/>
      <c r="BQ204" s="4648"/>
      <c r="BR204" s="4557"/>
    </row>
    <row r="205" spans="1:70" ht="36" customHeight="1" x14ac:dyDescent="0.2">
      <c r="A205" s="995"/>
      <c r="B205" s="996"/>
      <c r="C205" s="997"/>
      <c r="D205" s="996"/>
      <c r="E205" s="996"/>
      <c r="F205" s="997"/>
      <c r="G205" s="1001"/>
      <c r="H205" s="996"/>
      <c r="I205" s="997"/>
      <c r="J205" s="4518"/>
      <c r="K205" s="4601"/>
      <c r="L205" s="4526"/>
      <c r="M205" s="4526"/>
      <c r="N205" s="4526"/>
      <c r="O205" s="1053"/>
      <c r="P205" s="4528"/>
      <c r="Q205" s="4521"/>
      <c r="R205" s="4531"/>
      <c r="S205" s="4534"/>
      <c r="T205" s="4521"/>
      <c r="U205" s="4521"/>
      <c r="V205" s="4552"/>
      <c r="W205" s="2609">
        <v>32000000</v>
      </c>
      <c r="X205" s="2595">
        <v>0</v>
      </c>
      <c r="Y205" s="2595">
        <v>0</v>
      </c>
      <c r="Z205" s="1051">
        <v>98</v>
      </c>
      <c r="AA205" s="1052" t="s">
        <v>1014</v>
      </c>
      <c r="AB205" s="4641"/>
      <c r="AC205" s="4638"/>
      <c r="AD205" s="4641">
        <v>282326</v>
      </c>
      <c r="AE205" s="4638">
        <f t="shared" si="36"/>
        <v>84697.8</v>
      </c>
      <c r="AF205" s="4641">
        <v>135912</v>
      </c>
      <c r="AG205" s="4638">
        <f t="shared" si="37"/>
        <v>40773.599999999999</v>
      </c>
      <c r="AH205" s="4641">
        <v>45122</v>
      </c>
      <c r="AI205" s="4638">
        <f t="shared" si="38"/>
        <v>13536.6</v>
      </c>
      <c r="AJ205" s="4641">
        <v>307101</v>
      </c>
      <c r="AK205" s="4638">
        <v>92130.3</v>
      </c>
      <c r="AL205" s="4641">
        <v>86875</v>
      </c>
      <c r="AM205" s="4638">
        <v>26062.5</v>
      </c>
      <c r="AN205" s="4641">
        <v>2145</v>
      </c>
      <c r="AO205" s="4638">
        <f t="shared" si="39"/>
        <v>643.5</v>
      </c>
      <c r="AP205" s="4641">
        <v>12718</v>
      </c>
      <c r="AQ205" s="4638">
        <f t="shared" si="40"/>
        <v>3815.3999999999996</v>
      </c>
      <c r="AR205" s="4641">
        <v>26</v>
      </c>
      <c r="AS205" s="4638">
        <f t="shared" si="41"/>
        <v>7.8</v>
      </c>
      <c r="AT205" s="4641">
        <v>37</v>
      </c>
      <c r="AU205" s="4638">
        <f t="shared" si="42"/>
        <v>11.1</v>
      </c>
      <c r="AV205" s="4641" t="s">
        <v>767</v>
      </c>
      <c r="AW205" s="4638" t="s">
        <v>767</v>
      </c>
      <c r="AX205" s="4641" t="s">
        <v>767</v>
      </c>
      <c r="AY205" s="4638" t="s">
        <v>767</v>
      </c>
      <c r="AZ205" s="4641">
        <v>53164</v>
      </c>
      <c r="BA205" s="4638">
        <f t="shared" si="43"/>
        <v>15949.199999999999</v>
      </c>
      <c r="BB205" s="4641">
        <v>16982</v>
      </c>
      <c r="BC205" s="4638">
        <f t="shared" si="44"/>
        <v>5094.5999999999995</v>
      </c>
      <c r="BD205" s="4641">
        <v>60013</v>
      </c>
      <c r="BE205" s="4638">
        <f t="shared" si="45"/>
        <v>18003.899999999998</v>
      </c>
      <c r="BF205" s="4641">
        <v>575010</v>
      </c>
      <c r="BG205" s="4638">
        <f t="shared" si="46"/>
        <v>172503</v>
      </c>
      <c r="BH205" s="4543"/>
      <c r="BI205" s="4543"/>
      <c r="BJ205" s="4543"/>
      <c r="BK205" s="3185"/>
      <c r="BL205" s="4543"/>
      <c r="BM205" s="4543"/>
      <c r="BN205" s="4648"/>
      <c r="BO205" s="4648"/>
      <c r="BP205" s="4648"/>
      <c r="BQ205" s="4648"/>
      <c r="BR205" s="4557"/>
    </row>
    <row r="206" spans="1:70" ht="85.5" x14ac:dyDescent="0.2">
      <c r="A206" s="995"/>
      <c r="B206" s="996"/>
      <c r="C206" s="997"/>
      <c r="D206" s="996"/>
      <c r="E206" s="996"/>
      <c r="F206" s="997"/>
      <c r="G206" s="1001"/>
      <c r="H206" s="996"/>
      <c r="I206" s="997"/>
      <c r="J206" s="4643"/>
      <c r="K206" s="4601"/>
      <c r="L206" s="4523"/>
      <c r="M206" s="4523"/>
      <c r="N206" s="4526"/>
      <c r="O206" s="1053"/>
      <c r="P206" s="4528"/>
      <c r="Q206" s="4521"/>
      <c r="R206" s="4532"/>
      <c r="S206" s="4534"/>
      <c r="T206" s="4521"/>
      <c r="U206" s="4522"/>
      <c r="V206" s="980" t="s">
        <v>1015</v>
      </c>
      <c r="W206" s="2301">
        <v>24000000</v>
      </c>
      <c r="X206" s="1809">
        <f>SUM(7769000*2)+538000</f>
        <v>16076000</v>
      </c>
      <c r="Y206" s="1809">
        <v>10358800</v>
      </c>
      <c r="Z206" s="1051">
        <v>61</v>
      </c>
      <c r="AA206" s="1054" t="s">
        <v>86</v>
      </c>
      <c r="AB206" s="4641"/>
      <c r="AC206" s="4638"/>
      <c r="AD206" s="4641">
        <v>282326</v>
      </c>
      <c r="AE206" s="4638">
        <f t="shared" si="36"/>
        <v>84697.8</v>
      </c>
      <c r="AF206" s="4641">
        <v>135912</v>
      </c>
      <c r="AG206" s="4638">
        <f t="shared" si="37"/>
        <v>40773.599999999999</v>
      </c>
      <c r="AH206" s="4641">
        <v>45122</v>
      </c>
      <c r="AI206" s="4638">
        <f t="shared" si="38"/>
        <v>13536.6</v>
      </c>
      <c r="AJ206" s="4641">
        <v>307101</v>
      </c>
      <c r="AK206" s="4638">
        <v>92130.3</v>
      </c>
      <c r="AL206" s="4641">
        <v>86875</v>
      </c>
      <c r="AM206" s="4638">
        <v>26062.5</v>
      </c>
      <c r="AN206" s="4641">
        <v>2145</v>
      </c>
      <c r="AO206" s="4638">
        <f t="shared" si="39"/>
        <v>643.5</v>
      </c>
      <c r="AP206" s="4641">
        <v>12718</v>
      </c>
      <c r="AQ206" s="4638">
        <f t="shared" si="40"/>
        <v>3815.3999999999996</v>
      </c>
      <c r="AR206" s="4641">
        <v>26</v>
      </c>
      <c r="AS206" s="4638">
        <f t="shared" si="41"/>
        <v>7.8</v>
      </c>
      <c r="AT206" s="4641">
        <v>37</v>
      </c>
      <c r="AU206" s="4638">
        <f t="shared" si="42"/>
        <v>11.1</v>
      </c>
      <c r="AV206" s="4641" t="s">
        <v>767</v>
      </c>
      <c r="AW206" s="4638" t="s">
        <v>767</v>
      </c>
      <c r="AX206" s="4641" t="s">
        <v>767</v>
      </c>
      <c r="AY206" s="4638" t="s">
        <v>767</v>
      </c>
      <c r="AZ206" s="4641">
        <v>53164</v>
      </c>
      <c r="BA206" s="4638">
        <f t="shared" si="43"/>
        <v>15949.199999999999</v>
      </c>
      <c r="BB206" s="4641">
        <v>16982</v>
      </c>
      <c r="BC206" s="4638">
        <f t="shared" si="44"/>
        <v>5094.5999999999995</v>
      </c>
      <c r="BD206" s="4641">
        <v>60013</v>
      </c>
      <c r="BE206" s="4638">
        <f t="shared" si="45"/>
        <v>18003.899999999998</v>
      </c>
      <c r="BF206" s="4641">
        <v>575010</v>
      </c>
      <c r="BG206" s="4638">
        <f t="shared" si="46"/>
        <v>172503</v>
      </c>
      <c r="BH206" s="4543"/>
      <c r="BI206" s="4543"/>
      <c r="BJ206" s="4543"/>
      <c r="BK206" s="3185"/>
      <c r="BL206" s="4543"/>
      <c r="BM206" s="4543"/>
      <c r="BN206" s="4648"/>
      <c r="BO206" s="4648"/>
      <c r="BP206" s="4648"/>
      <c r="BQ206" s="4648"/>
      <c r="BR206" s="4557"/>
    </row>
    <row r="207" spans="1:70" ht="43.5" customHeight="1" x14ac:dyDescent="0.2">
      <c r="A207" s="995"/>
      <c r="B207" s="996"/>
      <c r="C207" s="997"/>
      <c r="D207" s="996"/>
      <c r="E207" s="996"/>
      <c r="F207" s="997"/>
      <c r="G207" s="1001"/>
      <c r="H207" s="996"/>
      <c r="I207" s="996"/>
      <c r="J207" s="4614">
        <v>152</v>
      </c>
      <c r="K207" s="4644" t="s">
        <v>1016</v>
      </c>
      <c r="L207" s="4580" t="s">
        <v>759</v>
      </c>
      <c r="M207" s="4645">
        <v>1</v>
      </c>
      <c r="N207" s="4526">
        <v>1</v>
      </c>
      <c r="O207" s="1055" t="s">
        <v>1017</v>
      </c>
      <c r="P207" s="4528"/>
      <c r="Q207" s="4521"/>
      <c r="R207" s="4530">
        <f>SUM(W207:W208)/S202</f>
        <v>4.0854831969718411E-2</v>
      </c>
      <c r="S207" s="4534"/>
      <c r="T207" s="4521"/>
      <c r="U207" s="4520" t="s">
        <v>1018</v>
      </c>
      <c r="V207" s="4551" t="s">
        <v>1019</v>
      </c>
      <c r="W207" s="2600">
        <v>48000000</v>
      </c>
      <c r="X207" s="1809">
        <v>39590000</v>
      </c>
      <c r="Y207" s="1809">
        <v>31672000</v>
      </c>
      <c r="Z207" s="1056">
        <v>61</v>
      </c>
      <c r="AA207" s="1052" t="s">
        <v>975</v>
      </c>
      <c r="AB207" s="4641"/>
      <c r="AC207" s="4638"/>
      <c r="AD207" s="4641">
        <v>282326</v>
      </c>
      <c r="AE207" s="4638">
        <f t="shared" si="36"/>
        <v>84697.8</v>
      </c>
      <c r="AF207" s="4641">
        <v>135912</v>
      </c>
      <c r="AG207" s="4638">
        <f t="shared" si="37"/>
        <v>40773.599999999999</v>
      </c>
      <c r="AH207" s="4641">
        <v>45122</v>
      </c>
      <c r="AI207" s="4638">
        <f t="shared" si="38"/>
        <v>13536.6</v>
      </c>
      <c r="AJ207" s="4641">
        <v>307101</v>
      </c>
      <c r="AK207" s="4638">
        <v>92130.3</v>
      </c>
      <c r="AL207" s="4641">
        <v>86875</v>
      </c>
      <c r="AM207" s="4638">
        <v>26062.5</v>
      </c>
      <c r="AN207" s="4641">
        <v>2145</v>
      </c>
      <c r="AO207" s="4638">
        <f t="shared" si="39"/>
        <v>643.5</v>
      </c>
      <c r="AP207" s="4641">
        <v>12718</v>
      </c>
      <c r="AQ207" s="4638">
        <f t="shared" si="40"/>
        <v>3815.3999999999996</v>
      </c>
      <c r="AR207" s="4641">
        <v>26</v>
      </c>
      <c r="AS207" s="4638">
        <f t="shared" si="41"/>
        <v>7.8</v>
      </c>
      <c r="AT207" s="4641">
        <v>37</v>
      </c>
      <c r="AU207" s="4638">
        <f t="shared" si="42"/>
        <v>11.1</v>
      </c>
      <c r="AV207" s="4641" t="s">
        <v>767</v>
      </c>
      <c r="AW207" s="4638" t="s">
        <v>767</v>
      </c>
      <c r="AX207" s="4641" t="s">
        <v>767</v>
      </c>
      <c r="AY207" s="4638" t="s">
        <v>767</v>
      </c>
      <c r="AZ207" s="4641">
        <v>53164</v>
      </c>
      <c r="BA207" s="4638">
        <f t="shared" si="43"/>
        <v>15949.199999999999</v>
      </c>
      <c r="BB207" s="4641">
        <v>16982</v>
      </c>
      <c r="BC207" s="4638">
        <f t="shared" si="44"/>
        <v>5094.5999999999995</v>
      </c>
      <c r="BD207" s="4641">
        <v>60013</v>
      </c>
      <c r="BE207" s="4638">
        <f t="shared" si="45"/>
        <v>18003.899999999998</v>
      </c>
      <c r="BF207" s="4641">
        <v>575010</v>
      </c>
      <c r="BG207" s="4638">
        <f t="shared" si="46"/>
        <v>172503</v>
      </c>
      <c r="BH207" s="4543"/>
      <c r="BI207" s="4543"/>
      <c r="BJ207" s="4543"/>
      <c r="BK207" s="3185"/>
      <c r="BL207" s="4543"/>
      <c r="BM207" s="4543"/>
      <c r="BN207" s="4648"/>
      <c r="BO207" s="4648"/>
      <c r="BP207" s="4648"/>
      <c r="BQ207" s="4648"/>
      <c r="BR207" s="4557"/>
    </row>
    <row r="208" spans="1:70" ht="54.75" customHeight="1" x14ac:dyDescent="0.2">
      <c r="A208" s="995"/>
      <c r="B208" s="996"/>
      <c r="C208" s="997"/>
      <c r="D208" s="996"/>
      <c r="E208" s="996"/>
      <c r="F208" s="997"/>
      <c r="G208" s="1001"/>
      <c r="H208" s="996"/>
      <c r="I208" s="996"/>
      <c r="J208" s="4615"/>
      <c r="K208" s="4644"/>
      <c r="L208" s="4580"/>
      <c r="M208" s="4645"/>
      <c r="N208" s="4526"/>
      <c r="O208" s="1055"/>
      <c r="P208" s="4528"/>
      <c r="Q208" s="4521"/>
      <c r="R208" s="4532"/>
      <c r="S208" s="4534"/>
      <c r="T208" s="4521"/>
      <c r="U208" s="4521"/>
      <c r="V208" s="4552"/>
      <c r="W208" s="2597">
        <v>18000000</v>
      </c>
      <c r="X208" s="2609">
        <v>0</v>
      </c>
      <c r="Y208" s="2609">
        <v>0</v>
      </c>
      <c r="Z208" s="1056">
        <v>98</v>
      </c>
      <c r="AA208" s="1052" t="s">
        <v>1014</v>
      </c>
      <c r="AB208" s="4641"/>
      <c r="AC208" s="4638"/>
      <c r="AD208" s="4641">
        <v>282326</v>
      </c>
      <c r="AE208" s="4638">
        <f t="shared" si="36"/>
        <v>84697.8</v>
      </c>
      <c r="AF208" s="4641">
        <v>135912</v>
      </c>
      <c r="AG208" s="4638">
        <f t="shared" si="37"/>
        <v>40773.599999999999</v>
      </c>
      <c r="AH208" s="4641">
        <v>45122</v>
      </c>
      <c r="AI208" s="4638">
        <f t="shared" si="38"/>
        <v>13536.6</v>
      </c>
      <c r="AJ208" s="4641">
        <v>307101</v>
      </c>
      <c r="AK208" s="4638">
        <v>92130.3</v>
      </c>
      <c r="AL208" s="4641">
        <v>86875</v>
      </c>
      <c r="AM208" s="4638">
        <v>26062.5</v>
      </c>
      <c r="AN208" s="4641">
        <v>2145</v>
      </c>
      <c r="AO208" s="4638">
        <f t="shared" si="39"/>
        <v>643.5</v>
      </c>
      <c r="AP208" s="4641">
        <v>12718</v>
      </c>
      <c r="AQ208" s="4638">
        <f t="shared" si="40"/>
        <v>3815.3999999999996</v>
      </c>
      <c r="AR208" s="4641">
        <v>26</v>
      </c>
      <c r="AS208" s="4638">
        <f t="shared" si="41"/>
        <v>7.8</v>
      </c>
      <c r="AT208" s="4641">
        <v>37</v>
      </c>
      <c r="AU208" s="4638">
        <f t="shared" si="42"/>
        <v>11.1</v>
      </c>
      <c r="AV208" s="4641" t="s">
        <v>767</v>
      </c>
      <c r="AW208" s="4638" t="s">
        <v>767</v>
      </c>
      <c r="AX208" s="4641" t="s">
        <v>767</v>
      </c>
      <c r="AY208" s="4638" t="s">
        <v>767</v>
      </c>
      <c r="AZ208" s="4641">
        <v>53164</v>
      </c>
      <c r="BA208" s="4638">
        <f t="shared" si="43"/>
        <v>15949.199999999999</v>
      </c>
      <c r="BB208" s="4641">
        <v>16982</v>
      </c>
      <c r="BC208" s="4638">
        <f t="shared" si="44"/>
        <v>5094.5999999999995</v>
      </c>
      <c r="BD208" s="4641">
        <v>60013</v>
      </c>
      <c r="BE208" s="4638">
        <f t="shared" si="45"/>
        <v>18003.899999999998</v>
      </c>
      <c r="BF208" s="4641">
        <v>575010</v>
      </c>
      <c r="BG208" s="4638">
        <f t="shared" si="46"/>
        <v>172503</v>
      </c>
      <c r="BH208" s="4543"/>
      <c r="BI208" s="4543"/>
      <c r="BJ208" s="4543"/>
      <c r="BK208" s="3185"/>
      <c r="BL208" s="4543"/>
      <c r="BM208" s="4543"/>
      <c r="BN208" s="4648"/>
      <c r="BO208" s="4648"/>
      <c r="BP208" s="4648"/>
      <c r="BQ208" s="4648"/>
      <c r="BR208" s="4557"/>
    </row>
    <row r="209" spans="1:70" ht="71.25" x14ac:dyDescent="0.2">
      <c r="A209" s="995"/>
      <c r="B209" s="996"/>
      <c r="C209" s="997"/>
      <c r="D209" s="996"/>
      <c r="E209" s="996"/>
      <c r="F209" s="997"/>
      <c r="G209" s="1001"/>
      <c r="H209" s="996"/>
      <c r="I209" s="997"/>
      <c r="J209" s="4646">
        <v>153</v>
      </c>
      <c r="K209" s="4601" t="s">
        <v>1020</v>
      </c>
      <c r="L209" s="4524" t="s">
        <v>759</v>
      </c>
      <c r="M209" s="4524">
        <v>150</v>
      </c>
      <c r="N209" s="4526">
        <v>43</v>
      </c>
      <c r="O209" s="1055" t="s">
        <v>1021</v>
      </c>
      <c r="P209" s="4528"/>
      <c r="Q209" s="4521"/>
      <c r="R209" s="4530">
        <f>SUM(W209:W217)/S202</f>
        <v>0.8873397057804735</v>
      </c>
      <c r="S209" s="4534"/>
      <c r="T209" s="4521"/>
      <c r="U209" s="4521"/>
      <c r="V209" s="1057" t="s">
        <v>1022</v>
      </c>
      <c r="W209" s="2600">
        <v>24000000</v>
      </c>
      <c r="X209" s="1809">
        <v>24000000</v>
      </c>
      <c r="Y209" s="1809">
        <v>24000000</v>
      </c>
      <c r="Z209" s="977">
        <v>63</v>
      </c>
      <c r="AA209" s="1058" t="s">
        <v>1023</v>
      </c>
      <c r="AB209" s="4641"/>
      <c r="AC209" s="4638"/>
      <c r="AD209" s="4641">
        <v>282326</v>
      </c>
      <c r="AE209" s="4638">
        <f t="shared" si="36"/>
        <v>84697.8</v>
      </c>
      <c r="AF209" s="4641">
        <v>135912</v>
      </c>
      <c r="AG209" s="4638">
        <f t="shared" si="37"/>
        <v>40773.599999999999</v>
      </c>
      <c r="AH209" s="4641">
        <v>45122</v>
      </c>
      <c r="AI209" s="4638">
        <f t="shared" si="38"/>
        <v>13536.6</v>
      </c>
      <c r="AJ209" s="4641">
        <v>307101</v>
      </c>
      <c r="AK209" s="4638">
        <v>92130.3</v>
      </c>
      <c r="AL209" s="4641">
        <v>86875</v>
      </c>
      <c r="AM209" s="4638">
        <v>26062.5</v>
      </c>
      <c r="AN209" s="4641">
        <v>2145</v>
      </c>
      <c r="AO209" s="4638">
        <f t="shared" si="39"/>
        <v>643.5</v>
      </c>
      <c r="AP209" s="4641">
        <v>12718</v>
      </c>
      <c r="AQ209" s="4638">
        <f t="shared" si="40"/>
        <v>3815.3999999999996</v>
      </c>
      <c r="AR209" s="4641">
        <v>26</v>
      </c>
      <c r="AS209" s="4638">
        <f t="shared" si="41"/>
        <v>7.8</v>
      </c>
      <c r="AT209" s="4641">
        <v>37</v>
      </c>
      <c r="AU209" s="4638">
        <f t="shared" si="42"/>
        <v>11.1</v>
      </c>
      <c r="AV209" s="4641" t="s">
        <v>767</v>
      </c>
      <c r="AW209" s="4638" t="s">
        <v>767</v>
      </c>
      <c r="AX209" s="4641" t="s">
        <v>767</v>
      </c>
      <c r="AY209" s="4638" t="s">
        <v>767</v>
      </c>
      <c r="AZ209" s="4641">
        <v>53164</v>
      </c>
      <c r="BA209" s="4638">
        <f t="shared" si="43"/>
        <v>15949.199999999999</v>
      </c>
      <c r="BB209" s="4641">
        <v>16982</v>
      </c>
      <c r="BC209" s="4638">
        <f t="shared" si="44"/>
        <v>5094.5999999999995</v>
      </c>
      <c r="BD209" s="4641">
        <v>60013</v>
      </c>
      <c r="BE209" s="4638">
        <f t="shared" si="45"/>
        <v>18003.899999999998</v>
      </c>
      <c r="BF209" s="4641">
        <v>575010</v>
      </c>
      <c r="BG209" s="4638">
        <f t="shared" si="46"/>
        <v>172503</v>
      </c>
      <c r="BH209" s="4543"/>
      <c r="BI209" s="4543"/>
      <c r="BJ209" s="4543"/>
      <c r="BK209" s="3185"/>
      <c r="BL209" s="4543"/>
      <c r="BM209" s="4543"/>
      <c r="BN209" s="4648"/>
      <c r="BO209" s="4648"/>
      <c r="BP209" s="4648"/>
      <c r="BQ209" s="4648"/>
      <c r="BR209" s="4557"/>
    </row>
    <row r="210" spans="1:70" ht="33.75" customHeight="1" x14ac:dyDescent="0.2">
      <c r="A210" s="995"/>
      <c r="B210" s="996"/>
      <c r="C210" s="997"/>
      <c r="D210" s="996"/>
      <c r="E210" s="996"/>
      <c r="F210" s="997"/>
      <c r="G210" s="1001"/>
      <c r="H210" s="996"/>
      <c r="I210" s="997"/>
      <c r="J210" s="4518"/>
      <c r="K210" s="4601"/>
      <c r="L210" s="4524"/>
      <c r="M210" s="4524"/>
      <c r="N210" s="4526"/>
      <c r="O210" s="1055"/>
      <c r="P210" s="4528"/>
      <c r="Q210" s="4521"/>
      <c r="R210" s="4531"/>
      <c r="S210" s="4534"/>
      <c r="T210" s="4521"/>
      <c r="U210" s="4521"/>
      <c r="V210" s="4551" t="s">
        <v>1024</v>
      </c>
      <c r="W210" s="2600">
        <v>718800528</v>
      </c>
      <c r="X210" s="1809">
        <f>122690000+20000000</f>
        <v>142690000</v>
      </c>
      <c r="Y210" s="1809">
        <v>101111616</v>
      </c>
      <c r="Z210" s="977">
        <v>63</v>
      </c>
      <c r="AA210" s="1058" t="s">
        <v>1023</v>
      </c>
      <c r="AB210" s="4641"/>
      <c r="AC210" s="4638"/>
      <c r="AD210" s="4641">
        <v>282326</v>
      </c>
      <c r="AE210" s="4638">
        <f t="shared" si="36"/>
        <v>84697.8</v>
      </c>
      <c r="AF210" s="4641">
        <v>135912</v>
      </c>
      <c r="AG210" s="4638">
        <f t="shared" si="37"/>
        <v>40773.599999999999</v>
      </c>
      <c r="AH210" s="4641">
        <v>45122</v>
      </c>
      <c r="AI210" s="4638">
        <f t="shared" si="38"/>
        <v>13536.6</v>
      </c>
      <c r="AJ210" s="4641">
        <v>307101</v>
      </c>
      <c r="AK210" s="4638">
        <v>92130.3</v>
      </c>
      <c r="AL210" s="4641">
        <v>86875</v>
      </c>
      <c r="AM210" s="4638">
        <v>26062.5</v>
      </c>
      <c r="AN210" s="4641">
        <v>2145</v>
      </c>
      <c r="AO210" s="4638">
        <f t="shared" si="39"/>
        <v>643.5</v>
      </c>
      <c r="AP210" s="4641">
        <v>12718</v>
      </c>
      <c r="AQ210" s="4638">
        <f t="shared" si="40"/>
        <v>3815.3999999999996</v>
      </c>
      <c r="AR210" s="4641">
        <v>26</v>
      </c>
      <c r="AS210" s="4638">
        <f t="shared" si="41"/>
        <v>7.8</v>
      </c>
      <c r="AT210" s="4641">
        <v>37</v>
      </c>
      <c r="AU210" s="4638">
        <f t="shared" si="42"/>
        <v>11.1</v>
      </c>
      <c r="AV210" s="4641" t="s">
        <v>767</v>
      </c>
      <c r="AW210" s="4638" t="s">
        <v>767</v>
      </c>
      <c r="AX210" s="4641" t="s">
        <v>767</v>
      </c>
      <c r="AY210" s="4638" t="s">
        <v>767</v>
      </c>
      <c r="AZ210" s="4641">
        <v>53164</v>
      </c>
      <c r="BA210" s="4638">
        <f t="shared" si="43"/>
        <v>15949.199999999999</v>
      </c>
      <c r="BB210" s="4641">
        <v>16982</v>
      </c>
      <c r="BC210" s="4638">
        <f t="shared" si="44"/>
        <v>5094.5999999999995</v>
      </c>
      <c r="BD210" s="4641">
        <v>60013</v>
      </c>
      <c r="BE210" s="4638">
        <f t="shared" si="45"/>
        <v>18003.899999999998</v>
      </c>
      <c r="BF210" s="4641">
        <v>575010</v>
      </c>
      <c r="BG210" s="4638">
        <f t="shared" si="46"/>
        <v>172503</v>
      </c>
      <c r="BH210" s="4543"/>
      <c r="BI210" s="4543"/>
      <c r="BJ210" s="4543"/>
      <c r="BK210" s="3185"/>
      <c r="BL210" s="4543"/>
      <c r="BM210" s="4543"/>
      <c r="BN210" s="4648"/>
      <c r="BO210" s="4648"/>
      <c r="BP210" s="4648"/>
      <c r="BQ210" s="4648"/>
      <c r="BR210" s="4557"/>
    </row>
    <row r="211" spans="1:70" ht="45" customHeight="1" x14ac:dyDescent="0.2">
      <c r="A211" s="995"/>
      <c r="B211" s="996"/>
      <c r="C211" s="997"/>
      <c r="D211" s="996"/>
      <c r="E211" s="996"/>
      <c r="F211" s="997"/>
      <c r="G211" s="1001"/>
      <c r="H211" s="996"/>
      <c r="I211" s="997"/>
      <c r="J211" s="4518"/>
      <c r="K211" s="4601"/>
      <c r="L211" s="4524"/>
      <c r="M211" s="4524"/>
      <c r="N211" s="4526"/>
      <c r="O211" s="1055" t="s">
        <v>1025</v>
      </c>
      <c r="P211" s="4528"/>
      <c r="Q211" s="4521"/>
      <c r="R211" s="4531"/>
      <c r="S211" s="4534"/>
      <c r="T211" s="4521"/>
      <c r="U211" s="4521"/>
      <c r="V211" s="4631"/>
      <c r="W211" s="2597">
        <v>590675459</v>
      </c>
      <c r="X211" s="2597">
        <v>0</v>
      </c>
      <c r="Y211" s="2597">
        <v>0</v>
      </c>
      <c r="Z211" s="977">
        <v>99</v>
      </c>
      <c r="AA211" s="1058" t="s">
        <v>1026</v>
      </c>
      <c r="AB211" s="4641"/>
      <c r="AC211" s="4638"/>
      <c r="AD211" s="4641">
        <v>282326</v>
      </c>
      <c r="AE211" s="4638">
        <f t="shared" si="36"/>
        <v>84697.8</v>
      </c>
      <c r="AF211" s="4641">
        <v>135912</v>
      </c>
      <c r="AG211" s="4638">
        <f t="shared" si="37"/>
        <v>40773.599999999999</v>
      </c>
      <c r="AH211" s="4641">
        <v>45122</v>
      </c>
      <c r="AI211" s="4638">
        <f t="shared" si="38"/>
        <v>13536.6</v>
      </c>
      <c r="AJ211" s="4641">
        <v>307101</v>
      </c>
      <c r="AK211" s="4638">
        <v>92130.3</v>
      </c>
      <c r="AL211" s="4641">
        <v>86875</v>
      </c>
      <c r="AM211" s="4638">
        <v>26062.5</v>
      </c>
      <c r="AN211" s="4641">
        <v>2145</v>
      </c>
      <c r="AO211" s="4638">
        <f t="shared" si="39"/>
        <v>643.5</v>
      </c>
      <c r="AP211" s="4641">
        <v>12718</v>
      </c>
      <c r="AQ211" s="4638">
        <f t="shared" si="40"/>
        <v>3815.3999999999996</v>
      </c>
      <c r="AR211" s="4641">
        <v>26</v>
      </c>
      <c r="AS211" s="4638">
        <f t="shared" si="41"/>
        <v>7.8</v>
      </c>
      <c r="AT211" s="4641">
        <v>37</v>
      </c>
      <c r="AU211" s="4638">
        <f t="shared" si="42"/>
        <v>11.1</v>
      </c>
      <c r="AV211" s="4641" t="s">
        <v>767</v>
      </c>
      <c r="AW211" s="4638" t="s">
        <v>767</v>
      </c>
      <c r="AX211" s="4641" t="s">
        <v>767</v>
      </c>
      <c r="AY211" s="4638" t="s">
        <v>767</v>
      </c>
      <c r="AZ211" s="4641">
        <v>53164</v>
      </c>
      <c r="BA211" s="4638">
        <f t="shared" si="43"/>
        <v>15949.199999999999</v>
      </c>
      <c r="BB211" s="4641">
        <v>16982</v>
      </c>
      <c r="BC211" s="4638">
        <f t="shared" si="44"/>
        <v>5094.5999999999995</v>
      </c>
      <c r="BD211" s="4641">
        <v>60013</v>
      </c>
      <c r="BE211" s="4638">
        <f t="shared" si="45"/>
        <v>18003.899999999998</v>
      </c>
      <c r="BF211" s="4641">
        <v>575010</v>
      </c>
      <c r="BG211" s="4638">
        <f t="shared" si="46"/>
        <v>172503</v>
      </c>
      <c r="BH211" s="4543"/>
      <c r="BI211" s="4543"/>
      <c r="BJ211" s="4543"/>
      <c r="BK211" s="3185"/>
      <c r="BL211" s="4543"/>
      <c r="BM211" s="4543"/>
      <c r="BN211" s="4648"/>
      <c r="BO211" s="4648"/>
      <c r="BP211" s="4648"/>
      <c r="BQ211" s="4648"/>
      <c r="BR211" s="4557"/>
    </row>
    <row r="212" spans="1:70" ht="45" customHeight="1" x14ac:dyDescent="0.2">
      <c r="A212" s="995"/>
      <c r="B212" s="996"/>
      <c r="C212" s="997"/>
      <c r="D212" s="996"/>
      <c r="E212" s="996"/>
      <c r="F212" s="997"/>
      <c r="G212" s="1001"/>
      <c r="H212" s="996"/>
      <c r="I212" s="997"/>
      <c r="J212" s="4518"/>
      <c r="K212" s="4601"/>
      <c r="L212" s="4524"/>
      <c r="M212" s="4524"/>
      <c r="N212" s="4526"/>
      <c r="O212" s="1055"/>
      <c r="P212" s="4528"/>
      <c r="Q212" s="4521"/>
      <c r="R212" s="4531"/>
      <c r="S212" s="4534"/>
      <c r="T212" s="4521"/>
      <c r="U212" s="4521"/>
      <c r="V212" s="980" t="s">
        <v>1027</v>
      </c>
      <c r="W212" s="2597">
        <v>0</v>
      </c>
      <c r="X212" s="2597">
        <v>0</v>
      </c>
      <c r="Y212" s="2597">
        <v>0</v>
      </c>
      <c r="Z212" s="977">
        <v>63</v>
      </c>
      <c r="AA212" s="1058" t="s">
        <v>1023</v>
      </c>
      <c r="AB212" s="4641"/>
      <c r="AC212" s="4638"/>
      <c r="AD212" s="4641">
        <v>282326</v>
      </c>
      <c r="AE212" s="4638">
        <f t="shared" si="36"/>
        <v>84697.8</v>
      </c>
      <c r="AF212" s="4641">
        <v>135912</v>
      </c>
      <c r="AG212" s="4638">
        <f t="shared" si="37"/>
        <v>40773.599999999999</v>
      </c>
      <c r="AH212" s="4641">
        <v>45122</v>
      </c>
      <c r="AI212" s="4638">
        <f t="shared" si="38"/>
        <v>13536.6</v>
      </c>
      <c r="AJ212" s="4641">
        <v>307101</v>
      </c>
      <c r="AK212" s="4638">
        <v>92130.3</v>
      </c>
      <c r="AL212" s="4641">
        <v>86875</v>
      </c>
      <c r="AM212" s="4638">
        <v>26062.5</v>
      </c>
      <c r="AN212" s="4641">
        <v>2145</v>
      </c>
      <c r="AO212" s="4638">
        <f t="shared" si="39"/>
        <v>643.5</v>
      </c>
      <c r="AP212" s="4641">
        <v>12718</v>
      </c>
      <c r="AQ212" s="4638">
        <f t="shared" si="40"/>
        <v>3815.3999999999996</v>
      </c>
      <c r="AR212" s="4641">
        <v>26</v>
      </c>
      <c r="AS212" s="4638">
        <f t="shared" si="41"/>
        <v>7.8</v>
      </c>
      <c r="AT212" s="4641">
        <v>37</v>
      </c>
      <c r="AU212" s="4638">
        <f t="shared" si="42"/>
        <v>11.1</v>
      </c>
      <c r="AV212" s="4641" t="s">
        <v>767</v>
      </c>
      <c r="AW212" s="4638" t="s">
        <v>767</v>
      </c>
      <c r="AX212" s="4641" t="s">
        <v>767</v>
      </c>
      <c r="AY212" s="4638" t="s">
        <v>767</v>
      </c>
      <c r="AZ212" s="4641">
        <v>53164</v>
      </c>
      <c r="BA212" s="4638">
        <f t="shared" si="43"/>
        <v>15949.199999999999</v>
      </c>
      <c r="BB212" s="4641">
        <v>16982</v>
      </c>
      <c r="BC212" s="4638">
        <f t="shared" si="44"/>
        <v>5094.5999999999995</v>
      </c>
      <c r="BD212" s="4641">
        <v>60013</v>
      </c>
      <c r="BE212" s="4638">
        <f t="shared" si="45"/>
        <v>18003.899999999998</v>
      </c>
      <c r="BF212" s="4641">
        <v>575010</v>
      </c>
      <c r="BG212" s="4638">
        <f t="shared" si="46"/>
        <v>172503</v>
      </c>
      <c r="BH212" s="4543"/>
      <c r="BI212" s="4543"/>
      <c r="BJ212" s="4543"/>
      <c r="BK212" s="3185"/>
      <c r="BL212" s="4543"/>
      <c r="BM212" s="4543"/>
      <c r="BN212" s="4648"/>
      <c r="BO212" s="4648"/>
      <c r="BP212" s="4648"/>
      <c r="BQ212" s="4648"/>
      <c r="BR212" s="4557"/>
    </row>
    <row r="213" spans="1:70" ht="42.75" x14ac:dyDescent="0.2">
      <c r="A213" s="995"/>
      <c r="B213" s="996"/>
      <c r="C213" s="997"/>
      <c r="D213" s="996"/>
      <c r="E213" s="996"/>
      <c r="F213" s="997"/>
      <c r="G213" s="1001"/>
      <c r="H213" s="996"/>
      <c r="I213" s="997"/>
      <c r="J213" s="4518"/>
      <c r="K213" s="4601"/>
      <c r="L213" s="4524"/>
      <c r="M213" s="4524"/>
      <c r="N213" s="4526"/>
      <c r="O213" s="1055" t="s">
        <v>1028</v>
      </c>
      <c r="P213" s="4528"/>
      <c r="Q213" s="4521"/>
      <c r="R213" s="4531"/>
      <c r="S213" s="4534"/>
      <c r="T213" s="4521"/>
      <c r="U213" s="4521"/>
      <c r="V213" s="980" t="s">
        <v>1029</v>
      </c>
      <c r="W213" s="2600">
        <v>20000000</v>
      </c>
      <c r="X213" s="1809">
        <v>10000000</v>
      </c>
      <c r="Y213" s="1809">
        <v>10000000</v>
      </c>
      <c r="Z213" s="977">
        <v>63</v>
      </c>
      <c r="AA213" s="1058" t="s">
        <v>1023</v>
      </c>
      <c r="AB213" s="4641"/>
      <c r="AC213" s="4638"/>
      <c r="AD213" s="4641">
        <v>282326</v>
      </c>
      <c r="AE213" s="4638">
        <f t="shared" si="36"/>
        <v>84697.8</v>
      </c>
      <c r="AF213" s="4641">
        <v>135912</v>
      </c>
      <c r="AG213" s="4638">
        <f t="shared" si="37"/>
        <v>40773.599999999999</v>
      </c>
      <c r="AH213" s="4641">
        <v>45122</v>
      </c>
      <c r="AI213" s="4638">
        <f t="shared" si="38"/>
        <v>13536.6</v>
      </c>
      <c r="AJ213" s="4641">
        <v>307101</v>
      </c>
      <c r="AK213" s="4638">
        <v>92130.3</v>
      </c>
      <c r="AL213" s="4641">
        <v>86875</v>
      </c>
      <c r="AM213" s="4638">
        <v>26062.5</v>
      </c>
      <c r="AN213" s="4641">
        <v>2145</v>
      </c>
      <c r="AO213" s="4638">
        <f t="shared" si="39"/>
        <v>643.5</v>
      </c>
      <c r="AP213" s="4641">
        <v>12718</v>
      </c>
      <c r="AQ213" s="4638">
        <f t="shared" si="40"/>
        <v>3815.3999999999996</v>
      </c>
      <c r="AR213" s="4641">
        <v>26</v>
      </c>
      <c r="AS213" s="4638">
        <f t="shared" si="41"/>
        <v>7.8</v>
      </c>
      <c r="AT213" s="4641">
        <v>37</v>
      </c>
      <c r="AU213" s="4638">
        <f t="shared" si="42"/>
        <v>11.1</v>
      </c>
      <c r="AV213" s="4641" t="s">
        <v>767</v>
      </c>
      <c r="AW213" s="4638" t="s">
        <v>767</v>
      </c>
      <c r="AX213" s="4641" t="s">
        <v>767</v>
      </c>
      <c r="AY213" s="4638" t="s">
        <v>767</v>
      </c>
      <c r="AZ213" s="4641">
        <v>53164</v>
      </c>
      <c r="BA213" s="4638">
        <f t="shared" si="43"/>
        <v>15949.199999999999</v>
      </c>
      <c r="BB213" s="4641">
        <v>16982</v>
      </c>
      <c r="BC213" s="4638">
        <f t="shared" si="44"/>
        <v>5094.5999999999995</v>
      </c>
      <c r="BD213" s="4641">
        <v>60013</v>
      </c>
      <c r="BE213" s="4638">
        <f t="shared" si="45"/>
        <v>18003.899999999998</v>
      </c>
      <c r="BF213" s="4641">
        <v>575010</v>
      </c>
      <c r="BG213" s="4638">
        <f t="shared" si="46"/>
        <v>172503</v>
      </c>
      <c r="BH213" s="4543"/>
      <c r="BI213" s="4543"/>
      <c r="BJ213" s="4543"/>
      <c r="BK213" s="3185"/>
      <c r="BL213" s="4543"/>
      <c r="BM213" s="4543"/>
      <c r="BN213" s="4648"/>
      <c r="BO213" s="4648"/>
      <c r="BP213" s="4648"/>
      <c r="BQ213" s="4648"/>
      <c r="BR213" s="4557"/>
    </row>
    <row r="214" spans="1:70" ht="71.25" x14ac:dyDescent="0.2">
      <c r="A214" s="995"/>
      <c r="B214" s="996"/>
      <c r="C214" s="997"/>
      <c r="D214" s="996"/>
      <c r="E214" s="996"/>
      <c r="F214" s="997"/>
      <c r="G214" s="1001"/>
      <c r="H214" s="996"/>
      <c r="I214" s="997"/>
      <c r="J214" s="4518"/>
      <c r="K214" s="4601"/>
      <c r="L214" s="4524"/>
      <c r="M214" s="4524"/>
      <c r="N214" s="4526"/>
      <c r="O214" s="1055" t="s">
        <v>1030</v>
      </c>
      <c r="P214" s="4528"/>
      <c r="Q214" s="4521"/>
      <c r="R214" s="4531"/>
      <c r="S214" s="4534"/>
      <c r="T214" s="4521"/>
      <c r="U214" s="4521"/>
      <c r="V214" s="980" t="s">
        <v>1031</v>
      </c>
      <c r="W214" s="2600">
        <v>20000000</v>
      </c>
      <c r="X214" s="1809">
        <v>20000000</v>
      </c>
      <c r="Y214" s="1809">
        <v>20000000</v>
      </c>
      <c r="Z214" s="977">
        <v>63</v>
      </c>
      <c r="AA214" s="1058" t="s">
        <v>1023</v>
      </c>
      <c r="AB214" s="4641"/>
      <c r="AC214" s="4638"/>
      <c r="AD214" s="4641">
        <v>282326</v>
      </c>
      <c r="AE214" s="4638">
        <f t="shared" si="36"/>
        <v>84697.8</v>
      </c>
      <c r="AF214" s="4641">
        <v>135912</v>
      </c>
      <c r="AG214" s="4638">
        <f t="shared" si="37"/>
        <v>40773.599999999999</v>
      </c>
      <c r="AH214" s="4641">
        <v>45122</v>
      </c>
      <c r="AI214" s="4638">
        <f t="shared" si="38"/>
        <v>13536.6</v>
      </c>
      <c r="AJ214" s="4641">
        <v>307101</v>
      </c>
      <c r="AK214" s="4638">
        <v>92130.3</v>
      </c>
      <c r="AL214" s="4641">
        <v>86875</v>
      </c>
      <c r="AM214" s="4638">
        <v>26062.5</v>
      </c>
      <c r="AN214" s="4641">
        <v>2145</v>
      </c>
      <c r="AO214" s="4638">
        <f t="shared" si="39"/>
        <v>643.5</v>
      </c>
      <c r="AP214" s="4641">
        <v>12718</v>
      </c>
      <c r="AQ214" s="4638">
        <f t="shared" si="40"/>
        <v>3815.3999999999996</v>
      </c>
      <c r="AR214" s="4641">
        <v>26</v>
      </c>
      <c r="AS214" s="4638">
        <f t="shared" si="41"/>
        <v>7.8</v>
      </c>
      <c r="AT214" s="4641">
        <v>37</v>
      </c>
      <c r="AU214" s="4638">
        <f t="shared" si="42"/>
        <v>11.1</v>
      </c>
      <c r="AV214" s="4641" t="s">
        <v>767</v>
      </c>
      <c r="AW214" s="4638" t="s">
        <v>767</v>
      </c>
      <c r="AX214" s="4641" t="s">
        <v>767</v>
      </c>
      <c r="AY214" s="4638" t="s">
        <v>767</v>
      </c>
      <c r="AZ214" s="4641">
        <v>53164</v>
      </c>
      <c r="BA214" s="4638">
        <f t="shared" si="43"/>
        <v>15949.199999999999</v>
      </c>
      <c r="BB214" s="4641">
        <v>16982</v>
      </c>
      <c r="BC214" s="4638">
        <f t="shared" si="44"/>
        <v>5094.5999999999995</v>
      </c>
      <c r="BD214" s="4641">
        <v>60013</v>
      </c>
      <c r="BE214" s="4638">
        <f t="shared" si="45"/>
        <v>18003.899999999998</v>
      </c>
      <c r="BF214" s="4641">
        <v>575010</v>
      </c>
      <c r="BG214" s="4638">
        <f t="shared" si="46"/>
        <v>172503</v>
      </c>
      <c r="BH214" s="4543"/>
      <c r="BI214" s="4543"/>
      <c r="BJ214" s="4543"/>
      <c r="BK214" s="3185"/>
      <c r="BL214" s="4543"/>
      <c r="BM214" s="4543"/>
      <c r="BN214" s="4648"/>
      <c r="BO214" s="4648"/>
      <c r="BP214" s="4648"/>
      <c r="BQ214" s="4648"/>
      <c r="BR214" s="4557"/>
    </row>
    <row r="215" spans="1:70" ht="71.25" x14ac:dyDescent="0.2">
      <c r="A215" s="995"/>
      <c r="B215" s="996"/>
      <c r="C215" s="997"/>
      <c r="D215" s="996"/>
      <c r="E215" s="996"/>
      <c r="F215" s="997"/>
      <c r="G215" s="1001"/>
      <c r="H215" s="996"/>
      <c r="I215" s="997"/>
      <c r="J215" s="4518"/>
      <c r="K215" s="4601"/>
      <c r="L215" s="4524"/>
      <c r="M215" s="4524"/>
      <c r="N215" s="4526"/>
      <c r="O215" s="1059"/>
      <c r="P215" s="4528"/>
      <c r="Q215" s="4521"/>
      <c r="R215" s="4531"/>
      <c r="S215" s="4534"/>
      <c r="T215" s="4521"/>
      <c r="U215" s="4521"/>
      <c r="V215" s="980" t="s">
        <v>1032</v>
      </c>
      <c r="W215" s="2600">
        <v>20000000</v>
      </c>
      <c r="X215" s="1809">
        <v>20000000</v>
      </c>
      <c r="Y215" s="1809">
        <v>20000000</v>
      </c>
      <c r="Z215" s="977">
        <v>63</v>
      </c>
      <c r="AA215" s="1058" t="s">
        <v>1023</v>
      </c>
      <c r="AB215" s="4641"/>
      <c r="AC215" s="4638"/>
      <c r="AD215" s="4641">
        <v>282326</v>
      </c>
      <c r="AE215" s="4638">
        <f t="shared" si="36"/>
        <v>84697.8</v>
      </c>
      <c r="AF215" s="4641">
        <v>135912</v>
      </c>
      <c r="AG215" s="4638">
        <f t="shared" si="37"/>
        <v>40773.599999999999</v>
      </c>
      <c r="AH215" s="4641">
        <v>45122</v>
      </c>
      <c r="AI215" s="4638">
        <f t="shared" si="38"/>
        <v>13536.6</v>
      </c>
      <c r="AJ215" s="4641">
        <v>307101</v>
      </c>
      <c r="AK215" s="4638">
        <v>92130.3</v>
      </c>
      <c r="AL215" s="4641">
        <v>86875</v>
      </c>
      <c r="AM215" s="4638">
        <v>26062.5</v>
      </c>
      <c r="AN215" s="4641">
        <v>2145</v>
      </c>
      <c r="AO215" s="4638">
        <f t="shared" si="39"/>
        <v>643.5</v>
      </c>
      <c r="AP215" s="4641">
        <v>12718</v>
      </c>
      <c r="AQ215" s="4638">
        <f t="shared" si="40"/>
        <v>3815.3999999999996</v>
      </c>
      <c r="AR215" s="4641">
        <v>26</v>
      </c>
      <c r="AS215" s="4638">
        <f t="shared" si="41"/>
        <v>7.8</v>
      </c>
      <c r="AT215" s="4641">
        <v>37</v>
      </c>
      <c r="AU215" s="4638">
        <f t="shared" si="42"/>
        <v>11.1</v>
      </c>
      <c r="AV215" s="4641" t="s">
        <v>767</v>
      </c>
      <c r="AW215" s="4638" t="s">
        <v>767</v>
      </c>
      <c r="AX215" s="4641" t="s">
        <v>767</v>
      </c>
      <c r="AY215" s="4638" t="s">
        <v>767</v>
      </c>
      <c r="AZ215" s="4641">
        <v>53164</v>
      </c>
      <c r="BA215" s="4638">
        <f t="shared" si="43"/>
        <v>15949.199999999999</v>
      </c>
      <c r="BB215" s="4641">
        <v>16982</v>
      </c>
      <c r="BC215" s="4638">
        <f t="shared" si="44"/>
        <v>5094.5999999999995</v>
      </c>
      <c r="BD215" s="4641">
        <v>60013</v>
      </c>
      <c r="BE215" s="4638">
        <f t="shared" si="45"/>
        <v>18003.899999999998</v>
      </c>
      <c r="BF215" s="4641">
        <v>575010</v>
      </c>
      <c r="BG215" s="4638">
        <f t="shared" si="46"/>
        <v>172503</v>
      </c>
      <c r="BH215" s="4543"/>
      <c r="BI215" s="4543"/>
      <c r="BJ215" s="4543"/>
      <c r="BK215" s="3185"/>
      <c r="BL215" s="4543"/>
      <c r="BM215" s="4543"/>
      <c r="BN215" s="4648"/>
      <c r="BO215" s="4648"/>
      <c r="BP215" s="4648"/>
      <c r="BQ215" s="4648"/>
      <c r="BR215" s="4557"/>
    </row>
    <row r="216" spans="1:70" ht="45" customHeight="1" x14ac:dyDescent="0.2">
      <c r="A216" s="995"/>
      <c r="B216" s="996"/>
      <c r="C216" s="997"/>
      <c r="D216" s="996"/>
      <c r="E216" s="996"/>
      <c r="F216" s="997"/>
      <c r="G216" s="1001"/>
      <c r="H216" s="996"/>
      <c r="I216" s="997"/>
      <c r="J216" s="4518"/>
      <c r="K216" s="4601"/>
      <c r="L216" s="4524"/>
      <c r="M216" s="4524"/>
      <c r="N216" s="4526"/>
      <c r="P216" s="4528"/>
      <c r="Q216" s="4521"/>
      <c r="R216" s="4531"/>
      <c r="S216" s="4534"/>
      <c r="T216" s="4521"/>
      <c r="U216" s="4521"/>
      <c r="V216" s="980" t="s">
        <v>1033</v>
      </c>
      <c r="W216" s="2600">
        <v>20000000</v>
      </c>
      <c r="X216" s="1809">
        <v>20000000</v>
      </c>
      <c r="Y216" s="1809">
        <v>20000000</v>
      </c>
      <c r="Z216" s="977">
        <v>63</v>
      </c>
      <c r="AA216" s="1058" t="s">
        <v>1023</v>
      </c>
      <c r="AB216" s="4641"/>
      <c r="AC216" s="4638"/>
      <c r="AD216" s="4641">
        <v>282326</v>
      </c>
      <c r="AE216" s="4638">
        <f t="shared" si="36"/>
        <v>84697.8</v>
      </c>
      <c r="AF216" s="4641">
        <v>135912</v>
      </c>
      <c r="AG216" s="4638">
        <f t="shared" si="37"/>
        <v>40773.599999999999</v>
      </c>
      <c r="AH216" s="4641">
        <v>45122</v>
      </c>
      <c r="AI216" s="4638">
        <f t="shared" si="38"/>
        <v>13536.6</v>
      </c>
      <c r="AJ216" s="4641">
        <v>307101</v>
      </c>
      <c r="AK216" s="4638">
        <v>92130.3</v>
      </c>
      <c r="AL216" s="4641">
        <v>86875</v>
      </c>
      <c r="AM216" s="4638">
        <v>26062.5</v>
      </c>
      <c r="AN216" s="4641">
        <v>2145</v>
      </c>
      <c r="AO216" s="4638">
        <f t="shared" si="39"/>
        <v>643.5</v>
      </c>
      <c r="AP216" s="4641">
        <v>12718</v>
      </c>
      <c r="AQ216" s="4638">
        <f t="shared" si="40"/>
        <v>3815.3999999999996</v>
      </c>
      <c r="AR216" s="4641">
        <v>26</v>
      </c>
      <c r="AS216" s="4638">
        <f t="shared" si="41"/>
        <v>7.8</v>
      </c>
      <c r="AT216" s="4641">
        <v>37</v>
      </c>
      <c r="AU216" s="4638">
        <f t="shared" si="42"/>
        <v>11.1</v>
      </c>
      <c r="AV216" s="4641" t="s">
        <v>767</v>
      </c>
      <c r="AW216" s="4638" t="s">
        <v>767</v>
      </c>
      <c r="AX216" s="4641" t="s">
        <v>767</v>
      </c>
      <c r="AY216" s="4638" t="s">
        <v>767</v>
      </c>
      <c r="AZ216" s="4641">
        <v>53164</v>
      </c>
      <c r="BA216" s="4638">
        <f t="shared" si="43"/>
        <v>15949.199999999999</v>
      </c>
      <c r="BB216" s="4641">
        <v>16982</v>
      </c>
      <c r="BC216" s="4638">
        <f t="shared" si="44"/>
        <v>5094.5999999999995</v>
      </c>
      <c r="BD216" s="4641">
        <v>60013</v>
      </c>
      <c r="BE216" s="4638">
        <f t="shared" si="45"/>
        <v>18003.899999999998</v>
      </c>
      <c r="BF216" s="4641">
        <v>575010</v>
      </c>
      <c r="BG216" s="4638">
        <f t="shared" si="46"/>
        <v>172503</v>
      </c>
      <c r="BH216" s="4543"/>
      <c r="BI216" s="4543"/>
      <c r="BJ216" s="4543"/>
      <c r="BK216" s="3185"/>
      <c r="BL216" s="4543"/>
      <c r="BM216" s="4543"/>
      <c r="BN216" s="4648"/>
      <c r="BO216" s="4648"/>
      <c r="BP216" s="4648"/>
      <c r="BQ216" s="4648"/>
      <c r="BR216" s="4557"/>
    </row>
    <row r="217" spans="1:70" ht="81" customHeight="1" x14ac:dyDescent="0.2">
      <c r="A217" s="971"/>
      <c r="B217" s="972"/>
      <c r="C217" s="973"/>
      <c r="D217" s="972"/>
      <c r="E217" s="972"/>
      <c r="F217" s="973"/>
      <c r="G217" s="983"/>
      <c r="H217" s="981"/>
      <c r="I217" s="982"/>
      <c r="J217" s="4519"/>
      <c r="K217" s="4603"/>
      <c r="L217" s="4525"/>
      <c r="M217" s="4525"/>
      <c r="N217" s="4526"/>
      <c r="O217" s="1061"/>
      <c r="P217" s="4529"/>
      <c r="Q217" s="4522"/>
      <c r="R217" s="4532"/>
      <c r="S217" s="4535"/>
      <c r="T217" s="4522"/>
      <c r="U217" s="4522"/>
      <c r="V217" s="980" t="s">
        <v>1034</v>
      </c>
      <c r="W217" s="2600">
        <v>20000000</v>
      </c>
      <c r="X217" s="1809">
        <v>13990000</v>
      </c>
      <c r="Y217" s="1809">
        <v>8394000</v>
      </c>
      <c r="Z217" s="977">
        <v>61</v>
      </c>
      <c r="AA217" s="1052" t="s">
        <v>975</v>
      </c>
      <c r="AB217" s="4642"/>
      <c r="AC217" s="4639"/>
      <c r="AD217" s="4642">
        <v>282326</v>
      </c>
      <c r="AE217" s="4639">
        <f t="shared" si="36"/>
        <v>84697.8</v>
      </c>
      <c r="AF217" s="4642">
        <v>135912</v>
      </c>
      <c r="AG217" s="4639">
        <f t="shared" si="37"/>
        <v>40773.599999999999</v>
      </c>
      <c r="AH217" s="4642">
        <v>45122</v>
      </c>
      <c r="AI217" s="4639">
        <f t="shared" si="38"/>
        <v>13536.6</v>
      </c>
      <c r="AJ217" s="4642">
        <v>307101</v>
      </c>
      <c r="AK217" s="4639">
        <v>92130.3</v>
      </c>
      <c r="AL217" s="4642">
        <v>86875</v>
      </c>
      <c r="AM217" s="4639">
        <v>26062.5</v>
      </c>
      <c r="AN217" s="4642">
        <v>2145</v>
      </c>
      <c r="AO217" s="4639">
        <f t="shared" si="39"/>
        <v>643.5</v>
      </c>
      <c r="AP217" s="4642">
        <v>12718</v>
      </c>
      <c r="AQ217" s="4639">
        <f t="shared" si="40"/>
        <v>3815.3999999999996</v>
      </c>
      <c r="AR217" s="4642">
        <v>26</v>
      </c>
      <c r="AS217" s="4639">
        <f t="shared" si="41"/>
        <v>7.8</v>
      </c>
      <c r="AT217" s="4642">
        <v>37</v>
      </c>
      <c r="AU217" s="4639">
        <f t="shared" si="42"/>
        <v>11.1</v>
      </c>
      <c r="AV217" s="4642" t="s">
        <v>767</v>
      </c>
      <c r="AW217" s="4639" t="s">
        <v>767</v>
      </c>
      <c r="AX217" s="4642" t="s">
        <v>767</v>
      </c>
      <c r="AY217" s="4639" t="s">
        <v>767</v>
      </c>
      <c r="AZ217" s="4642">
        <v>53164</v>
      </c>
      <c r="BA217" s="4639">
        <f t="shared" si="43"/>
        <v>15949.199999999999</v>
      </c>
      <c r="BB217" s="4642">
        <v>16982</v>
      </c>
      <c r="BC217" s="4639">
        <f t="shared" si="44"/>
        <v>5094.5999999999995</v>
      </c>
      <c r="BD217" s="4642">
        <v>60013</v>
      </c>
      <c r="BE217" s="4639">
        <f t="shared" si="45"/>
        <v>18003.899999999998</v>
      </c>
      <c r="BF217" s="4642">
        <v>575010</v>
      </c>
      <c r="BG217" s="4639">
        <f t="shared" si="46"/>
        <v>172503</v>
      </c>
      <c r="BH217" s="4544"/>
      <c r="BI217" s="4544"/>
      <c r="BJ217" s="4544"/>
      <c r="BK217" s="3186"/>
      <c r="BL217" s="4544"/>
      <c r="BM217" s="4544"/>
      <c r="BN217" s="4649"/>
      <c r="BO217" s="4649"/>
      <c r="BP217" s="4649"/>
      <c r="BQ217" s="4649"/>
      <c r="BR217" s="4558"/>
    </row>
    <row r="218" spans="1:70" ht="36" customHeight="1" x14ac:dyDescent="0.2">
      <c r="A218" s="957"/>
      <c r="B218" s="958"/>
      <c r="C218" s="959"/>
      <c r="D218" s="958"/>
      <c r="E218" s="958"/>
      <c r="F218" s="959"/>
      <c r="G218" s="991">
        <v>44</v>
      </c>
      <c r="H218" s="963" t="s">
        <v>1035</v>
      </c>
      <c r="I218" s="963"/>
      <c r="J218" s="963"/>
      <c r="K218" s="964"/>
      <c r="L218" s="963"/>
      <c r="M218" s="963"/>
      <c r="N218" s="963"/>
      <c r="O218" s="965"/>
      <c r="P218" s="992"/>
      <c r="Q218" s="964"/>
      <c r="R218" s="963"/>
      <c r="S218" s="993"/>
      <c r="T218" s="963"/>
      <c r="U218" s="964"/>
      <c r="V218" s="964"/>
      <c r="W218" s="2614"/>
      <c r="X218" s="2614"/>
      <c r="Y218" s="2614"/>
      <c r="Z218" s="994"/>
      <c r="AA218" s="965"/>
      <c r="AB218" s="965"/>
      <c r="AC218" s="965"/>
      <c r="AD218" s="965"/>
      <c r="AE218" s="965"/>
      <c r="AF218" s="965"/>
      <c r="AG218" s="965"/>
      <c r="AH218" s="965"/>
      <c r="AI218" s="965"/>
      <c r="AJ218" s="965"/>
      <c r="AK218" s="965"/>
      <c r="AL218" s="965"/>
      <c r="AM218" s="965"/>
      <c r="AN218" s="965"/>
      <c r="AO218" s="965"/>
      <c r="AP218" s="965"/>
      <c r="AQ218" s="965"/>
      <c r="AR218" s="965"/>
      <c r="AS218" s="965"/>
      <c r="AT218" s="965"/>
      <c r="AU218" s="965"/>
      <c r="AV218" s="965"/>
      <c r="AW218" s="965"/>
      <c r="AX218" s="965"/>
      <c r="AY218" s="965"/>
      <c r="AZ218" s="965"/>
      <c r="BA218" s="965"/>
      <c r="BB218" s="965"/>
      <c r="BC218" s="965"/>
      <c r="BD218" s="965"/>
      <c r="BE218" s="965"/>
      <c r="BF218" s="965"/>
      <c r="BG218" s="965"/>
      <c r="BH218" s="965"/>
      <c r="BI218" s="965"/>
      <c r="BJ218" s="965"/>
      <c r="BK218" s="965"/>
      <c r="BL218" s="965"/>
      <c r="BM218" s="965"/>
      <c r="BN218" s="965"/>
      <c r="BO218" s="965"/>
      <c r="BP218" s="963"/>
      <c r="BQ218" s="963"/>
      <c r="BR218" s="970"/>
    </row>
    <row r="219" spans="1:70" ht="85.5" x14ac:dyDescent="0.2">
      <c r="A219" s="971"/>
      <c r="B219" s="972"/>
      <c r="C219" s="973"/>
      <c r="D219" s="972"/>
      <c r="E219" s="972"/>
      <c r="F219" s="973"/>
      <c r="G219" s="974"/>
      <c r="H219" s="975"/>
      <c r="I219" s="976"/>
      <c r="J219" s="4517">
        <v>154</v>
      </c>
      <c r="K219" s="4520" t="s">
        <v>1036</v>
      </c>
      <c r="L219" s="4523" t="s">
        <v>759</v>
      </c>
      <c r="M219" s="4523">
        <v>5</v>
      </c>
      <c r="N219" s="4526">
        <v>0</v>
      </c>
      <c r="O219" s="4523" t="s">
        <v>1037</v>
      </c>
      <c r="P219" s="4527" t="s">
        <v>1038</v>
      </c>
      <c r="Q219" s="4520" t="s">
        <v>1039</v>
      </c>
      <c r="R219" s="4530">
        <f>SUM(W219:W225)/S219</f>
        <v>0.18272536398900383</v>
      </c>
      <c r="S219" s="4533">
        <f>SUM(W219:W249)</f>
        <v>317416251</v>
      </c>
      <c r="T219" s="4520" t="s">
        <v>1040</v>
      </c>
      <c r="U219" s="4520" t="s">
        <v>1041</v>
      </c>
      <c r="V219" s="980" t="s">
        <v>1042</v>
      </c>
      <c r="W219" s="2600">
        <v>4000000</v>
      </c>
      <c r="X219" s="1809">
        <v>4000000</v>
      </c>
      <c r="Y219" s="1809">
        <v>3817250</v>
      </c>
      <c r="Z219" s="977">
        <v>61</v>
      </c>
      <c r="AA219" s="1062" t="s">
        <v>975</v>
      </c>
      <c r="AB219" s="4637">
        <v>292684</v>
      </c>
      <c r="AC219" s="4637">
        <f>SUM(AB219*0.63)</f>
        <v>184390.92</v>
      </c>
      <c r="AD219" s="4637">
        <v>282326</v>
      </c>
      <c r="AE219" s="4637">
        <f t="shared" ref="AE219:AE249" si="47">SUM(AD219*0.63)</f>
        <v>177865.38</v>
      </c>
      <c r="AF219" s="4637" t="s">
        <v>767</v>
      </c>
      <c r="AG219" s="4637" t="s">
        <v>767</v>
      </c>
      <c r="AH219" s="4637" t="s">
        <v>767</v>
      </c>
      <c r="AI219" s="4637" t="s">
        <v>767</v>
      </c>
      <c r="AJ219" s="4637" t="s">
        <v>767</v>
      </c>
      <c r="AK219" s="4637" t="s">
        <v>767</v>
      </c>
      <c r="AL219" s="4637" t="s">
        <v>767</v>
      </c>
      <c r="AM219" s="4637" t="s">
        <v>767</v>
      </c>
      <c r="AN219" s="4637">
        <v>2145</v>
      </c>
      <c r="AO219" s="4637">
        <f t="shared" ref="AO219:AO249" si="48">SUM(AN219*0.63)</f>
        <v>1351.35</v>
      </c>
      <c r="AP219" s="4637">
        <v>12718</v>
      </c>
      <c r="AQ219" s="4637">
        <f t="shared" ref="AQ219:AQ249" si="49">SUM(AP219*0.63)</f>
        <v>8012.34</v>
      </c>
      <c r="AR219" s="4637">
        <v>26</v>
      </c>
      <c r="AS219" s="4637">
        <f t="shared" ref="AS219:AS249" si="50">SUM(AR219*0.63)</f>
        <v>16.38</v>
      </c>
      <c r="AT219" s="4637">
        <v>37</v>
      </c>
      <c r="AU219" s="4637">
        <f t="shared" ref="AU219:AU249" si="51">SUM(AT219*0.63)</f>
        <v>23.31</v>
      </c>
      <c r="AV219" s="4637" t="s">
        <v>767</v>
      </c>
      <c r="AW219" s="4637" t="s">
        <v>767</v>
      </c>
      <c r="AX219" s="4637" t="s">
        <v>767</v>
      </c>
      <c r="AY219" s="4637" t="s">
        <v>767</v>
      </c>
      <c r="AZ219" s="4637">
        <v>53164</v>
      </c>
      <c r="BA219" s="4637">
        <f t="shared" ref="BA219:BA249" si="52">SUM(AZ219*0.63)</f>
        <v>33493.32</v>
      </c>
      <c r="BB219" s="4637">
        <v>16982</v>
      </c>
      <c r="BC219" s="4637">
        <f t="shared" ref="BC219:BC249" si="53">SUM(BB219*0.63)</f>
        <v>10698.66</v>
      </c>
      <c r="BD219" s="4637">
        <v>60013</v>
      </c>
      <c r="BE219" s="4637">
        <f t="shared" ref="BE219:BE249" si="54">SUM(BD219*0.63)</f>
        <v>37808.19</v>
      </c>
      <c r="BF219" s="4637">
        <v>575010</v>
      </c>
      <c r="BG219" s="4637">
        <f t="shared" ref="BG219:BG249" si="55">SUM(BF219*0.63)</f>
        <v>362256.3</v>
      </c>
      <c r="BH219" s="4542">
        <v>14</v>
      </c>
      <c r="BI219" s="4568">
        <f>SUM(X219:X249)</f>
        <v>163110000</v>
      </c>
      <c r="BJ219" s="4568">
        <f>SUM(Y219:Y249)</f>
        <v>114263000</v>
      </c>
      <c r="BK219" s="3184">
        <f>+BJ219/BI219</f>
        <v>0.70052725154803508</v>
      </c>
      <c r="BL219" s="4542" t="s">
        <v>768</v>
      </c>
      <c r="BM219" s="4542" t="s">
        <v>769</v>
      </c>
      <c r="BN219" s="4647">
        <v>43467</v>
      </c>
      <c r="BO219" s="4647">
        <v>43830</v>
      </c>
      <c r="BP219" s="4647">
        <v>43830</v>
      </c>
      <c r="BQ219" s="4647">
        <v>43830</v>
      </c>
      <c r="BR219" s="4650" t="s">
        <v>770</v>
      </c>
    </row>
    <row r="220" spans="1:70" ht="42.75" x14ac:dyDescent="0.2">
      <c r="A220" s="971"/>
      <c r="B220" s="972"/>
      <c r="C220" s="973"/>
      <c r="D220" s="972"/>
      <c r="E220" s="972"/>
      <c r="F220" s="973"/>
      <c r="G220" s="979"/>
      <c r="H220" s="972"/>
      <c r="I220" s="973"/>
      <c r="J220" s="4518"/>
      <c r="K220" s="4521"/>
      <c r="L220" s="4524"/>
      <c r="M220" s="4524"/>
      <c r="N220" s="4526"/>
      <c r="O220" s="4524"/>
      <c r="P220" s="4528"/>
      <c r="Q220" s="4521"/>
      <c r="R220" s="4531"/>
      <c r="S220" s="4534"/>
      <c r="T220" s="4521"/>
      <c r="U220" s="4521"/>
      <c r="V220" s="980" t="s">
        <v>1043</v>
      </c>
      <c r="W220" s="2600">
        <v>3000000</v>
      </c>
      <c r="X220" s="1809">
        <v>3000000</v>
      </c>
      <c r="Y220" s="1809">
        <v>3000000</v>
      </c>
      <c r="Z220" s="977">
        <v>61</v>
      </c>
      <c r="AA220" s="1062" t="s">
        <v>975</v>
      </c>
      <c r="AB220" s="4638"/>
      <c r="AC220" s="4638"/>
      <c r="AD220" s="4638">
        <v>282326</v>
      </c>
      <c r="AE220" s="4638">
        <f t="shared" si="47"/>
        <v>177865.38</v>
      </c>
      <c r="AF220" s="4638" t="s">
        <v>767</v>
      </c>
      <c r="AG220" s="4638" t="s">
        <v>767</v>
      </c>
      <c r="AH220" s="4638" t="s">
        <v>767</v>
      </c>
      <c r="AI220" s="4638" t="s">
        <v>767</v>
      </c>
      <c r="AJ220" s="4638" t="s">
        <v>767</v>
      </c>
      <c r="AK220" s="4638" t="s">
        <v>767</v>
      </c>
      <c r="AL220" s="4638" t="s">
        <v>767</v>
      </c>
      <c r="AM220" s="4638" t="s">
        <v>767</v>
      </c>
      <c r="AN220" s="4638">
        <v>2145</v>
      </c>
      <c r="AO220" s="4638">
        <f t="shared" si="48"/>
        <v>1351.35</v>
      </c>
      <c r="AP220" s="4638">
        <v>12718</v>
      </c>
      <c r="AQ220" s="4638">
        <f t="shared" si="49"/>
        <v>8012.34</v>
      </c>
      <c r="AR220" s="4638">
        <v>26</v>
      </c>
      <c r="AS220" s="4638">
        <f t="shared" si="50"/>
        <v>16.38</v>
      </c>
      <c r="AT220" s="4638">
        <v>37</v>
      </c>
      <c r="AU220" s="4638">
        <f t="shared" si="51"/>
        <v>23.31</v>
      </c>
      <c r="AV220" s="4638" t="s">
        <v>767</v>
      </c>
      <c r="AW220" s="4638" t="s">
        <v>767</v>
      </c>
      <c r="AX220" s="4638" t="s">
        <v>767</v>
      </c>
      <c r="AY220" s="4638" t="s">
        <v>767</v>
      </c>
      <c r="AZ220" s="4638">
        <v>53164</v>
      </c>
      <c r="BA220" s="4638">
        <f t="shared" si="52"/>
        <v>33493.32</v>
      </c>
      <c r="BB220" s="4638">
        <v>16982</v>
      </c>
      <c r="BC220" s="4638">
        <f t="shared" si="53"/>
        <v>10698.66</v>
      </c>
      <c r="BD220" s="4638">
        <v>60013</v>
      </c>
      <c r="BE220" s="4638">
        <f t="shared" si="54"/>
        <v>37808.19</v>
      </c>
      <c r="BF220" s="4638">
        <v>575010</v>
      </c>
      <c r="BG220" s="4638">
        <f t="shared" si="55"/>
        <v>362256.3</v>
      </c>
      <c r="BH220" s="4543"/>
      <c r="BI220" s="4543"/>
      <c r="BJ220" s="4543"/>
      <c r="BK220" s="3185"/>
      <c r="BL220" s="4543"/>
      <c r="BM220" s="4543"/>
      <c r="BN220" s="4648"/>
      <c r="BO220" s="4648"/>
      <c r="BP220" s="4648"/>
      <c r="BQ220" s="4648"/>
      <c r="BR220" s="4651"/>
    </row>
    <row r="221" spans="1:70" ht="78" customHeight="1" x14ac:dyDescent="0.2">
      <c r="A221" s="971"/>
      <c r="B221" s="972"/>
      <c r="C221" s="973"/>
      <c r="D221" s="972"/>
      <c r="E221" s="972"/>
      <c r="F221" s="973"/>
      <c r="G221" s="979"/>
      <c r="H221" s="972"/>
      <c r="I221" s="973"/>
      <c r="J221" s="4518"/>
      <c r="K221" s="4521"/>
      <c r="L221" s="4524"/>
      <c r="M221" s="4524"/>
      <c r="N221" s="4526"/>
      <c r="O221" s="4524"/>
      <c r="P221" s="4528"/>
      <c r="Q221" s="4521"/>
      <c r="R221" s="4531"/>
      <c r="S221" s="4534"/>
      <c r="T221" s="4521"/>
      <c r="U221" s="4521"/>
      <c r="V221" s="980" t="s">
        <v>1044</v>
      </c>
      <c r="W221" s="2600">
        <v>16000000</v>
      </c>
      <c r="X221" s="1809">
        <v>7392500</v>
      </c>
      <c r="Y221" s="1809">
        <v>3817250</v>
      </c>
      <c r="Z221" s="977">
        <v>61</v>
      </c>
      <c r="AA221" s="1062" t="s">
        <v>975</v>
      </c>
      <c r="AB221" s="4638"/>
      <c r="AC221" s="4638"/>
      <c r="AD221" s="4638">
        <v>282326</v>
      </c>
      <c r="AE221" s="4638">
        <f t="shared" si="47"/>
        <v>177865.38</v>
      </c>
      <c r="AF221" s="4638" t="s">
        <v>767</v>
      </c>
      <c r="AG221" s="4638" t="s">
        <v>767</v>
      </c>
      <c r="AH221" s="4638" t="s">
        <v>767</v>
      </c>
      <c r="AI221" s="4638" t="s">
        <v>767</v>
      </c>
      <c r="AJ221" s="4638" t="s">
        <v>767</v>
      </c>
      <c r="AK221" s="4638" t="s">
        <v>767</v>
      </c>
      <c r="AL221" s="4638" t="s">
        <v>767</v>
      </c>
      <c r="AM221" s="4638" t="s">
        <v>767</v>
      </c>
      <c r="AN221" s="4638">
        <v>2145</v>
      </c>
      <c r="AO221" s="4638">
        <f t="shared" si="48"/>
        <v>1351.35</v>
      </c>
      <c r="AP221" s="4638">
        <v>12718</v>
      </c>
      <c r="AQ221" s="4638">
        <f t="shared" si="49"/>
        <v>8012.34</v>
      </c>
      <c r="AR221" s="4638">
        <v>26</v>
      </c>
      <c r="AS221" s="4638">
        <f t="shared" si="50"/>
        <v>16.38</v>
      </c>
      <c r="AT221" s="4638">
        <v>37</v>
      </c>
      <c r="AU221" s="4638">
        <f t="shared" si="51"/>
        <v>23.31</v>
      </c>
      <c r="AV221" s="4638" t="s">
        <v>767</v>
      </c>
      <c r="AW221" s="4638" t="s">
        <v>767</v>
      </c>
      <c r="AX221" s="4638" t="s">
        <v>767</v>
      </c>
      <c r="AY221" s="4638" t="s">
        <v>767</v>
      </c>
      <c r="AZ221" s="4638">
        <v>53164</v>
      </c>
      <c r="BA221" s="4638">
        <f t="shared" si="52"/>
        <v>33493.32</v>
      </c>
      <c r="BB221" s="4638">
        <v>16982</v>
      </c>
      <c r="BC221" s="4638">
        <f t="shared" si="53"/>
        <v>10698.66</v>
      </c>
      <c r="BD221" s="4638">
        <v>60013</v>
      </c>
      <c r="BE221" s="4638">
        <f t="shared" si="54"/>
        <v>37808.19</v>
      </c>
      <c r="BF221" s="4638">
        <v>575010</v>
      </c>
      <c r="BG221" s="4638">
        <f t="shared" si="55"/>
        <v>362256.3</v>
      </c>
      <c r="BH221" s="4543"/>
      <c r="BI221" s="4543"/>
      <c r="BJ221" s="4543"/>
      <c r="BK221" s="3185"/>
      <c r="BL221" s="4543"/>
      <c r="BM221" s="4543"/>
      <c r="BN221" s="4648"/>
      <c r="BO221" s="4648"/>
      <c r="BP221" s="4648"/>
      <c r="BQ221" s="4648"/>
      <c r="BR221" s="4651"/>
    </row>
    <row r="222" spans="1:70" ht="54" customHeight="1" x14ac:dyDescent="0.2">
      <c r="A222" s="971"/>
      <c r="B222" s="972"/>
      <c r="C222" s="973"/>
      <c r="D222" s="972"/>
      <c r="E222" s="972"/>
      <c r="F222" s="973"/>
      <c r="G222" s="979"/>
      <c r="H222" s="972"/>
      <c r="I222" s="973"/>
      <c r="J222" s="4518"/>
      <c r="K222" s="4521"/>
      <c r="L222" s="4524"/>
      <c r="M222" s="4524"/>
      <c r="N222" s="4526"/>
      <c r="O222" s="4524"/>
      <c r="P222" s="4528"/>
      <c r="Q222" s="4521"/>
      <c r="R222" s="4531"/>
      <c r="S222" s="4534"/>
      <c r="T222" s="4521"/>
      <c r="U222" s="4521"/>
      <c r="V222" s="980" t="s">
        <v>1045</v>
      </c>
      <c r="W222" s="2600">
        <v>6000000</v>
      </c>
      <c r="X222" s="1809">
        <v>6000000</v>
      </c>
      <c r="Y222" s="1809">
        <v>3817250</v>
      </c>
      <c r="Z222" s="977">
        <v>61</v>
      </c>
      <c r="AA222" s="1062" t="s">
        <v>975</v>
      </c>
      <c r="AB222" s="4638"/>
      <c r="AC222" s="4638"/>
      <c r="AD222" s="4638">
        <v>282326</v>
      </c>
      <c r="AE222" s="4638">
        <f t="shared" si="47"/>
        <v>177865.38</v>
      </c>
      <c r="AF222" s="4638" t="s">
        <v>767</v>
      </c>
      <c r="AG222" s="4638" t="s">
        <v>767</v>
      </c>
      <c r="AH222" s="4638" t="s">
        <v>767</v>
      </c>
      <c r="AI222" s="4638" t="s">
        <v>767</v>
      </c>
      <c r="AJ222" s="4638" t="s">
        <v>767</v>
      </c>
      <c r="AK222" s="4638" t="s">
        <v>767</v>
      </c>
      <c r="AL222" s="4638" t="s">
        <v>767</v>
      </c>
      <c r="AM222" s="4638" t="s">
        <v>767</v>
      </c>
      <c r="AN222" s="4638">
        <v>2145</v>
      </c>
      <c r="AO222" s="4638">
        <f t="shared" si="48"/>
        <v>1351.35</v>
      </c>
      <c r="AP222" s="4638">
        <v>12718</v>
      </c>
      <c r="AQ222" s="4638">
        <f t="shared" si="49"/>
        <v>8012.34</v>
      </c>
      <c r="AR222" s="4638">
        <v>26</v>
      </c>
      <c r="AS222" s="4638">
        <f t="shared" si="50"/>
        <v>16.38</v>
      </c>
      <c r="AT222" s="4638">
        <v>37</v>
      </c>
      <c r="AU222" s="4638">
        <f t="shared" si="51"/>
        <v>23.31</v>
      </c>
      <c r="AV222" s="4638" t="s">
        <v>767</v>
      </c>
      <c r="AW222" s="4638" t="s">
        <v>767</v>
      </c>
      <c r="AX222" s="4638" t="s">
        <v>767</v>
      </c>
      <c r="AY222" s="4638" t="s">
        <v>767</v>
      </c>
      <c r="AZ222" s="4638">
        <v>53164</v>
      </c>
      <c r="BA222" s="4638">
        <f t="shared" si="52"/>
        <v>33493.32</v>
      </c>
      <c r="BB222" s="4638">
        <v>16982</v>
      </c>
      <c r="BC222" s="4638">
        <f t="shared" si="53"/>
        <v>10698.66</v>
      </c>
      <c r="BD222" s="4638">
        <v>60013</v>
      </c>
      <c r="BE222" s="4638">
        <f t="shared" si="54"/>
        <v>37808.19</v>
      </c>
      <c r="BF222" s="4638">
        <v>575010</v>
      </c>
      <c r="BG222" s="4638">
        <f t="shared" si="55"/>
        <v>362256.3</v>
      </c>
      <c r="BH222" s="4543"/>
      <c r="BI222" s="4543"/>
      <c r="BJ222" s="4543"/>
      <c r="BK222" s="3185"/>
      <c r="BL222" s="4543"/>
      <c r="BM222" s="4543"/>
      <c r="BN222" s="4648"/>
      <c r="BO222" s="4648"/>
      <c r="BP222" s="4648"/>
      <c r="BQ222" s="4648"/>
      <c r="BR222" s="4651"/>
    </row>
    <row r="223" spans="1:70" ht="128.25" x14ac:dyDescent="0.2">
      <c r="A223" s="971"/>
      <c r="B223" s="972"/>
      <c r="C223" s="973"/>
      <c r="D223" s="972"/>
      <c r="E223" s="972"/>
      <c r="F223" s="973"/>
      <c r="G223" s="979"/>
      <c r="H223" s="972"/>
      <c r="I223" s="973"/>
      <c r="J223" s="4518"/>
      <c r="K223" s="4521"/>
      <c r="L223" s="4524"/>
      <c r="M223" s="4524"/>
      <c r="N223" s="4526"/>
      <c r="O223" s="4524"/>
      <c r="P223" s="4528"/>
      <c r="Q223" s="4521"/>
      <c r="R223" s="4531"/>
      <c r="S223" s="4534"/>
      <c r="T223" s="4521"/>
      <c r="U223" s="4521"/>
      <c r="V223" s="980" t="s">
        <v>1046</v>
      </c>
      <c r="W223" s="2600">
        <v>3000000</v>
      </c>
      <c r="X223" s="1809">
        <v>3000000</v>
      </c>
      <c r="Y223" s="1809">
        <v>3000000</v>
      </c>
      <c r="Z223" s="977">
        <v>61</v>
      </c>
      <c r="AA223" s="1062" t="s">
        <v>975</v>
      </c>
      <c r="AB223" s="4638"/>
      <c r="AC223" s="4638"/>
      <c r="AD223" s="4638">
        <v>282326</v>
      </c>
      <c r="AE223" s="4638">
        <f t="shared" si="47"/>
        <v>177865.38</v>
      </c>
      <c r="AF223" s="4638" t="s">
        <v>767</v>
      </c>
      <c r="AG223" s="4638" t="s">
        <v>767</v>
      </c>
      <c r="AH223" s="4638" t="s">
        <v>767</v>
      </c>
      <c r="AI223" s="4638" t="s">
        <v>767</v>
      </c>
      <c r="AJ223" s="4638" t="s">
        <v>767</v>
      </c>
      <c r="AK223" s="4638" t="s">
        <v>767</v>
      </c>
      <c r="AL223" s="4638" t="s">
        <v>767</v>
      </c>
      <c r="AM223" s="4638" t="s">
        <v>767</v>
      </c>
      <c r="AN223" s="4638">
        <v>2145</v>
      </c>
      <c r="AO223" s="4638">
        <f t="shared" si="48"/>
        <v>1351.35</v>
      </c>
      <c r="AP223" s="4638">
        <v>12718</v>
      </c>
      <c r="AQ223" s="4638">
        <f t="shared" si="49"/>
        <v>8012.34</v>
      </c>
      <c r="AR223" s="4638">
        <v>26</v>
      </c>
      <c r="AS223" s="4638">
        <f t="shared" si="50"/>
        <v>16.38</v>
      </c>
      <c r="AT223" s="4638">
        <v>37</v>
      </c>
      <c r="AU223" s="4638">
        <f t="shared" si="51"/>
        <v>23.31</v>
      </c>
      <c r="AV223" s="4638" t="s">
        <v>767</v>
      </c>
      <c r="AW223" s="4638" t="s">
        <v>767</v>
      </c>
      <c r="AX223" s="4638" t="s">
        <v>767</v>
      </c>
      <c r="AY223" s="4638" t="s">
        <v>767</v>
      </c>
      <c r="AZ223" s="4638">
        <v>53164</v>
      </c>
      <c r="BA223" s="4638">
        <f t="shared" si="52"/>
        <v>33493.32</v>
      </c>
      <c r="BB223" s="4638">
        <v>16982</v>
      </c>
      <c r="BC223" s="4638">
        <f t="shared" si="53"/>
        <v>10698.66</v>
      </c>
      <c r="BD223" s="4638">
        <v>60013</v>
      </c>
      <c r="BE223" s="4638">
        <f t="shared" si="54"/>
        <v>37808.19</v>
      </c>
      <c r="BF223" s="4638">
        <v>575010</v>
      </c>
      <c r="BG223" s="4638">
        <f t="shared" si="55"/>
        <v>362256.3</v>
      </c>
      <c r="BH223" s="4543"/>
      <c r="BI223" s="4543"/>
      <c r="BJ223" s="4543"/>
      <c r="BK223" s="3185"/>
      <c r="BL223" s="4543"/>
      <c r="BM223" s="4543"/>
      <c r="BN223" s="4648"/>
      <c r="BO223" s="4648"/>
      <c r="BP223" s="4648"/>
      <c r="BQ223" s="4648"/>
      <c r="BR223" s="4651"/>
    </row>
    <row r="224" spans="1:70" ht="63.75" customHeight="1" x14ac:dyDescent="0.2">
      <c r="A224" s="971"/>
      <c r="B224" s="972"/>
      <c r="C224" s="973"/>
      <c r="D224" s="972"/>
      <c r="E224" s="972"/>
      <c r="F224" s="973"/>
      <c r="G224" s="979"/>
      <c r="H224" s="972"/>
      <c r="I224" s="973"/>
      <c r="J224" s="4518"/>
      <c r="K224" s="4521"/>
      <c r="L224" s="4524"/>
      <c r="M224" s="4524"/>
      <c r="N224" s="4526"/>
      <c r="O224" s="4524"/>
      <c r="P224" s="4528"/>
      <c r="Q224" s="4521"/>
      <c r="R224" s="4531"/>
      <c r="S224" s="4534"/>
      <c r="T224" s="4521"/>
      <c r="U224" s="4521"/>
      <c r="V224" s="4551" t="s">
        <v>1047</v>
      </c>
      <c r="W224" s="2600">
        <v>12000000</v>
      </c>
      <c r="X224" s="1809">
        <v>7392500</v>
      </c>
      <c r="Y224" s="1809">
        <v>3817250</v>
      </c>
      <c r="Z224" s="977">
        <v>61</v>
      </c>
      <c r="AA224" s="1062" t="s">
        <v>975</v>
      </c>
      <c r="AB224" s="4638"/>
      <c r="AC224" s="4638"/>
      <c r="AD224" s="4638">
        <v>282326</v>
      </c>
      <c r="AE224" s="4638">
        <f t="shared" si="47"/>
        <v>177865.38</v>
      </c>
      <c r="AF224" s="4638" t="s">
        <v>767</v>
      </c>
      <c r="AG224" s="4638" t="s">
        <v>767</v>
      </c>
      <c r="AH224" s="4638" t="s">
        <v>767</v>
      </c>
      <c r="AI224" s="4638" t="s">
        <v>767</v>
      </c>
      <c r="AJ224" s="4638" t="s">
        <v>767</v>
      </c>
      <c r="AK224" s="4638" t="s">
        <v>767</v>
      </c>
      <c r="AL224" s="4638" t="s">
        <v>767</v>
      </c>
      <c r="AM224" s="4638" t="s">
        <v>767</v>
      </c>
      <c r="AN224" s="4638">
        <v>2145</v>
      </c>
      <c r="AO224" s="4638">
        <f t="shared" si="48"/>
        <v>1351.35</v>
      </c>
      <c r="AP224" s="4638">
        <v>12718</v>
      </c>
      <c r="AQ224" s="4638">
        <f t="shared" si="49"/>
        <v>8012.34</v>
      </c>
      <c r="AR224" s="4638">
        <v>26</v>
      </c>
      <c r="AS224" s="4638">
        <f t="shared" si="50"/>
        <v>16.38</v>
      </c>
      <c r="AT224" s="4638">
        <v>37</v>
      </c>
      <c r="AU224" s="4638">
        <f t="shared" si="51"/>
        <v>23.31</v>
      </c>
      <c r="AV224" s="4638" t="s">
        <v>767</v>
      </c>
      <c r="AW224" s="4638" t="s">
        <v>767</v>
      </c>
      <c r="AX224" s="4638" t="s">
        <v>767</v>
      </c>
      <c r="AY224" s="4638" t="s">
        <v>767</v>
      </c>
      <c r="AZ224" s="4638">
        <v>53164</v>
      </c>
      <c r="BA224" s="4638">
        <f t="shared" si="52"/>
        <v>33493.32</v>
      </c>
      <c r="BB224" s="4638">
        <v>16982</v>
      </c>
      <c r="BC224" s="4638">
        <f t="shared" si="53"/>
        <v>10698.66</v>
      </c>
      <c r="BD224" s="4638">
        <v>60013</v>
      </c>
      <c r="BE224" s="4638">
        <f t="shared" si="54"/>
        <v>37808.19</v>
      </c>
      <c r="BF224" s="4638">
        <v>575010</v>
      </c>
      <c r="BG224" s="4638">
        <f t="shared" si="55"/>
        <v>362256.3</v>
      </c>
      <c r="BH224" s="4543"/>
      <c r="BI224" s="4543"/>
      <c r="BJ224" s="4543"/>
      <c r="BK224" s="3185"/>
      <c r="BL224" s="4543"/>
      <c r="BM224" s="4543"/>
      <c r="BN224" s="4648"/>
      <c r="BO224" s="4648"/>
      <c r="BP224" s="4648"/>
      <c r="BQ224" s="4648"/>
      <c r="BR224" s="4651"/>
    </row>
    <row r="225" spans="1:70" ht="54.75" customHeight="1" x14ac:dyDescent="0.2">
      <c r="A225" s="971"/>
      <c r="B225" s="972"/>
      <c r="C225" s="973"/>
      <c r="D225" s="972"/>
      <c r="E225" s="972"/>
      <c r="F225" s="973"/>
      <c r="G225" s="979"/>
      <c r="H225" s="972"/>
      <c r="I225" s="973"/>
      <c r="J225" s="4519"/>
      <c r="K225" s="4522"/>
      <c r="L225" s="4525"/>
      <c r="M225" s="4525"/>
      <c r="N225" s="4526"/>
      <c r="O225" s="4524"/>
      <c r="P225" s="4528"/>
      <c r="Q225" s="4521"/>
      <c r="R225" s="4532"/>
      <c r="S225" s="4534"/>
      <c r="T225" s="4521"/>
      <c r="U225" s="4522"/>
      <c r="V225" s="4552"/>
      <c r="W225" s="2597">
        <v>14000000</v>
      </c>
      <c r="X225" s="2597">
        <v>0</v>
      </c>
      <c r="Y225" s="2597">
        <v>0</v>
      </c>
      <c r="Z225" s="977">
        <v>98</v>
      </c>
      <c r="AA225" s="1062" t="s">
        <v>1048</v>
      </c>
      <c r="AB225" s="4638"/>
      <c r="AC225" s="4638"/>
      <c r="AD225" s="4638">
        <v>282326</v>
      </c>
      <c r="AE225" s="4638">
        <f t="shared" si="47"/>
        <v>177865.38</v>
      </c>
      <c r="AF225" s="4638" t="s">
        <v>767</v>
      </c>
      <c r="AG225" s="4638" t="s">
        <v>767</v>
      </c>
      <c r="AH225" s="4638" t="s">
        <v>767</v>
      </c>
      <c r="AI225" s="4638" t="s">
        <v>767</v>
      </c>
      <c r="AJ225" s="4638" t="s">
        <v>767</v>
      </c>
      <c r="AK225" s="4638" t="s">
        <v>767</v>
      </c>
      <c r="AL225" s="4638" t="s">
        <v>767</v>
      </c>
      <c r="AM225" s="4638" t="s">
        <v>767</v>
      </c>
      <c r="AN225" s="4638">
        <v>2145</v>
      </c>
      <c r="AO225" s="4638">
        <f t="shared" si="48"/>
        <v>1351.35</v>
      </c>
      <c r="AP225" s="4638">
        <v>12718</v>
      </c>
      <c r="AQ225" s="4638">
        <f t="shared" si="49"/>
        <v>8012.34</v>
      </c>
      <c r="AR225" s="4638">
        <v>26</v>
      </c>
      <c r="AS225" s="4638">
        <f t="shared" si="50"/>
        <v>16.38</v>
      </c>
      <c r="AT225" s="4638">
        <v>37</v>
      </c>
      <c r="AU225" s="4638">
        <f t="shared" si="51"/>
        <v>23.31</v>
      </c>
      <c r="AV225" s="4638" t="s">
        <v>767</v>
      </c>
      <c r="AW225" s="4638" t="s">
        <v>767</v>
      </c>
      <c r="AX225" s="4638" t="s">
        <v>767</v>
      </c>
      <c r="AY225" s="4638" t="s">
        <v>767</v>
      </c>
      <c r="AZ225" s="4638">
        <v>53164</v>
      </c>
      <c r="BA225" s="4638">
        <f t="shared" si="52"/>
        <v>33493.32</v>
      </c>
      <c r="BB225" s="4638">
        <v>16982</v>
      </c>
      <c r="BC225" s="4638">
        <f t="shared" si="53"/>
        <v>10698.66</v>
      </c>
      <c r="BD225" s="4638">
        <v>60013</v>
      </c>
      <c r="BE225" s="4638">
        <f t="shared" si="54"/>
        <v>37808.19</v>
      </c>
      <c r="BF225" s="4638">
        <v>575010</v>
      </c>
      <c r="BG225" s="4638">
        <f t="shared" si="55"/>
        <v>362256.3</v>
      </c>
      <c r="BH225" s="4543"/>
      <c r="BI225" s="4543"/>
      <c r="BJ225" s="4543"/>
      <c r="BK225" s="3185"/>
      <c r="BL225" s="4543"/>
      <c r="BM225" s="4543"/>
      <c r="BN225" s="4648"/>
      <c r="BO225" s="4648"/>
      <c r="BP225" s="4648"/>
      <c r="BQ225" s="4648"/>
      <c r="BR225" s="4651"/>
    </row>
    <row r="226" spans="1:70" ht="71.25" x14ac:dyDescent="0.2">
      <c r="A226" s="971"/>
      <c r="B226" s="972"/>
      <c r="C226" s="973"/>
      <c r="D226" s="972"/>
      <c r="E226" s="972"/>
      <c r="F226" s="973"/>
      <c r="G226" s="979"/>
      <c r="H226" s="972"/>
      <c r="I226" s="973"/>
      <c r="J226" s="4517">
        <v>155</v>
      </c>
      <c r="K226" s="4520" t="s">
        <v>1049</v>
      </c>
      <c r="L226" s="4523" t="s">
        <v>759</v>
      </c>
      <c r="M226" s="4523">
        <v>1</v>
      </c>
      <c r="N226" s="4526">
        <v>0</v>
      </c>
      <c r="O226" s="4524"/>
      <c r="P226" s="4528"/>
      <c r="Q226" s="4521"/>
      <c r="R226" s="4530">
        <f>SUM(W226:W234)/S219</f>
        <v>0.31346851236044621</v>
      </c>
      <c r="S226" s="4534"/>
      <c r="T226" s="4521"/>
      <c r="U226" s="4520" t="s">
        <v>1050</v>
      </c>
      <c r="V226" s="980" t="s">
        <v>1051</v>
      </c>
      <c r="W226" s="2600">
        <v>1000000</v>
      </c>
      <c r="X226" s="1809">
        <v>1000000</v>
      </c>
      <c r="Y226" s="1809">
        <v>1000000</v>
      </c>
      <c r="Z226" s="977">
        <v>61</v>
      </c>
      <c r="AA226" s="1062" t="s">
        <v>975</v>
      </c>
      <c r="AB226" s="4638"/>
      <c r="AC226" s="4638"/>
      <c r="AD226" s="4638">
        <v>282326</v>
      </c>
      <c r="AE226" s="4638">
        <f t="shared" si="47"/>
        <v>177865.38</v>
      </c>
      <c r="AF226" s="4638" t="s">
        <v>767</v>
      </c>
      <c r="AG226" s="4638" t="s">
        <v>767</v>
      </c>
      <c r="AH226" s="4638" t="s">
        <v>767</v>
      </c>
      <c r="AI226" s="4638" t="s">
        <v>767</v>
      </c>
      <c r="AJ226" s="4638" t="s">
        <v>767</v>
      </c>
      <c r="AK226" s="4638" t="s">
        <v>767</v>
      </c>
      <c r="AL226" s="4638" t="s">
        <v>767</v>
      </c>
      <c r="AM226" s="4638" t="s">
        <v>767</v>
      </c>
      <c r="AN226" s="4638">
        <v>2145</v>
      </c>
      <c r="AO226" s="4638">
        <f t="shared" si="48"/>
        <v>1351.35</v>
      </c>
      <c r="AP226" s="4638">
        <v>12718</v>
      </c>
      <c r="AQ226" s="4638">
        <f t="shared" si="49"/>
        <v>8012.34</v>
      </c>
      <c r="AR226" s="4638">
        <v>26</v>
      </c>
      <c r="AS226" s="4638">
        <f t="shared" si="50"/>
        <v>16.38</v>
      </c>
      <c r="AT226" s="4638">
        <v>37</v>
      </c>
      <c r="AU226" s="4638">
        <f t="shared" si="51"/>
        <v>23.31</v>
      </c>
      <c r="AV226" s="4638" t="s">
        <v>767</v>
      </c>
      <c r="AW226" s="4638" t="s">
        <v>767</v>
      </c>
      <c r="AX226" s="4638" t="s">
        <v>767</v>
      </c>
      <c r="AY226" s="4638" t="s">
        <v>767</v>
      </c>
      <c r="AZ226" s="4638">
        <v>53164</v>
      </c>
      <c r="BA226" s="4638">
        <f t="shared" si="52"/>
        <v>33493.32</v>
      </c>
      <c r="BB226" s="4638">
        <v>16982</v>
      </c>
      <c r="BC226" s="4638">
        <f t="shared" si="53"/>
        <v>10698.66</v>
      </c>
      <c r="BD226" s="4638">
        <v>60013</v>
      </c>
      <c r="BE226" s="4638">
        <f t="shared" si="54"/>
        <v>37808.19</v>
      </c>
      <c r="BF226" s="4638">
        <v>575010</v>
      </c>
      <c r="BG226" s="4638">
        <f t="shared" si="55"/>
        <v>362256.3</v>
      </c>
      <c r="BH226" s="4543"/>
      <c r="BI226" s="4543"/>
      <c r="BJ226" s="4543"/>
      <c r="BK226" s="3185"/>
      <c r="BL226" s="4543"/>
      <c r="BM226" s="4543"/>
      <c r="BN226" s="4648"/>
      <c r="BO226" s="4648"/>
      <c r="BP226" s="4648"/>
      <c r="BQ226" s="4648"/>
      <c r="BR226" s="4651"/>
    </row>
    <row r="227" spans="1:70" ht="99.75" customHeight="1" x14ac:dyDescent="0.2">
      <c r="A227" s="971"/>
      <c r="B227" s="972"/>
      <c r="C227" s="973"/>
      <c r="D227" s="972"/>
      <c r="E227" s="972"/>
      <c r="F227" s="973"/>
      <c r="G227" s="979"/>
      <c r="H227" s="972"/>
      <c r="I227" s="973"/>
      <c r="J227" s="4518"/>
      <c r="K227" s="4521"/>
      <c r="L227" s="4524"/>
      <c r="M227" s="4524"/>
      <c r="N227" s="4526"/>
      <c r="O227" s="4524"/>
      <c r="P227" s="4528"/>
      <c r="Q227" s="4521"/>
      <c r="R227" s="4531"/>
      <c r="S227" s="4534"/>
      <c r="T227" s="4521"/>
      <c r="U227" s="4521"/>
      <c r="V227" s="980" t="s">
        <v>1052</v>
      </c>
      <c r="W227" s="2600">
        <v>18000000</v>
      </c>
      <c r="X227" s="1809">
        <v>17480000</v>
      </c>
      <c r="Y227" s="1809">
        <v>12422600</v>
      </c>
      <c r="Z227" s="977">
        <v>61</v>
      </c>
      <c r="AA227" s="1062" t="s">
        <v>975</v>
      </c>
      <c r="AB227" s="4638"/>
      <c r="AC227" s="4638"/>
      <c r="AD227" s="4638">
        <v>282326</v>
      </c>
      <c r="AE227" s="4638">
        <f t="shared" si="47"/>
        <v>177865.38</v>
      </c>
      <c r="AF227" s="4638" t="s">
        <v>767</v>
      </c>
      <c r="AG227" s="4638" t="s">
        <v>767</v>
      </c>
      <c r="AH227" s="4638" t="s">
        <v>767</v>
      </c>
      <c r="AI227" s="4638" t="s">
        <v>767</v>
      </c>
      <c r="AJ227" s="4638" t="s">
        <v>767</v>
      </c>
      <c r="AK227" s="4638" t="s">
        <v>767</v>
      </c>
      <c r="AL227" s="4638" t="s">
        <v>767</v>
      </c>
      <c r="AM227" s="4638" t="s">
        <v>767</v>
      </c>
      <c r="AN227" s="4638">
        <v>2145</v>
      </c>
      <c r="AO227" s="4638">
        <f t="shared" si="48"/>
        <v>1351.35</v>
      </c>
      <c r="AP227" s="4638">
        <v>12718</v>
      </c>
      <c r="AQ227" s="4638">
        <f t="shared" si="49"/>
        <v>8012.34</v>
      </c>
      <c r="AR227" s="4638">
        <v>26</v>
      </c>
      <c r="AS227" s="4638">
        <f t="shared" si="50"/>
        <v>16.38</v>
      </c>
      <c r="AT227" s="4638">
        <v>37</v>
      </c>
      <c r="AU227" s="4638">
        <f t="shared" si="51"/>
        <v>23.31</v>
      </c>
      <c r="AV227" s="4638" t="s">
        <v>767</v>
      </c>
      <c r="AW227" s="4638" t="s">
        <v>767</v>
      </c>
      <c r="AX227" s="4638" t="s">
        <v>767</v>
      </c>
      <c r="AY227" s="4638" t="s">
        <v>767</v>
      </c>
      <c r="AZ227" s="4638">
        <v>53164</v>
      </c>
      <c r="BA227" s="4638">
        <f t="shared" si="52"/>
        <v>33493.32</v>
      </c>
      <c r="BB227" s="4638">
        <v>16982</v>
      </c>
      <c r="BC227" s="4638">
        <f t="shared" si="53"/>
        <v>10698.66</v>
      </c>
      <c r="BD227" s="4638">
        <v>60013</v>
      </c>
      <c r="BE227" s="4638">
        <f t="shared" si="54"/>
        <v>37808.19</v>
      </c>
      <c r="BF227" s="4638">
        <v>575010</v>
      </c>
      <c r="BG227" s="4638">
        <f t="shared" si="55"/>
        <v>362256.3</v>
      </c>
      <c r="BH227" s="4543"/>
      <c r="BI227" s="4543"/>
      <c r="BJ227" s="4543"/>
      <c r="BK227" s="3185"/>
      <c r="BL227" s="4543"/>
      <c r="BM227" s="4543"/>
      <c r="BN227" s="4648"/>
      <c r="BO227" s="4648"/>
      <c r="BP227" s="4648"/>
      <c r="BQ227" s="4648"/>
      <c r="BR227" s="4651"/>
    </row>
    <row r="228" spans="1:70" ht="44.25" customHeight="1" x14ac:dyDescent="0.2">
      <c r="A228" s="971"/>
      <c r="B228" s="972"/>
      <c r="C228" s="973"/>
      <c r="D228" s="972"/>
      <c r="E228" s="972"/>
      <c r="F228" s="973"/>
      <c r="G228" s="979"/>
      <c r="H228" s="972"/>
      <c r="I228" s="973"/>
      <c r="J228" s="4518"/>
      <c r="K228" s="4521"/>
      <c r="L228" s="4524"/>
      <c r="M228" s="4524"/>
      <c r="N228" s="4526"/>
      <c r="O228" s="4524"/>
      <c r="P228" s="4528"/>
      <c r="Q228" s="4521"/>
      <c r="R228" s="4531"/>
      <c r="S228" s="4534"/>
      <c r="T228" s="4521"/>
      <c r="U228" s="4521"/>
      <c r="V228" s="4551" t="s">
        <v>1053</v>
      </c>
      <c r="W228" s="2600">
        <v>45000000</v>
      </c>
      <c r="X228" s="1809">
        <v>17480000</v>
      </c>
      <c r="Y228" s="1809">
        <v>12422800</v>
      </c>
      <c r="Z228" s="977">
        <v>61</v>
      </c>
      <c r="AA228" s="1062" t="s">
        <v>975</v>
      </c>
      <c r="AB228" s="4638"/>
      <c r="AC228" s="4638"/>
      <c r="AD228" s="4638">
        <v>282326</v>
      </c>
      <c r="AE228" s="4638">
        <f t="shared" si="47"/>
        <v>177865.38</v>
      </c>
      <c r="AF228" s="4638" t="s">
        <v>767</v>
      </c>
      <c r="AG228" s="4638" t="s">
        <v>767</v>
      </c>
      <c r="AH228" s="4638" t="s">
        <v>767</v>
      </c>
      <c r="AI228" s="4638" t="s">
        <v>767</v>
      </c>
      <c r="AJ228" s="4638" t="s">
        <v>767</v>
      </c>
      <c r="AK228" s="4638" t="s">
        <v>767</v>
      </c>
      <c r="AL228" s="4638" t="s">
        <v>767</v>
      </c>
      <c r="AM228" s="4638" t="s">
        <v>767</v>
      </c>
      <c r="AN228" s="4638">
        <v>2145</v>
      </c>
      <c r="AO228" s="4638">
        <f t="shared" si="48"/>
        <v>1351.35</v>
      </c>
      <c r="AP228" s="4638">
        <v>12718</v>
      </c>
      <c r="AQ228" s="4638">
        <f t="shared" si="49"/>
        <v>8012.34</v>
      </c>
      <c r="AR228" s="4638">
        <v>26</v>
      </c>
      <c r="AS228" s="4638">
        <f t="shared" si="50"/>
        <v>16.38</v>
      </c>
      <c r="AT228" s="4638">
        <v>37</v>
      </c>
      <c r="AU228" s="4638">
        <f t="shared" si="51"/>
        <v>23.31</v>
      </c>
      <c r="AV228" s="4638" t="s">
        <v>767</v>
      </c>
      <c r="AW228" s="4638" t="s">
        <v>767</v>
      </c>
      <c r="AX228" s="4638" t="s">
        <v>767</v>
      </c>
      <c r="AY228" s="4638" t="s">
        <v>767</v>
      </c>
      <c r="AZ228" s="4638">
        <v>53164</v>
      </c>
      <c r="BA228" s="4638">
        <f t="shared" si="52"/>
        <v>33493.32</v>
      </c>
      <c r="BB228" s="4638">
        <v>16982</v>
      </c>
      <c r="BC228" s="4638">
        <f t="shared" si="53"/>
        <v>10698.66</v>
      </c>
      <c r="BD228" s="4638">
        <v>60013</v>
      </c>
      <c r="BE228" s="4638">
        <f t="shared" si="54"/>
        <v>37808.19</v>
      </c>
      <c r="BF228" s="4638">
        <v>575010</v>
      </c>
      <c r="BG228" s="4638">
        <f t="shared" si="55"/>
        <v>362256.3</v>
      </c>
      <c r="BH228" s="4543"/>
      <c r="BI228" s="4543"/>
      <c r="BJ228" s="4543"/>
      <c r="BK228" s="3185"/>
      <c r="BL228" s="4543"/>
      <c r="BM228" s="4543"/>
      <c r="BN228" s="4648"/>
      <c r="BO228" s="4648"/>
      <c r="BP228" s="4648"/>
      <c r="BQ228" s="4648"/>
      <c r="BR228" s="4651"/>
    </row>
    <row r="229" spans="1:70" ht="33" customHeight="1" x14ac:dyDescent="0.2">
      <c r="A229" s="971"/>
      <c r="B229" s="972"/>
      <c r="C229" s="973"/>
      <c r="D229" s="972"/>
      <c r="E229" s="972"/>
      <c r="F229" s="973"/>
      <c r="G229" s="979"/>
      <c r="H229" s="972"/>
      <c r="I229" s="973"/>
      <c r="J229" s="4518"/>
      <c r="K229" s="4521"/>
      <c r="L229" s="4524"/>
      <c r="M229" s="4524"/>
      <c r="N229" s="4526"/>
      <c r="O229" s="4524"/>
      <c r="P229" s="4528"/>
      <c r="Q229" s="4521"/>
      <c r="R229" s="4531"/>
      <c r="S229" s="4534"/>
      <c r="T229" s="4521"/>
      <c r="U229" s="4521"/>
      <c r="V229" s="4552"/>
      <c r="W229" s="2597">
        <v>15500000</v>
      </c>
      <c r="X229" s="2597">
        <v>0</v>
      </c>
      <c r="Y229" s="2597">
        <v>0</v>
      </c>
      <c r="Z229" s="1009">
        <v>88</v>
      </c>
      <c r="AA229" s="1027" t="s">
        <v>1048</v>
      </c>
      <c r="AB229" s="4638"/>
      <c r="AC229" s="4638"/>
      <c r="AD229" s="4638">
        <v>282326</v>
      </c>
      <c r="AE229" s="4638">
        <f t="shared" si="47"/>
        <v>177865.38</v>
      </c>
      <c r="AF229" s="4638" t="s">
        <v>767</v>
      </c>
      <c r="AG229" s="4638" t="s">
        <v>767</v>
      </c>
      <c r="AH229" s="4638" t="s">
        <v>767</v>
      </c>
      <c r="AI229" s="4638" t="s">
        <v>767</v>
      </c>
      <c r="AJ229" s="4638" t="s">
        <v>767</v>
      </c>
      <c r="AK229" s="4638" t="s">
        <v>767</v>
      </c>
      <c r="AL229" s="4638" t="s">
        <v>767</v>
      </c>
      <c r="AM229" s="4638" t="s">
        <v>767</v>
      </c>
      <c r="AN229" s="4638">
        <v>2145</v>
      </c>
      <c r="AO229" s="4638">
        <f t="shared" si="48"/>
        <v>1351.35</v>
      </c>
      <c r="AP229" s="4638">
        <v>12718</v>
      </c>
      <c r="AQ229" s="4638">
        <f t="shared" si="49"/>
        <v>8012.34</v>
      </c>
      <c r="AR229" s="4638">
        <v>26</v>
      </c>
      <c r="AS229" s="4638">
        <f t="shared" si="50"/>
        <v>16.38</v>
      </c>
      <c r="AT229" s="4638">
        <v>37</v>
      </c>
      <c r="AU229" s="4638">
        <f t="shared" si="51"/>
        <v>23.31</v>
      </c>
      <c r="AV229" s="4638" t="s">
        <v>767</v>
      </c>
      <c r="AW229" s="4638" t="s">
        <v>767</v>
      </c>
      <c r="AX229" s="4638" t="s">
        <v>767</v>
      </c>
      <c r="AY229" s="4638" t="s">
        <v>767</v>
      </c>
      <c r="AZ229" s="4638">
        <v>53164</v>
      </c>
      <c r="BA229" s="4638">
        <f t="shared" si="52"/>
        <v>33493.32</v>
      </c>
      <c r="BB229" s="4638">
        <v>16982</v>
      </c>
      <c r="BC229" s="4638">
        <f t="shared" si="53"/>
        <v>10698.66</v>
      </c>
      <c r="BD229" s="4638">
        <v>60013</v>
      </c>
      <c r="BE229" s="4638">
        <f t="shared" si="54"/>
        <v>37808.19</v>
      </c>
      <c r="BF229" s="4638">
        <v>575010</v>
      </c>
      <c r="BG229" s="4638">
        <f t="shared" si="55"/>
        <v>362256.3</v>
      </c>
      <c r="BH229" s="4543"/>
      <c r="BI229" s="4543"/>
      <c r="BJ229" s="4543"/>
      <c r="BK229" s="3185"/>
      <c r="BL229" s="4543"/>
      <c r="BM229" s="4543"/>
      <c r="BN229" s="4648"/>
      <c r="BO229" s="4648"/>
      <c r="BP229" s="4648"/>
      <c r="BQ229" s="4648"/>
      <c r="BR229" s="4651"/>
    </row>
    <row r="230" spans="1:70" ht="42.75" x14ac:dyDescent="0.2">
      <c r="A230" s="971"/>
      <c r="B230" s="972"/>
      <c r="C230" s="973"/>
      <c r="D230" s="972"/>
      <c r="E230" s="972"/>
      <c r="F230" s="973"/>
      <c r="G230" s="979"/>
      <c r="H230" s="972"/>
      <c r="I230" s="973"/>
      <c r="J230" s="4518"/>
      <c r="K230" s="4521"/>
      <c r="L230" s="4524"/>
      <c r="M230" s="4524"/>
      <c r="N230" s="4526"/>
      <c r="O230" s="4524"/>
      <c r="P230" s="4528"/>
      <c r="Q230" s="4521"/>
      <c r="R230" s="4531"/>
      <c r="S230" s="4534"/>
      <c r="T230" s="4521"/>
      <c r="U230" s="4521"/>
      <c r="V230" s="980" t="s">
        <v>1054</v>
      </c>
      <c r="W230" s="2600">
        <v>1000000</v>
      </c>
      <c r="X230" s="1809">
        <v>1000000</v>
      </c>
      <c r="Y230" s="1809">
        <v>1000000</v>
      </c>
      <c r="Z230" s="977">
        <v>61</v>
      </c>
      <c r="AA230" s="1062" t="s">
        <v>975</v>
      </c>
      <c r="AB230" s="4638"/>
      <c r="AC230" s="4638"/>
      <c r="AD230" s="4638">
        <v>282326</v>
      </c>
      <c r="AE230" s="4638">
        <f t="shared" si="47"/>
        <v>177865.38</v>
      </c>
      <c r="AF230" s="4638" t="s">
        <v>767</v>
      </c>
      <c r="AG230" s="4638" t="s">
        <v>767</v>
      </c>
      <c r="AH230" s="4638" t="s">
        <v>767</v>
      </c>
      <c r="AI230" s="4638" t="s">
        <v>767</v>
      </c>
      <c r="AJ230" s="4638" t="s">
        <v>767</v>
      </c>
      <c r="AK230" s="4638" t="s">
        <v>767</v>
      </c>
      <c r="AL230" s="4638" t="s">
        <v>767</v>
      </c>
      <c r="AM230" s="4638" t="s">
        <v>767</v>
      </c>
      <c r="AN230" s="4638">
        <v>2145</v>
      </c>
      <c r="AO230" s="4638">
        <f t="shared" si="48"/>
        <v>1351.35</v>
      </c>
      <c r="AP230" s="4638">
        <v>12718</v>
      </c>
      <c r="AQ230" s="4638">
        <f t="shared" si="49"/>
        <v>8012.34</v>
      </c>
      <c r="AR230" s="4638">
        <v>26</v>
      </c>
      <c r="AS230" s="4638">
        <f t="shared" si="50"/>
        <v>16.38</v>
      </c>
      <c r="AT230" s="4638">
        <v>37</v>
      </c>
      <c r="AU230" s="4638">
        <f t="shared" si="51"/>
        <v>23.31</v>
      </c>
      <c r="AV230" s="4638" t="s">
        <v>767</v>
      </c>
      <c r="AW230" s="4638" t="s">
        <v>767</v>
      </c>
      <c r="AX230" s="4638" t="s">
        <v>767</v>
      </c>
      <c r="AY230" s="4638" t="s">
        <v>767</v>
      </c>
      <c r="AZ230" s="4638">
        <v>53164</v>
      </c>
      <c r="BA230" s="4638">
        <f t="shared" si="52"/>
        <v>33493.32</v>
      </c>
      <c r="BB230" s="4638">
        <v>16982</v>
      </c>
      <c r="BC230" s="4638">
        <f t="shared" si="53"/>
        <v>10698.66</v>
      </c>
      <c r="BD230" s="4638">
        <v>60013</v>
      </c>
      <c r="BE230" s="4638">
        <f t="shared" si="54"/>
        <v>37808.19</v>
      </c>
      <c r="BF230" s="4638">
        <v>575010</v>
      </c>
      <c r="BG230" s="4638">
        <f t="shared" si="55"/>
        <v>362256.3</v>
      </c>
      <c r="BH230" s="4543"/>
      <c r="BI230" s="4543"/>
      <c r="BJ230" s="4543"/>
      <c r="BK230" s="3185"/>
      <c r="BL230" s="4543"/>
      <c r="BM230" s="4543"/>
      <c r="BN230" s="4648"/>
      <c r="BO230" s="4648"/>
      <c r="BP230" s="4648"/>
      <c r="BQ230" s="4648"/>
      <c r="BR230" s="4651"/>
    </row>
    <row r="231" spans="1:70" ht="71.25" x14ac:dyDescent="0.2">
      <c r="A231" s="971"/>
      <c r="B231" s="972"/>
      <c r="C231" s="973"/>
      <c r="D231" s="972"/>
      <c r="E231" s="972"/>
      <c r="F231" s="973"/>
      <c r="G231" s="979"/>
      <c r="H231" s="972"/>
      <c r="I231" s="973"/>
      <c r="J231" s="4518"/>
      <c r="K231" s="4521"/>
      <c r="L231" s="4524"/>
      <c r="M231" s="4524"/>
      <c r="N231" s="4526"/>
      <c r="O231" s="4524"/>
      <c r="P231" s="4528"/>
      <c r="Q231" s="4521"/>
      <c r="R231" s="4531"/>
      <c r="S231" s="4534"/>
      <c r="T231" s="4521"/>
      <c r="U231" s="4521"/>
      <c r="V231" s="980" t="s">
        <v>1055</v>
      </c>
      <c r="W231" s="2600">
        <v>1000000</v>
      </c>
      <c r="X231" s="1809">
        <v>1000000</v>
      </c>
      <c r="Y231" s="1809">
        <v>1000000</v>
      </c>
      <c r="Z231" s="977">
        <v>61</v>
      </c>
      <c r="AA231" s="1062" t="s">
        <v>975</v>
      </c>
      <c r="AB231" s="4638"/>
      <c r="AC231" s="4638"/>
      <c r="AD231" s="4638">
        <v>282326</v>
      </c>
      <c r="AE231" s="4638">
        <f t="shared" si="47"/>
        <v>177865.38</v>
      </c>
      <c r="AF231" s="4638" t="s">
        <v>767</v>
      </c>
      <c r="AG231" s="4638" t="s">
        <v>767</v>
      </c>
      <c r="AH231" s="4638" t="s">
        <v>767</v>
      </c>
      <c r="AI231" s="4638" t="s">
        <v>767</v>
      </c>
      <c r="AJ231" s="4638" t="s">
        <v>767</v>
      </c>
      <c r="AK231" s="4638" t="s">
        <v>767</v>
      </c>
      <c r="AL231" s="4638" t="s">
        <v>767</v>
      </c>
      <c r="AM231" s="4638" t="s">
        <v>767</v>
      </c>
      <c r="AN231" s="4638">
        <v>2145</v>
      </c>
      <c r="AO231" s="4638">
        <f t="shared" si="48"/>
        <v>1351.35</v>
      </c>
      <c r="AP231" s="4638">
        <v>12718</v>
      </c>
      <c r="AQ231" s="4638">
        <f t="shared" si="49"/>
        <v>8012.34</v>
      </c>
      <c r="AR231" s="4638">
        <v>26</v>
      </c>
      <c r="AS231" s="4638">
        <f t="shared" si="50"/>
        <v>16.38</v>
      </c>
      <c r="AT231" s="4638">
        <v>37</v>
      </c>
      <c r="AU231" s="4638">
        <f t="shared" si="51"/>
        <v>23.31</v>
      </c>
      <c r="AV231" s="4638" t="s">
        <v>767</v>
      </c>
      <c r="AW231" s="4638" t="s">
        <v>767</v>
      </c>
      <c r="AX231" s="4638" t="s">
        <v>767</v>
      </c>
      <c r="AY231" s="4638" t="s">
        <v>767</v>
      </c>
      <c r="AZ231" s="4638">
        <v>53164</v>
      </c>
      <c r="BA231" s="4638">
        <f t="shared" si="52"/>
        <v>33493.32</v>
      </c>
      <c r="BB231" s="4638">
        <v>16982</v>
      </c>
      <c r="BC231" s="4638">
        <f t="shared" si="53"/>
        <v>10698.66</v>
      </c>
      <c r="BD231" s="4638">
        <v>60013</v>
      </c>
      <c r="BE231" s="4638">
        <f t="shared" si="54"/>
        <v>37808.19</v>
      </c>
      <c r="BF231" s="4638">
        <v>575010</v>
      </c>
      <c r="BG231" s="4638">
        <f t="shared" si="55"/>
        <v>362256.3</v>
      </c>
      <c r="BH231" s="4543"/>
      <c r="BI231" s="4543"/>
      <c r="BJ231" s="4543"/>
      <c r="BK231" s="3185"/>
      <c r="BL231" s="4543"/>
      <c r="BM231" s="4543"/>
      <c r="BN231" s="4648"/>
      <c r="BO231" s="4648"/>
      <c r="BP231" s="4648"/>
      <c r="BQ231" s="4648"/>
      <c r="BR231" s="4651"/>
    </row>
    <row r="232" spans="1:70" ht="57" x14ac:dyDescent="0.2">
      <c r="A232" s="971"/>
      <c r="B232" s="972"/>
      <c r="C232" s="973"/>
      <c r="D232" s="972"/>
      <c r="E232" s="972"/>
      <c r="F232" s="973"/>
      <c r="G232" s="979"/>
      <c r="H232" s="972"/>
      <c r="I232" s="973"/>
      <c r="J232" s="4518"/>
      <c r="K232" s="4521"/>
      <c r="L232" s="4524"/>
      <c r="M232" s="4524"/>
      <c r="N232" s="4526"/>
      <c r="O232" s="4524"/>
      <c r="P232" s="4528"/>
      <c r="Q232" s="4521"/>
      <c r="R232" s="4531"/>
      <c r="S232" s="4534"/>
      <c r="T232" s="4521"/>
      <c r="U232" s="4521"/>
      <c r="V232" s="980" t="s">
        <v>1056</v>
      </c>
      <c r="W232" s="2600">
        <v>13500000</v>
      </c>
      <c r="X232" s="1809">
        <v>13500000</v>
      </c>
      <c r="Y232" s="1809">
        <v>12422600</v>
      </c>
      <c r="Z232" s="977">
        <v>61</v>
      </c>
      <c r="AA232" s="1062" t="s">
        <v>975</v>
      </c>
      <c r="AB232" s="4638"/>
      <c r="AC232" s="4638"/>
      <c r="AD232" s="4638">
        <v>282326</v>
      </c>
      <c r="AE232" s="4638">
        <f t="shared" si="47"/>
        <v>177865.38</v>
      </c>
      <c r="AF232" s="4638" t="s">
        <v>767</v>
      </c>
      <c r="AG232" s="4638" t="s">
        <v>767</v>
      </c>
      <c r="AH232" s="4638" t="s">
        <v>767</v>
      </c>
      <c r="AI232" s="4638" t="s">
        <v>767</v>
      </c>
      <c r="AJ232" s="4638" t="s">
        <v>767</v>
      </c>
      <c r="AK232" s="4638" t="s">
        <v>767</v>
      </c>
      <c r="AL232" s="4638" t="s">
        <v>767</v>
      </c>
      <c r="AM232" s="4638" t="s">
        <v>767</v>
      </c>
      <c r="AN232" s="4638">
        <v>2145</v>
      </c>
      <c r="AO232" s="4638">
        <f t="shared" si="48"/>
        <v>1351.35</v>
      </c>
      <c r="AP232" s="4638">
        <v>12718</v>
      </c>
      <c r="AQ232" s="4638">
        <f t="shared" si="49"/>
        <v>8012.34</v>
      </c>
      <c r="AR232" s="4638">
        <v>26</v>
      </c>
      <c r="AS232" s="4638">
        <f t="shared" si="50"/>
        <v>16.38</v>
      </c>
      <c r="AT232" s="4638">
        <v>37</v>
      </c>
      <c r="AU232" s="4638">
        <f t="shared" si="51"/>
        <v>23.31</v>
      </c>
      <c r="AV232" s="4638" t="s">
        <v>767</v>
      </c>
      <c r="AW232" s="4638" t="s">
        <v>767</v>
      </c>
      <c r="AX232" s="4638" t="s">
        <v>767</v>
      </c>
      <c r="AY232" s="4638" t="s">
        <v>767</v>
      </c>
      <c r="AZ232" s="4638">
        <v>53164</v>
      </c>
      <c r="BA232" s="4638">
        <f t="shared" si="52"/>
        <v>33493.32</v>
      </c>
      <c r="BB232" s="4638">
        <v>16982</v>
      </c>
      <c r="BC232" s="4638">
        <f t="shared" si="53"/>
        <v>10698.66</v>
      </c>
      <c r="BD232" s="4638">
        <v>60013</v>
      </c>
      <c r="BE232" s="4638">
        <f t="shared" si="54"/>
        <v>37808.19</v>
      </c>
      <c r="BF232" s="4638">
        <v>575010</v>
      </c>
      <c r="BG232" s="4638">
        <f t="shared" si="55"/>
        <v>362256.3</v>
      </c>
      <c r="BH232" s="4543"/>
      <c r="BI232" s="4543"/>
      <c r="BJ232" s="4543"/>
      <c r="BK232" s="3185"/>
      <c r="BL232" s="4543"/>
      <c r="BM232" s="4543"/>
      <c r="BN232" s="4648"/>
      <c r="BO232" s="4648"/>
      <c r="BP232" s="4648"/>
      <c r="BQ232" s="4648"/>
      <c r="BR232" s="4651"/>
    </row>
    <row r="233" spans="1:70" ht="42.75" x14ac:dyDescent="0.2">
      <c r="A233" s="971"/>
      <c r="B233" s="972"/>
      <c r="C233" s="973"/>
      <c r="D233" s="972"/>
      <c r="E233" s="972"/>
      <c r="F233" s="973"/>
      <c r="G233" s="979"/>
      <c r="H233" s="972"/>
      <c r="I233" s="973"/>
      <c r="J233" s="4518"/>
      <c r="K233" s="4521"/>
      <c r="L233" s="4524"/>
      <c r="M233" s="4524"/>
      <c r="N233" s="4526"/>
      <c r="O233" s="4524"/>
      <c r="P233" s="4528"/>
      <c r="Q233" s="4521"/>
      <c r="R233" s="4531"/>
      <c r="S233" s="4534"/>
      <c r="T233" s="4521"/>
      <c r="U233" s="4521"/>
      <c r="V233" s="980" t="s">
        <v>1057</v>
      </c>
      <c r="W233" s="2600">
        <v>3500000</v>
      </c>
      <c r="X233" s="1809">
        <v>3500000</v>
      </c>
      <c r="Y233" s="1809">
        <v>3500000</v>
      </c>
      <c r="Z233" s="977">
        <v>61</v>
      </c>
      <c r="AA233" s="1062" t="s">
        <v>975</v>
      </c>
      <c r="AB233" s="4638"/>
      <c r="AC233" s="4638"/>
      <c r="AD233" s="4638">
        <v>282326</v>
      </c>
      <c r="AE233" s="4638">
        <f t="shared" si="47"/>
        <v>177865.38</v>
      </c>
      <c r="AF233" s="4638" t="s">
        <v>767</v>
      </c>
      <c r="AG233" s="4638" t="s">
        <v>767</v>
      </c>
      <c r="AH233" s="4638" t="s">
        <v>767</v>
      </c>
      <c r="AI233" s="4638" t="s">
        <v>767</v>
      </c>
      <c r="AJ233" s="4638" t="s">
        <v>767</v>
      </c>
      <c r="AK233" s="4638" t="s">
        <v>767</v>
      </c>
      <c r="AL233" s="4638" t="s">
        <v>767</v>
      </c>
      <c r="AM233" s="4638" t="s">
        <v>767</v>
      </c>
      <c r="AN233" s="4638">
        <v>2145</v>
      </c>
      <c r="AO233" s="4638">
        <f t="shared" si="48"/>
        <v>1351.35</v>
      </c>
      <c r="AP233" s="4638">
        <v>12718</v>
      </c>
      <c r="AQ233" s="4638">
        <f t="shared" si="49"/>
        <v>8012.34</v>
      </c>
      <c r="AR233" s="4638">
        <v>26</v>
      </c>
      <c r="AS233" s="4638">
        <f t="shared" si="50"/>
        <v>16.38</v>
      </c>
      <c r="AT233" s="4638">
        <v>37</v>
      </c>
      <c r="AU233" s="4638">
        <f t="shared" si="51"/>
        <v>23.31</v>
      </c>
      <c r="AV233" s="4638" t="s">
        <v>767</v>
      </c>
      <c r="AW233" s="4638" t="s">
        <v>767</v>
      </c>
      <c r="AX233" s="4638" t="s">
        <v>767</v>
      </c>
      <c r="AY233" s="4638" t="s">
        <v>767</v>
      </c>
      <c r="AZ233" s="4638">
        <v>53164</v>
      </c>
      <c r="BA233" s="4638">
        <f t="shared" si="52"/>
        <v>33493.32</v>
      </c>
      <c r="BB233" s="4638">
        <v>16982</v>
      </c>
      <c r="BC233" s="4638">
        <f t="shared" si="53"/>
        <v>10698.66</v>
      </c>
      <c r="BD233" s="4638">
        <v>60013</v>
      </c>
      <c r="BE233" s="4638">
        <f t="shared" si="54"/>
        <v>37808.19</v>
      </c>
      <c r="BF233" s="4638">
        <v>575010</v>
      </c>
      <c r="BG233" s="4638">
        <f t="shared" si="55"/>
        <v>362256.3</v>
      </c>
      <c r="BH233" s="4543"/>
      <c r="BI233" s="4543"/>
      <c r="BJ233" s="4543"/>
      <c r="BK233" s="3185"/>
      <c r="BL233" s="4543"/>
      <c r="BM233" s="4543"/>
      <c r="BN233" s="4648"/>
      <c r="BO233" s="4648"/>
      <c r="BP233" s="4648"/>
      <c r="BQ233" s="4648"/>
      <c r="BR233" s="4651"/>
    </row>
    <row r="234" spans="1:70" ht="42.75" x14ac:dyDescent="0.2">
      <c r="A234" s="971"/>
      <c r="B234" s="972"/>
      <c r="C234" s="973"/>
      <c r="D234" s="972"/>
      <c r="E234" s="972"/>
      <c r="F234" s="973"/>
      <c r="G234" s="979"/>
      <c r="H234" s="972"/>
      <c r="I234" s="973"/>
      <c r="J234" s="4519"/>
      <c r="K234" s="4522"/>
      <c r="L234" s="4525"/>
      <c r="M234" s="4525"/>
      <c r="N234" s="4526"/>
      <c r="O234" s="4524"/>
      <c r="P234" s="4528"/>
      <c r="Q234" s="4521"/>
      <c r="R234" s="4532"/>
      <c r="S234" s="4534"/>
      <c r="T234" s="4521"/>
      <c r="U234" s="4522"/>
      <c r="V234" s="980" t="s">
        <v>1058</v>
      </c>
      <c r="W234" s="2600">
        <v>1000000</v>
      </c>
      <c r="X234" s="1809">
        <v>1000000</v>
      </c>
      <c r="Y234" s="1809">
        <v>1000000</v>
      </c>
      <c r="Z234" s="977">
        <v>61</v>
      </c>
      <c r="AA234" s="1062" t="s">
        <v>975</v>
      </c>
      <c r="AB234" s="4638"/>
      <c r="AC234" s="4638"/>
      <c r="AD234" s="4638">
        <v>282326</v>
      </c>
      <c r="AE234" s="4638">
        <f t="shared" si="47"/>
        <v>177865.38</v>
      </c>
      <c r="AF234" s="4638" t="s">
        <v>767</v>
      </c>
      <c r="AG234" s="4638" t="s">
        <v>767</v>
      </c>
      <c r="AH234" s="4638" t="s">
        <v>767</v>
      </c>
      <c r="AI234" s="4638" t="s">
        <v>767</v>
      </c>
      <c r="AJ234" s="4638" t="s">
        <v>767</v>
      </c>
      <c r="AK234" s="4638" t="s">
        <v>767</v>
      </c>
      <c r="AL234" s="4638" t="s">
        <v>767</v>
      </c>
      <c r="AM234" s="4638" t="s">
        <v>767</v>
      </c>
      <c r="AN234" s="4638">
        <v>2145</v>
      </c>
      <c r="AO234" s="4638">
        <f t="shared" si="48"/>
        <v>1351.35</v>
      </c>
      <c r="AP234" s="4638">
        <v>12718</v>
      </c>
      <c r="AQ234" s="4638">
        <f t="shared" si="49"/>
        <v>8012.34</v>
      </c>
      <c r="AR234" s="4638">
        <v>26</v>
      </c>
      <c r="AS234" s="4638">
        <f t="shared" si="50"/>
        <v>16.38</v>
      </c>
      <c r="AT234" s="4638">
        <v>37</v>
      </c>
      <c r="AU234" s="4638">
        <f t="shared" si="51"/>
        <v>23.31</v>
      </c>
      <c r="AV234" s="4638" t="s">
        <v>767</v>
      </c>
      <c r="AW234" s="4638" t="s">
        <v>767</v>
      </c>
      <c r="AX234" s="4638" t="s">
        <v>767</v>
      </c>
      <c r="AY234" s="4638" t="s">
        <v>767</v>
      </c>
      <c r="AZ234" s="4638">
        <v>53164</v>
      </c>
      <c r="BA234" s="4638">
        <f t="shared" si="52"/>
        <v>33493.32</v>
      </c>
      <c r="BB234" s="4638">
        <v>16982</v>
      </c>
      <c r="BC234" s="4638">
        <f t="shared" si="53"/>
        <v>10698.66</v>
      </c>
      <c r="BD234" s="4638">
        <v>60013</v>
      </c>
      <c r="BE234" s="4638">
        <f t="shared" si="54"/>
        <v>37808.19</v>
      </c>
      <c r="BF234" s="4638">
        <v>575010</v>
      </c>
      <c r="BG234" s="4638">
        <f t="shared" si="55"/>
        <v>362256.3</v>
      </c>
      <c r="BH234" s="4543"/>
      <c r="BI234" s="4543"/>
      <c r="BJ234" s="4543"/>
      <c r="BK234" s="3185"/>
      <c r="BL234" s="4543"/>
      <c r="BM234" s="4543"/>
      <c r="BN234" s="4648"/>
      <c r="BO234" s="4648"/>
      <c r="BP234" s="4648"/>
      <c r="BQ234" s="4648"/>
      <c r="BR234" s="4651"/>
    </row>
    <row r="235" spans="1:70" ht="68.25" customHeight="1" x14ac:dyDescent="0.2">
      <c r="A235" s="971"/>
      <c r="B235" s="972"/>
      <c r="C235" s="973"/>
      <c r="D235" s="972"/>
      <c r="E235" s="972"/>
      <c r="F235" s="973"/>
      <c r="G235" s="979"/>
      <c r="H235" s="972"/>
      <c r="I235" s="973"/>
      <c r="J235" s="4517">
        <v>156</v>
      </c>
      <c r="K235" s="4520" t="s">
        <v>1059</v>
      </c>
      <c r="L235" s="4523" t="s">
        <v>759</v>
      </c>
      <c r="M235" s="4523">
        <v>12</v>
      </c>
      <c r="N235" s="4526">
        <v>1</v>
      </c>
      <c r="O235" s="4524"/>
      <c r="P235" s="4528"/>
      <c r="Q235" s="4521"/>
      <c r="R235" s="4530">
        <f>SUM(W235:W241)/S219</f>
        <v>0.32738163428185663</v>
      </c>
      <c r="S235" s="4534"/>
      <c r="T235" s="4521"/>
      <c r="U235" s="4520" t="s">
        <v>1060</v>
      </c>
      <c r="V235" s="980" t="s">
        <v>1061</v>
      </c>
      <c r="W235" s="2600">
        <v>20000000</v>
      </c>
      <c r="X235" s="1809">
        <v>9884000</v>
      </c>
      <c r="Y235" s="1809">
        <v>5890400</v>
      </c>
      <c r="Z235" s="977">
        <v>61</v>
      </c>
      <c r="AA235" s="1062" t="s">
        <v>975</v>
      </c>
      <c r="AB235" s="4638"/>
      <c r="AC235" s="4638"/>
      <c r="AD235" s="4638">
        <v>282326</v>
      </c>
      <c r="AE235" s="4638">
        <f t="shared" si="47"/>
        <v>177865.38</v>
      </c>
      <c r="AF235" s="4638" t="s">
        <v>767</v>
      </c>
      <c r="AG235" s="4638" t="s">
        <v>767</v>
      </c>
      <c r="AH235" s="4638" t="s">
        <v>767</v>
      </c>
      <c r="AI235" s="4638" t="s">
        <v>767</v>
      </c>
      <c r="AJ235" s="4638" t="s">
        <v>767</v>
      </c>
      <c r="AK235" s="4638" t="s">
        <v>767</v>
      </c>
      <c r="AL235" s="4638" t="s">
        <v>767</v>
      </c>
      <c r="AM235" s="4638" t="s">
        <v>767</v>
      </c>
      <c r="AN235" s="4638">
        <v>2145</v>
      </c>
      <c r="AO235" s="4638">
        <f t="shared" si="48"/>
        <v>1351.35</v>
      </c>
      <c r="AP235" s="4638">
        <v>12718</v>
      </c>
      <c r="AQ235" s="4638">
        <f t="shared" si="49"/>
        <v>8012.34</v>
      </c>
      <c r="AR235" s="4638">
        <v>26</v>
      </c>
      <c r="AS235" s="4638">
        <f t="shared" si="50"/>
        <v>16.38</v>
      </c>
      <c r="AT235" s="4638">
        <v>37</v>
      </c>
      <c r="AU235" s="4638">
        <f t="shared" si="51"/>
        <v>23.31</v>
      </c>
      <c r="AV235" s="4638" t="s">
        <v>767</v>
      </c>
      <c r="AW235" s="4638" t="s">
        <v>767</v>
      </c>
      <c r="AX235" s="4638" t="s">
        <v>767</v>
      </c>
      <c r="AY235" s="4638" t="s">
        <v>767</v>
      </c>
      <c r="AZ235" s="4638">
        <v>53164</v>
      </c>
      <c r="BA235" s="4638">
        <f t="shared" si="52"/>
        <v>33493.32</v>
      </c>
      <c r="BB235" s="4638">
        <v>16982</v>
      </c>
      <c r="BC235" s="4638">
        <f t="shared" si="53"/>
        <v>10698.66</v>
      </c>
      <c r="BD235" s="4638">
        <v>60013</v>
      </c>
      <c r="BE235" s="4638">
        <f t="shared" si="54"/>
        <v>37808.19</v>
      </c>
      <c r="BF235" s="4638">
        <v>575010</v>
      </c>
      <c r="BG235" s="4638">
        <f t="shared" si="55"/>
        <v>362256.3</v>
      </c>
      <c r="BH235" s="4543"/>
      <c r="BI235" s="4543"/>
      <c r="BJ235" s="4543"/>
      <c r="BK235" s="3185"/>
      <c r="BL235" s="4543"/>
      <c r="BM235" s="4543"/>
      <c r="BN235" s="4648"/>
      <c r="BO235" s="4648"/>
      <c r="BP235" s="4648"/>
      <c r="BQ235" s="4648"/>
      <c r="BR235" s="4651"/>
    </row>
    <row r="236" spans="1:70" ht="69.75" customHeight="1" x14ac:dyDescent="0.2">
      <c r="A236" s="971"/>
      <c r="B236" s="972"/>
      <c r="C236" s="973"/>
      <c r="D236" s="972"/>
      <c r="E236" s="972"/>
      <c r="F236" s="973"/>
      <c r="G236" s="979"/>
      <c r="H236" s="972"/>
      <c r="I236" s="973"/>
      <c r="J236" s="4518"/>
      <c r="K236" s="4521"/>
      <c r="L236" s="4524"/>
      <c r="M236" s="4524"/>
      <c r="N236" s="4526"/>
      <c r="O236" s="4524"/>
      <c r="P236" s="4528"/>
      <c r="Q236" s="4521"/>
      <c r="R236" s="4531"/>
      <c r="S236" s="4534"/>
      <c r="T236" s="4521"/>
      <c r="U236" s="4521"/>
      <c r="V236" s="980" t="s">
        <v>1062</v>
      </c>
      <c r="W236" s="2600">
        <v>20000000</v>
      </c>
      <c r="X236" s="1809">
        <v>9884000</v>
      </c>
      <c r="Y236" s="1809">
        <v>5890400</v>
      </c>
      <c r="Z236" s="977">
        <v>61</v>
      </c>
      <c r="AA236" s="1062" t="s">
        <v>975</v>
      </c>
      <c r="AB236" s="4638"/>
      <c r="AC236" s="4638"/>
      <c r="AD236" s="4638">
        <v>282326</v>
      </c>
      <c r="AE236" s="4638">
        <f t="shared" si="47"/>
        <v>177865.38</v>
      </c>
      <c r="AF236" s="4638" t="s">
        <v>767</v>
      </c>
      <c r="AG236" s="4638" t="s">
        <v>767</v>
      </c>
      <c r="AH236" s="4638" t="s">
        <v>767</v>
      </c>
      <c r="AI236" s="4638" t="s">
        <v>767</v>
      </c>
      <c r="AJ236" s="4638" t="s">
        <v>767</v>
      </c>
      <c r="AK236" s="4638" t="s">
        <v>767</v>
      </c>
      <c r="AL236" s="4638" t="s">
        <v>767</v>
      </c>
      <c r="AM236" s="4638" t="s">
        <v>767</v>
      </c>
      <c r="AN236" s="4638">
        <v>2145</v>
      </c>
      <c r="AO236" s="4638">
        <f t="shared" si="48"/>
        <v>1351.35</v>
      </c>
      <c r="AP236" s="4638">
        <v>12718</v>
      </c>
      <c r="AQ236" s="4638">
        <f t="shared" si="49"/>
        <v>8012.34</v>
      </c>
      <c r="AR236" s="4638">
        <v>26</v>
      </c>
      <c r="AS236" s="4638">
        <f t="shared" si="50"/>
        <v>16.38</v>
      </c>
      <c r="AT236" s="4638">
        <v>37</v>
      </c>
      <c r="AU236" s="4638">
        <f t="shared" si="51"/>
        <v>23.31</v>
      </c>
      <c r="AV236" s="4638" t="s">
        <v>767</v>
      </c>
      <c r="AW236" s="4638" t="s">
        <v>767</v>
      </c>
      <c r="AX236" s="4638" t="s">
        <v>767</v>
      </c>
      <c r="AY236" s="4638" t="s">
        <v>767</v>
      </c>
      <c r="AZ236" s="4638">
        <v>53164</v>
      </c>
      <c r="BA236" s="4638">
        <f t="shared" si="52"/>
        <v>33493.32</v>
      </c>
      <c r="BB236" s="4638">
        <v>16982</v>
      </c>
      <c r="BC236" s="4638">
        <f t="shared" si="53"/>
        <v>10698.66</v>
      </c>
      <c r="BD236" s="4638">
        <v>60013</v>
      </c>
      <c r="BE236" s="4638">
        <f t="shared" si="54"/>
        <v>37808.19</v>
      </c>
      <c r="BF236" s="4638">
        <v>575010</v>
      </c>
      <c r="BG236" s="4638">
        <f t="shared" si="55"/>
        <v>362256.3</v>
      </c>
      <c r="BH236" s="4543"/>
      <c r="BI236" s="4543"/>
      <c r="BJ236" s="4543"/>
      <c r="BK236" s="3185"/>
      <c r="BL236" s="4543"/>
      <c r="BM236" s="4543"/>
      <c r="BN236" s="4648"/>
      <c r="BO236" s="4648"/>
      <c r="BP236" s="4648"/>
      <c r="BQ236" s="4648"/>
      <c r="BR236" s="4651"/>
    </row>
    <row r="237" spans="1:70" ht="57" x14ac:dyDescent="0.2">
      <c r="A237" s="971"/>
      <c r="B237" s="972"/>
      <c r="C237" s="973"/>
      <c r="D237" s="972"/>
      <c r="E237" s="972"/>
      <c r="F237" s="973"/>
      <c r="G237" s="979"/>
      <c r="H237" s="972"/>
      <c r="I237" s="973"/>
      <c r="J237" s="4518"/>
      <c r="K237" s="4521"/>
      <c r="L237" s="4524"/>
      <c r="M237" s="4524"/>
      <c r="N237" s="4526"/>
      <c r="O237" s="4524"/>
      <c r="P237" s="4528"/>
      <c r="Q237" s="4521"/>
      <c r="R237" s="4531"/>
      <c r="S237" s="4534"/>
      <c r="T237" s="4521"/>
      <c r="U237" s="4521"/>
      <c r="V237" s="980" t="s">
        <v>1063</v>
      </c>
      <c r="W237" s="2600">
        <v>4000000</v>
      </c>
      <c r="X237" s="1809">
        <v>4000000</v>
      </c>
      <c r="Y237" s="1809">
        <v>4000000</v>
      </c>
      <c r="Z237" s="977">
        <v>61</v>
      </c>
      <c r="AA237" s="1062" t="s">
        <v>975</v>
      </c>
      <c r="AB237" s="4638"/>
      <c r="AC237" s="4638"/>
      <c r="AD237" s="4638">
        <v>282326</v>
      </c>
      <c r="AE237" s="4638">
        <f t="shared" si="47"/>
        <v>177865.38</v>
      </c>
      <c r="AF237" s="4638" t="s">
        <v>767</v>
      </c>
      <c r="AG237" s="4638" t="s">
        <v>767</v>
      </c>
      <c r="AH237" s="4638" t="s">
        <v>767</v>
      </c>
      <c r="AI237" s="4638" t="s">
        <v>767</v>
      </c>
      <c r="AJ237" s="4638" t="s">
        <v>767</v>
      </c>
      <c r="AK237" s="4638" t="s">
        <v>767</v>
      </c>
      <c r="AL237" s="4638" t="s">
        <v>767</v>
      </c>
      <c r="AM237" s="4638" t="s">
        <v>767</v>
      </c>
      <c r="AN237" s="4638">
        <v>2145</v>
      </c>
      <c r="AO237" s="4638">
        <f t="shared" si="48"/>
        <v>1351.35</v>
      </c>
      <c r="AP237" s="4638">
        <v>12718</v>
      </c>
      <c r="AQ237" s="4638">
        <f t="shared" si="49"/>
        <v>8012.34</v>
      </c>
      <c r="AR237" s="4638">
        <v>26</v>
      </c>
      <c r="AS237" s="4638">
        <f t="shared" si="50"/>
        <v>16.38</v>
      </c>
      <c r="AT237" s="4638">
        <v>37</v>
      </c>
      <c r="AU237" s="4638">
        <f t="shared" si="51"/>
        <v>23.31</v>
      </c>
      <c r="AV237" s="4638" t="s">
        <v>767</v>
      </c>
      <c r="AW237" s="4638" t="s">
        <v>767</v>
      </c>
      <c r="AX237" s="4638" t="s">
        <v>767</v>
      </c>
      <c r="AY237" s="4638" t="s">
        <v>767</v>
      </c>
      <c r="AZ237" s="4638">
        <v>53164</v>
      </c>
      <c r="BA237" s="4638">
        <f t="shared" si="52"/>
        <v>33493.32</v>
      </c>
      <c r="BB237" s="4638">
        <v>16982</v>
      </c>
      <c r="BC237" s="4638">
        <f t="shared" si="53"/>
        <v>10698.66</v>
      </c>
      <c r="BD237" s="4638">
        <v>60013</v>
      </c>
      <c r="BE237" s="4638">
        <f t="shared" si="54"/>
        <v>37808.19</v>
      </c>
      <c r="BF237" s="4638">
        <v>575010</v>
      </c>
      <c r="BG237" s="4638">
        <f t="shared" si="55"/>
        <v>362256.3</v>
      </c>
      <c r="BH237" s="4543"/>
      <c r="BI237" s="4543"/>
      <c r="BJ237" s="4543"/>
      <c r="BK237" s="3185"/>
      <c r="BL237" s="4543"/>
      <c r="BM237" s="4543"/>
      <c r="BN237" s="4648"/>
      <c r="BO237" s="4648"/>
      <c r="BP237" s="4648"/>
      <c r="BQ237" s="4648"/>
      <c r="BR237" s="4651"/>
    </row>
    <row r="238" spans="1:70" ht="57" customHeight="1" x14ac:dyDescent="0.2">
      <c r="A238" s="971"/>
      <c r="B238" s="972"/>
      <c r="C238" s="973"/>
      <c r="D238" s="972"/>
      <c r="E238" s="972"/>
      <c r="F238" s="973"/>
      <c r="G238" s="979"/>
      <c r="H238" s="972"/>
      <c r="I238" s="973"/>
      <c r="J238" s="4518"/>
      <c r="K238" s="4521"/>
      <c r="L238" s="4524"/>
      <c r="M238" s="4524"/>
      <c r="N238" s="4526"/>
      <c r="O238" s="4524"/>
      <c r="P238" s="4528"/>
      <c r="Q238" s="4521"/>
      <c r="R238" s="4531"/>
      <c r="S238" s="4534"/>
      <c r="T238" s="4521"/>
      <c r="U238" s="4521"/>
      <c r="V238" s="4551" t="s">
        <v>1064</v>
      </c>
      <c r="W238" s="2600">
        <v>16000000</v>
      </c>
      <c r="X238" s="1809">
        <v>9884000</v>
      </c>
      <c r="Y238" s="1809">
        <v>5890400</v>
      </c>
      <c r="Z238" s="977">
        <v>61</v>
      </c>
      <c r="AA238" s="1062" t="s">
        <v>975</v>
      </c>
      <c r="AB238" s="4638"/>
      <c r="AC238" s="4638"/>
      <c r="AD238" s="4638">
        <v>282326</v>
      </c>
      <c r="AE238" s="4638">
        <f t="shared" si="47"/>
        <v>177865.38</v>
      </c>
      <c r="AF238" s="4638" t="s">
        <v>767</v>
      </c>
      <c r="AG238" s="4638" t="s">
        <v>767</v>
      </c>
      <c r="AH238" s="4638" t="s">
        <v>767</v>
      </c>
      <c r="AI238" s="4638" t="s">
        <v>767</v>
      </c>
      <c r="AJ238" s="4638" t="s">
        <v>767</v>
      </c>
      <c r="AK238" s="4638" t="s">
        <v>767</v>
      </c>
      <c r="AL238" s="4638" t="s">
        <v>767</v>
      </c>
      <c r="AM238" s="4638" t="s">
        <v>767</v>
      </c>
      <c r="AN238" s="4638">
        <v>2145</v>
      </c>
      <c r="AO238" s="4638">
        <f t="shared" si="48"/>
        <v>1351.35</v>
      </c>
      <c r="AP238" s="4638">
        <v>12718</v>
      </c>
      <c r="AQ238" s="4638">
        <f t="shared" si="49"/>
        <v>8012.34</v>
      </c>
      <c r="AR238" s="4638">
        <v>26</v>
      </c>
      <c r="AS238" s="4638">
        <f t="shared" si="50"/>
        <v>16.38</v>
      </c>
      <c r="AT238" s="4638">
        <v>37</v>
      </c>
      <c r="AU238" s="4638">
        <f t="shared" si="51"/>
        <v>23.31</v>
      </c>
      <c r="AV238" s="4638" t="s">
        <v>767</v>
      </c>
      <c r="AW238" s="4638" t="s">
        <v>767</v>
      </c>
      <c r="AX238" s="4638" t="s">
        <v>767</v>
      </c>
      <c r="AY238" s="4638" t="s">
        <v>767</v>
      </c>
      <c r="AZ238" s="4638">
        <v>53164</v>
      </c>
      <c r="BA238" s="4638">
        <f t="shared" si="52"/>
        <v>33493.32</v>
      </c>
      <c r="BB238" s="4638">
        <v>16982</v>
      </c>
      <c r="BC238" s="4638">
        <f t="shared" si="53"/>
        <v>10698.66</v>
      </c>
      <c r="BD238" s="4638">
        <v>60013</v>
      </c>
      <c r="BE238" s="4638">
        <f t="shared" si="54"/>
        <v>37808.19</v>
      </c>
      <c r="BF238" s="4638">
        <v>575010</v>
      </c>
      <c r="BG238" s="4638">
        <f t="shared" si="55"/>
        <v>362256.3</v>
      </c>
      <c r="BH238" s="4543"/>
      <c r="BI238" s="4543"/>
      <c r="BJ238" s="4543"/>
      <c r="BK238" s="3185"/>
      <c r="BL238" s="4543"/>
      <c r="BM238" s="4543"/>
      <c r="BN238" s="4648"/>
      <c r="BO238" s="4648"/>
      <c r="BP238" s="4648"/>
      <c r="BQ238" s="4648"/>
      <c r="BR238" s="4651"/>
    </row>
    <row r="239" spans="1:70" ht="27.75" customHeight="1" x14ac:dyDescent="0.2">
      <c r="A239" s="971"/>
      <c r="B239" s="972"/>
      <c r="C239" s="973"/>
      <c r="D239" s="972"/>
      <c r="E239" s="972"/>
      <c r="F239" s="973"/>
      <c r="G239" s="979"/>
      <c r="H239" s="972"/>
      <c r="I239" s="973"/>
      <c r="J239" s="4518"/>
      <c r="K239" s="4521"/>
      <c r="L239" s="4524"/>
      <c r="M239" s="4524"/>
      <c r="N239" s="4526"/>
      <c r="O239" s="4524"/>
      <c r="P239" s="4528"/>
      <c r="Q239" s="4521"/>
      <c r="R239" s="4531"/>
      <c r="S239" s="4534"/>
      <c r="T239" s="4521"/>
      <c r="U239" s="4521"/>
      <c r="V239" s="4552"/>
      <c r="W239" s="2597">
        <v>11916251</v>
      </c>
      <c r="X239" s="2597">
        <v>0</v>
      </c>
      <c r="Y239" s="2597">
        <v>0</v>
      </c>
      <c r="Z239" s="1009">
        <v>88</v>
      </c>
      <c r="AA239" s="1027" t="s">
        <v>1048</v>
      </c>
      <c r="AB239" s="4638"/>
      <c r="AC239" s="4638"/>
      <c r="AD239" s="4638">
        <v>282326</v>
      </c>
      <c r="AE239" s="4638">
        <f t="shared" si="47"/>
        <v>177865.38</v>
      </c>
      <c r="AF239" s="4638" t="s">
        <v>767</v>
      </c>
      <c r="AG239" s="4638" t="s">
        <v>767</v>
      </c>
      <c r="AH239" s="4638" t="s">
        <v>767</v>
      </c>
      <c r="AI239" s="4638" t="s">
        <v>767</v>
      </c>
      <c r="AJ239" s="4638" t="s">
        <v>767</v>
      </c>
      <c r="AK239" s="4638" t="s">
        <v>767</v>
      </c>
      <c r="AL239" s="4638" t="s">
        <v>767</v>
      </c>
      <c r="AM239" s="4638" t="s">
        <v>767</v>
      </c>
      <c r="AN239" s="4638">
        <v>2145</v>
      </c>
      <c r="AO239" s="4638">
        <f t="shared" si="48"/>
        <v>1351.35</v>
      </c>
      <c r="AP239" s="4638">
        <v>12718</v>
      </c>
      <c r="AQ239" s="4638">
        <f t="shared" si="49"/>
        <v>8012.34</v>
      </c>
      <c r="AR239" s="4638">
        <v>26</v>
      </c>
      <c r="AS239" s="4638">
        <f t="shared" si="50"/>
        <v>16.38</v>
      </c>
      <c r="AT239" s="4638">
        <v>37</v>
      </c>
      <c r="AU239" s="4638">
        <f t="shared" si="51"/>
        <v>23.31</v>
      </c>
      <c r="AV239" s="4638" t="s">
        <v>767</v>
      </c>
      <c r="AW239" s="4638" t="s">
        <v>767</v>
      </c>
      <c r="AX239" s="4638" t="s">
        <v>767</v>
      </c>
      <c r="AY239" s="4638" t="s">
        <v>767</v>
      </c>
      <c r="AZ239" s="4638">
        <v>53164</v>
      </c>
      <c r="BA239" s="4638">
        <f t="shared" si="52"/>
        <v>33493.32</v>
      </c>
      <c r="BB239" s="4638">
        <v>16982</v>
      </c>
      <c r="BC239" s="4638">
        <f t="shared" si="53"/>
        <v>10698.66</v>
      </c>
      <c r="BD239" s="4638">
        <v>60013</v>
      </c>
      <c r="BE239" s="4638">
        <f t="shared" si="54"/>
        <v>37808.19</v>
      </c>
      <c r="BF239" s="4638">
        <v>575010</v>
      </c>
      <c r="BG239" s="4638">
        <f t="shared" si="55"/>
        <v>362256.3</v>
      </c>
      <c r="BH239" s="4543"/>
      <c r="BI239" s="4543"/>
      <c r="BJ239" s="4543"/>
      <c r="BK239" s="3185"/>
      <c r="BL239" s="4543"/>
      <c r="BM239" s="4543"/>
      <c r="BN239" s="4648"/>
      <c r="BO239" s="4648"/>
      <c r="BP239" s="4648"/>
      <c r="BQ239" s="4648"/>
      <c r="BR239" s="4651"/>
    </row>
    <row r="240" spans="1:70" ht="57" x14ac:dyDescent="0.2">
      <c r="A240" s="971"/>
      <c r="B240" s="972"/>
      <c r="C240" s="973"/>
      <c r="D240" s="972"/>
      <c r="E240" s="972"/>
      <c r="F240" s="973"/>
      <c r="G240" s="979"/>
      <c r="H240" s="972"/>
      <c r="I240" s="973"/>
      <c r="J240" s="4518"/>
      <c r="K240" s="4521"/>
      <c r="L240" s="4524"/>
      <c r="M240" s="4524"/>
      <c r="N240" s="4526"/>
      <c r="O240" s="4524"/>
      <c r="P240" s="4528"/>
      <c r="Q240" s="4521"/>
      <c r="R240" s="4531"/>
      <c r="S240" s="4534"/>
      <c r="T240" s="4521"/>
      <c r="U240" s="4521"/>
      <c r="V240" s="980" t="s">
        <v>1065</v>
      </c>
      <c r="W240" s="2600">
        <v>16000000</v>
      </c>
      <c r="X240" s="1809">
        <v>9884000</v>
      </c>
      <c r="Y240" s="1809">
        <v>5890400</v>
      </c>
      <c r="Z240" s="977">
        <v>61</v>
      </c>
      <c r="AA240" s="1062" t="s">
        <v>975</v>
      </c>
      <c r="AB240" s="4638"/>
      <c r="AC240" s="4638"/>
      <c r="AD240" s="4638">
        <v>282326</v>
      </c>
      <c r="AE240" s="4638">
        <f t="shared" si="47"/>
        <v>177865.38</v>
      </c>
      <c r="AF240" s="4638" t="s">
        <v>767</v>
      </c>
      <c r="AG240" s="4638" t="s">
        <v>767</v>
      </c>
      <c r="AH240" s="4638" t="s">
        <v>767</v>
      </c>
      <c r="AI240" s="4638" t="s">
        <v>767</v>
      </c>
      <c r="AJ240" s="4638" t="s">
        <v>767</v>
      </c>
      <c r="AK240" s="4638" t="s">
        <v>767</v>
      </c>
      <c r="AL240" s="4638" t="s">
        <v>767</v>
      </c>
      <c r="AM240" s="4638" t="s">
        <v>767</v>
      </c>
      <c r="AN240" s="4638">
        <v>2145</v>
      </c>
      <c r="AO240" s="4638">
        <f t="shared" si="48"/>
        <v>1351.35</v>
      </c>
      <c r="AP240" s="4638">
        <v>12718</v>
      </c>
      <c r="AQ240" s="4638">
        <f t="shared" si="49"/>
        <v>8012.34</v>
      </c>
      <c r="AR240" s="4638">
        <v>26</v>
      </c>
      <c r="AS240" s="4638">
        <f t="shared" si="50"/>
        <v>16.38</v>
      </c>
      <c r="AT240" s="4638">
        <v>37</v>
      </c>
      <c r="AU240" s="4638">
        <f t="shared" si="51"/>
        <v>23.31</v>
      </c>
      <c r="AV240" s="4638" t="s">
        <v>767</v>
      </c>
      <c r="AW240" s="4638" t="s">
        <v>767</v>
      </c>
      <c r="AX240" s="4638" t="s">
        <v>767</v>
      </c>
      <c r="AY240" s="4638" t="s">
        <v>767</v>
      </c>
      <c r="AZ240" s="4638">
        <v>53164</v>
      </c>
      <c r="BA240" s="4638">
        <f t="shared" si="52"/>
        <v>33493.32</v>
      </c>
      <c r="BB240" s="4638">
        <v>16982</v>
      </c>
      <c r="BC240" s="4638">
        <f t="shared" si="53"/>
        <v>10698.66</v>
      </c>
      <c r="BD240" s="4638">
        <v>60013</v>
      </c>
      <c r="BE240" s="4638">
        <f t="shared" si="54"/>
        <v>37808.19</v>
      </c>
      <c r="BF240" s="4638">
        <v>575010</v>
      </c>
      <c r="BG240" s="4638">
        <f t="shared" si="55"/>
        <v>362256.3</v>
      </c>
      <c r="BH240" s="4543"/>
      <c r="BI240" s="4543"/>
      <c r="BJ240" s="4543"/>
      <c r="BK240" s="3185"/>
      <c r="BL240" s="4543"/>
      <c r="BM240" s="4543"/>
      <c r="BN240" s="4648"/>
      <c r="BO240" s="4648"/>
      <c r="BP240" s="4648"/>
      <c r="BQ240" s="4648"/>
      <c r="BR240" s="4651"/>
    </row>
    <row r="241" spans="1:70" ht="57" x14ac:dyDescent="0.2">
      <c r="A241" s="971"/>
      <c r="B241" s="972"/>
      <c r="C241" s="973"/>
      <c r="D241" s="972"/>
      <c r="E241" s="972"/>
      <c r="F241" s="973"/>
      <c r="G241" s="979"/>
      <c r="H241" s="972"/>
      <c r="I241" s="973"/>
      <c r="J241" s="4519"/>
      <c r="K241" s="4522"/>
      <c r="L241" s="4525"/>
      <c r="M241" s="4525"/>
      <c r="N241" s="4526"/>
      <c r="O241" s="4524"/>
      <c r="P241" s="4528"/>
      <c r="Q241" s="4521"/>
      <c r="R241" s="4532"/>
      <c r="S241" s="4534"/>
      <c r="T241" s="4521"/>
      <c r="U241" s="4522"/>
      <c r="V241" s="980" t="s">
        <v>1066</v>
      </c>
      <c r="W241" s="2600">
        <v>16000000</v>
      </c>
      <c r="X241" s="1809">
        <v>9884000</v>
      </c>
      <c r="Y241" s="1809">
        <v>5890400</v>
      </c>
      <c r="Z241" s="977">
        <v>61</v>
      </c>
      <c r="AA241" s="1062" t="s">
        <v>975</v>
      </c>
      <c r="AB241" s="4638"/>
      <c r="AC241" s="4638"/>
      <c r="AD241" s="4638">
        <v>282326</v>
      </c>
      <c r="AE241" s="4638">
        <f t="shared" si="47"/>
        <v>177865.38</v>
      </c>
      <c r="AF241" s="4638" t="s">
        <v>767</v>
      </c>
      <c r="AG241" s="4638" t="s">
        <v>767</v>
      </c>
      <c r="AH241" s="4638" t="s">
        <v>767</v>
      </c>
      <c r="AI241" s="4638" t="s">
        <v>767</v>
      </c>
      <c r="AJ241" s="4638" t="s">
        <v>767</v>
      </c>
      <c r="AK241" s="4638" t="s">
        <v>767</v>
      </c>
      <c r="AL241" s="4638" t="s">
        <v>767</v>
      </c>
      <c r="AM241" s="4638" t="s">
        <v>767</v>
      </c>
      <c r="AN241" s="4638">
        <v>2145</v>
      </c>
      <c r="AO241" s="4638">
        <f t="shared" si="48"/>
        <v>1351.35</v>
      </c>
      <c r="AP241" s="4638">
        <v>12718</v>
      </c>
      <c r="AQ241" s="4638">
        <f t="shared" si="49"/>
        <v>8012.34</v>
      </c>
      <c r="AR241" s="4638">
        <v>26</v>
      </c>
      <c r="AS241" s="4638">
        <f t="shared" si="50"/>
        <v>16.38</v>
      </c>
      <c r="AT241" s="4638">
        <v>37</v>
      </c>
      <c r="AU241" s="4638">
        <f t="shared" si="51"/>
        <v>23.31</v>
      </c>
      <c r="AV241" s="4638" t="s">
        <v>767</v>
      </c>
      <c r="AW241" s="4638" t="s">
        <v>767</v>
      </c>
      <c r="AX241" s="4638" t="s">
        <v>767</v>
      </c>
      <c r="AY241" s="4638" t="s">
        <v>767</v>
      </c>
      <c r="AZ241" s="4638">
        <v>53164</v>
      </c>
      <c r="BA241" s="4638">
        <f t="shared" si="52"/>
        <v>33493.32</v>
      </c>
      <c r="BB241" s="4638">
        <v>16982</v>
      </c>
      <c r="BC241" s="4638">
        <f t="shared" si="53"/>
        <v>10698.66</v>
      </c>
      <c r="BD241" s="4638">
        <v>60013</v>
      </c>
      <c r="BE241" s="4638">
        <f t="shared" si="54"/>
        <v>37808.19</v>
      </c>
      <c r="BF241" s="4638">
        <v>575010</v>
      </c>
      <c r="BG241" s="4638">
        <f t="shared" si="55"/>
        <v>362256.3</v>
      </c>
      <c r="BH241" s="4543"/>
      <c r="BI241" s="4543"/>
      <c r="BJ241" s="4543"/>
      <c r="BK241" s="3185"/>
      <c r="BL241" s="4543"/>
      <c r="BM241" s="4543"/>
      <c r="BN241" s="4648"/>
      <c r="BO241" s="4648"/>
      <c r="BP241" s="4648"/>
      <c r="BQ241" s="4648"/>
      <c r="BR241" s="4651"/>
    </row>
    <row r="242" spans="1:70" ht="42.75" x14ac:dyDescent="0.2">
      <c r="A242" s="971"/>
      <c r="B242" s="972"/>
      <c r="C242" s="973"/>
      <c r="D242" s="972"/>
      <c r="E242" s="972"/>
      <c r="F242" s="973"/>
      <c r="G242" s="979"/>
      <c r="H242" s="972"/>
      <c r="I242" s="973"/>
      <c r="J242" s="4517">
        <v>157</v>
      </c>
      <c r="K242" s="4520" t="s">
        <v>1067</v>
      </c>
      <c r="L242" s="4523" t="s">
        <v>759</v>
      </c>
      <c r="M242" s="4523">
        <v>12</v>
      </c>
      <c r="N242" s="4526">
        <v>3</v>
      </c>
      <c r="O242" s="4524"/>
      <c r="P242" s="4528"/>
      <c r="Q242" s="4521"/>
      <c r="R242" s="4530">
        <f>SUM(W242:W249)/S219</f>
        <v>0.17642448936869334</v>
      </c>
      <c r="S242" s="4534"/>
      <c r="T242" s="4521"/>
      <c r="U242" s="4520" t="s">
        <v>1068</v>
      </c>
      <c r="V242" s="980" t="s">
        <v>1069</v>
      </c>
      <c r="W242" s="2601">
        <v>4800000</v>
      </c>
      <c r="X242" s="1809">
        <v>2868125</v>
      </c>
      <c r="Y242" s="1809">
        <v>1846750</v>
      </c>
      <c r="Z242" s="977">
        <v>61</v>
      </c>
      <c r="AA242" s="1062" t="s">
        <v>975</v>
      </c>
      <c r="AB242" s="4638"/>
      <c r="AC242" s="4638"/>
      <c r="AD242" s="4638">
        <v>282326</v>
      </c>
      <c r="AE242" s="4638">
        <f t="shared" si="47"/>
        <v>177865.38</v>
      </c>
      <c r="AF242" s="4638" t="s">
        <v>767</v>
      </c>
      <c r="AG242" s="4638" t="s">
        <v>767</v>
      </c>
      <c r="AH242" s="4638" t="s">
        <v>767</v>
      </c>
      <c r="AI242" s="4638" t="s">
        <v>767</v>
      </c>
      <c r="AJ242" s="4638" t="s">
        <v>767</v>
      </c>
      <c r="AK242" s="4638" t="s">
        <v>767</v>
      </c>
      <c r="AL242" s="4638" t="s">
        <v>767</v>
      </c>
      <c r="AM242" s="4638" t="s">
        <v>767</v>
      </c>
      <c r="AN242" s="4638">
        <v>2145</v>
      </c>
      <c r="AO242" s="4638">
        <f t="shared" si="48"/>
        <v>1351.35</v>
      </c>
      <c r="AP242" s="4638">
        <v>12718</v>
      </c>
      <c r="AQ242" s="4638">
        <f t="shared" si="49"/>
        <v>8012.34</v>
      </c>
      <c r="AR242" s="4638">
        <v>26</v>
      </c>
      <c r="AS242" s="4638">
        <f t="shared" si="50"/>
        <v>16.38</v>
      </c>
      <c r="AT242" s="4638">
        <v>37</v>
      </c>
      <c r="AU242" s="4638">
        <f t="shared" si="51"/>
        <v>23.31</v>
      </c>
      <c r="AV242" s="4638" t="s">
        <v>767</v>
      </c>
      <c r="AW242" s="4638" t="s">
        <v>767</v>
      </c>
      <c r="AX242" s="4638" t="s">
        <v>767</v>
      </c>
      <c r="AY242" s="4638" t="s">
        <v>767</v>
      </c>
      <c r="AZ242" s="4638">
        <v>53164</v>
      </c>
      <c r="BA242" s="4638">
        <f t="shared" si="52"/>
        <v>33493.32</v>
      </c>
      <c r="BB242" s="4638">
        <v>16982</v>
      </c>
      <c r="BC242" s="4638">
        <f t="shared" si="53"/>
        <v>10698.66</v>
      </c>
      <c r="BD242" s="4638">
        <v>60013</v>
      </c>
      <c r="BE242" s="4638">
        <f t="shared" si="54"/>
        <v>37808.19</v>
      </c>
      <c r="BF242" s="4638">
        <v>575010</v>
      </c>
      <c r="BG242" s="4638">
        <f t="shared" si="55"/>
        <v>362256.3</v>
      </c>
      <c r="BH242" s="4543"/>
      <c r="BI242" s="4543"/>
      <c r="BJ242" s="4543"/>
      <c r="BK242" s="3185"/>
      <c r="BL242" s="4543"/>
      <c r="BM242" s="4543"/>
      <c r="BN242" s="4648"/>
      <c r="BO242" s="4648"/>
      <c r="BP242" s="4648"/>
      <c r="BQ242" s="4648"/>
      <c r="BR242" s="4651"/>
    </row>
    <row r="243" spans="1:70" ht="57" x14ac:dyDescent="0.2">
      <c r="A243" s="971"/>
      <c r="B243" s="972"/>
      <c r="C243" s="973"/>
      <c r="D243" s="972"/>
      <c r="E243" s="972"/>
      <c r="F243" s="973"/>
      <c r="G243" s="979"/>
      <c r="H243" s="972"/>
      <c r="I243" s="973"/>
      <c r="J243" s="4518"/>
      <c r="K243" s="4521"/>
      <c r="L243" s="4524"/>
      <c r="M243" s="4524"/>
      <c r="N243" s="4526"/>
      <c r="O243" s="4524"/>
      <c r="P243" s="4528"/>
      <c r="Q243" s="4521"/>
      <c r="R243" s="4531"/>
      <c r="S243" s="4534"/>
      <c r="T243" s="4521"/>
      <c r="U243" s="4521"/>
      <c r="V243" s="980" t="s">
        <v>1070</v>
      </c>
      <c r="W243" s="2600">
        <v>10800000</v>
      </c>
      <c r="X243" s="1809">
        <v>2868125</v>
      </c>
      <c r="Y243" s="1809">
        <v>1846750</v>
      </c>
      <c r="Z243" s="977">
        <v>61</v>
      </c>
      <c r="AA243" s="1062" t="s">
        <v>975</v>
      </c>
      <c r="AB243" s="4638"/>
      <c r="AC243" s="4638"/>
      <c r="AD243" s="4638">
        <v>282326</v>
      </c>
      <c r="AE243" s="4638">
        <f t="shared" si="47"/>
        <v>177865.38</v>
      </c>
      <c r="AF243" s="4638" t="s">
        <v>767</v>
      </c>
      <c r="AG243" s="4638" t="s">
        <v>767</v>
      </c>
      <c r="AH243" s="4638" t="s">
        <v>767</v>
      </c>
      <c r="AI243" s="4638" t="s">
        <v>767</v>
      </c>
      <c r="AJ243" s="4638" t="s">
        <v>767</v>
      </c>
      <c r="AK243" s="4638" t="s">
        <v>767</v>
      </c>
      <c r="AL243" s="4638" t="s">
        <v>767</v>
      </c>
      <c r="AM243" s="4638" t="s">
        <v>767</v>
      </c>
      <c r="AN243" s="4638">
        <v>2145</v>
      </c>
      <c r="AO243" s="4638">
        <f t="shared" si="48"/>
        <v>1351.35</v>
      </c>
      <c r="AP243" s="4638">
        <v>12718</v>
      </c>
      <c r="AQ243" s="4638">
        <f t="shared" si="49"/>
        <v>8012.34</v>
      </c>
      <c r="AR243" s="4638">
        <v>26</v>
      </c>
      <c r="AS243" s="4638">
        <f t="shared" si="50"/>
        <v>16.38</v>
      </c>
      <c r="AT243" s="4638">
        <v>37</v>
      </c>
      <c r="AU243" s="4638">
        <f t="shared" si="51"/>
        <v>23.31</v>
      </c>
      <c r="AV243" s="4638" t="s">
        <v>767</v>
      </c>
      <c r="AW243" s="4638" t="s">
        <v>767</v>
      </c>
      <c r="AX243" s="4638" t="s">
        <v>767</v>
      </c>
      <c r="AY243" s="4638" t="s">
        <v>767</v>
      </c>
      <c r="AZ243" s="4638">
        <v>53164</v>
      </c>
      <c r="BA243" s="4638">
        <f t="shared" si="52"/>
        <v>33493.32</v>
      </c>
      <c r="BB243" s="4638">
        <v>16982</v>
      </c>
      <c r="BC243" s="4638">
        <f t="shared" si="53"/>
        <v>10698.66</v>
      </c>
      <c r="BD243" s="4638">
        <v>60013</v>
      </c>
      <c r="BE243" s="4638">
        <f t="shared" si="54"/>
        <v>37808.19</v>
      </c>
      <c r="BF243" s="4638">
        <v>575010</v>
      </c>
      <c r="BG243" s="4638">
        <f t="shared" si="55"/>
        <v>362256.3</v>
      </c>
      <c r="BH243" s="4543"/>
      <c r="BI243" s="4543"/>
      <c r="BJ243" s="4543"/>
      <c r="BK243" s="3185"/>
      <c r="BL243" s="4543"/>
      <c r="BM243" s="4543"/>
      <c r="BN243" s="4648"/>
      <c r="BO243" s="4648"/>
      <c r="BP243" s="4648"/>
      <c r="BQ243" s="4648"/>
      <c r="BR243" s="4651"/>
    </row>
    <row r="244" spans="1:70" ht="87.75" customHeight="1" x14ac:dyDescent="0.2">
      <c r="A244" s="971"/>
      <c r="B244" s="972"/>
      <c r="C244" s="973"/>
      <c r="D244" s="972"/>
      <c r="E244" s="972"/>
      <c r="F244" s="973"/>
      <c r="G244" s="979"/>
      <c r="H244" s="972"/>
      <c r="I244" s="973"/>
      <c r="J244" s="4518"/>
      <c r="K244" s="4521"/>
      <c r="L244" s="4524"/>
      <c r="M244" s="4524"/>
      <c r="N244" s="4526"/>
      <c r="O244" s="4524"/>
      <c r="P244" s="4528"/>
      <c r="Q244" s="4521"/>
      <c r="R244" s="4531"/>
      <c r="S244" s="4534"/>
      <c r="T244" s="4521"/>
      <c r="U244" s="4521"/>
      <c r="V244" s="980" t="s">
        <v>1071</v>
      </c>
      <c r="W244" s="2600">
        <v>4800000</v>
      </c>
      <c r="X244" s="1809">
        <v>2868125</v>
      </c>
      <c r="Y244" s="1809">
        <v>1846750</v>
      </c>
      <c r="Z244" s="977">
        <v>61</v>
      </c>
      <c r="AA244" s="1062" t="s">
        <v>975</v>
      </c>
      <c r="AB244" s="4638"/>
      <c r="AC244" s="4638"/>
      <c r="AD244" s="4638">
        <v>282326</v>
      </c>
      <c r="AE244" s="4638">
        <f t="shared" si="47"/>
        <v>177865.38</v>
      </c>
      <c r="AF244" s="4638" t="s">
        <v>767</v>
      </c>
      <c r="AG244" s="4638" t="s">
        <v>767</v>
      </c>
      <c r="AH244" s="4638" t="s">
        <v>767</v>
      </c>
      <c r="AI244" s="4638" t="s">
        <v>767</v>
      </c>
      <c r="AJ244" s="4638" t="s">
        <v>767</v>
      </c>
      <c r="AK244" s="4638" t="s">
        <v>767</v>
      </c>
      <c r="AL244" s="4638" t="s">
        <v>767</v>
      </c>
      <c r="AM244" s="4638" t="s">
        <v>767</v>
      </c>
      <c r="AN244" s="4638">
        <v>2145</v>
      </c>
      <c r="AO244" s="4638">
        <f t="shared" si="48"/>
        <v>1351.35</v>
      </c>
      <c r="AP244" s="4638">
        <v>12718</v>
      </c>
      <c r="AQ244" s="4638">
        <f t="shared" si="49"/>
        <v>8012.34</v>
      </c>
      <c r="AR244" s="4638">
        <v>26</v>
      </c>
      <c r="AS244" s="4638">
        <f t="shared" si="50"/>
        <v>16.38</v>
      </c>
      <c r="AT244" s="4638">
        <v>37</v>
      </c>
      <c r="AU244" s="4638">
        <f t="shared" si="51"/>
        <v>23.31</v>
      </c>
      <c r="AV244" s="4638" t="s">
        <v>767</v>
      </c>
      <c r="AW244" s="4638" t="s">
        <v>767</v>
      </c>
      <c r="AX244" s="4638" t="s">
        <v>767</v>
      </c>
      <c r="AY244" s="4638" t="s">
        <v>767</v>
      </c>
      <c r="AZ244" s="4638">
        <v>53164</v>
      </c>
      <c r="BA244" s="4638">
        <f t="shared" si="52"/>
        <v>33493.32</v>
      </c>
      <c r="BB244" s="4638">
        <v>16982</v>
      </c>
      <c r="BC244" s="4638">
        <f t="shared" si="53"/>
        <v>10698.66</v>
      </c>
      <c r="BD244" s="4638">
        <v>60013</v>
      </c>
      <c r="BE244" s="4638">
        <f t="shared" si="54"/>
        <v>37808.19</v>
      </c>
      <c r="BF244" s="4638">
        <v>575010</v>
      </c>
      <c r="BG244" s="4638">
        <f t="shared" si="55"/>
        <v>362256.3</v>
      </c>
      <c r="BH244" s="4543"/>
      <c r="BI244" s="4543"/>
      <c r="BJ244" s="4543"/>
      <c r="BK244" s="3185"/>
      <c r="BL244" s="4543"/>
      <c r="BM244" s="4543"/>
      <c r="BN244" s="4648"/>
      <c r="BO244" s="4648"/>
      <c r="BP244" s="4648"/>
      <c r="BQ244" s="4648"/>
      <c r="BR244" s="4651"/>
    </row>
    <row r="245" spans="1:70" ht="42.75" x14ac:dyDescent="0.2">
      <c r="A245" s="971"/>
      <c r="B245" s="972"/>
      <c r="C245" s="973"/>
      <c r="D245" s="972"/>
      <c r="E245" s="972"/>
      <c r="F245" s="973"/>
      <c r="G245" s="979"/>
      <c r="H245" s="972"/>
      <c r="I245" s="973"/>
      <c r="J245" s="4518"/>
      <c r="K245" s="4521"/>
      <c r="L245" s="4524"/>
      <c r="M245" s="4524"/>
      <c r="N245" s="4526"/>
      <c r="O245" s="4524"/>
      <c r="P245" s="4528"/>
      <c r="Q245" s="4521"/>
      <c r="R245" s="4531"/>
      <c r="S245" s="4534"/>
      <c r="T245" s="4521"/>
      <c r="U245" s="4521"/>
      <c r="V245" s="980" t="s">
        <v>1072</v>
      </c>
      <c r="W245" s="2600">
        <v>3600000</v>
      </c>
      <c r="X245" s="1809">
        <v>2868125</v>
      </c>
      <c r="Y245" s="1809">
        <v>1846750</v>
      </c>
      <c r="Z245" s="977">
        <v>61</v>
      </c>
      <c r="AA245" s="1062" t="s">
        <v>975</v>
      </c>
      <c r="AB245" s="4638"/>
      <c r="AC245" s="4638"/>
      <c r="AD245" s="4638">
        <v>282326</v>
      </c>
      <c r="AE245" s="4638">
        <f t="shared" si="47"/>
        <v>177865.38</v>
      </c>
      <c r="AF245" s="4638" t="s">
        <v>767</v>
      </c>
      <c r="AG245" s="4638" t="s">
        <v>767</v>
      </c>
      <c r="AH245" s="4638" t="s">
        <v>767</v>
      </c>
      <c r="AI245" s="4638" t="s">
        <v>767</v>
      </c>
      <c r="AJ245" s="4638" t="s">
        <v>767</v>
      </c>
      <c r="AK245" s="4638" t="s">
        <v>767</v>
      </c>
      <c r="AL245" s="4638" t="s">
        <v>767</v>
      </c>
      <c r="AM245" s="4638" t="s">
        <v>767</v>
      </c>
      <c r="AN245" s="4638">
        <v>2145</v>
      </c>
      <c r="AO245" s="4638">
        <f t="shared" si="48"/>
        <v>1351.35</v>
      </c>
      <c r="AP245" s="4638">
        <v>12718</v>
      </c>
      <c r="AQ245" s="4638">
        <f t="shared" si="49"/>
        <v>8012.34</v>
      </c>
      <c r="AR245" s="4638">
        <v>26</v>
      </c>
      <c r="AS245" s="4638">
        <f t="shared" si="50"/>
        <v>16.38</v>
      </c>
      <c r="AT245" s="4638">
        <v>37</v>
      </c>
      <c r="AU245" s="4638">
        <f t="shared" si="51"/>
        <v>23.31</v>
      </c>
      <c r="AV245" s="4638" t="s">
        <v>767</v>
      </c>
      <c r="AW245" s="4638" t="s">
        <v>767</v>
      </c>
      <c r="AX245" s="4638" t="s">
        <v>767</v>
      </c>
      <c r="AY245" s="4638" t="s">
        <v>767</v>
      </c>
      <c r="AZ245" s="4638">
        <v>53164</v>
      </c>
      <c r="BA245" s="4638">
        <f t="shared" si="52"/>
        <v>33493.32</v>
      </c>
      <c r="BB245" s="4638">
        <v>16982</v>
      </c>
      <c r="BC245" s="4638">
        <f t="shared" si="53"/>
        <v>10698.66</v>
      </c>
      <c r="BD245" s="4638">
        <v>60013</v>
      </c>
      <c r="BE245" s="4638">
        <f t="shared" si="54"/>
        <v>37808.19</v>
      </c>
      <c r="BF245" s="4638">
        <v>575010</v>
      </c>
      <c r="BG245" s="4638">
        <f t="shared" si="55"/>
        <v>362256.3</v>
      </c>
      <c r="BH245" s="4543"/>
      <c r="BI245" s="4543"/>
      <c r="BJ245" s="4543"/>
      <c r="BK245" s="3185"/>
      <c r="BL245" s="4543"/>
      <c r="BM245" s="4543"/>
      <c r="BN245" s="4648"/>
      <c r="BO245" s="4648"/>
      <c r="BP245" s="4648"/>
      <c r="BQ245" s="4648"/>
      <c r="BR245" s="4651"/>
    </row>
    <row r="246" spans="1:70" ht="57" x14ac:dyDescent="0.2">
      <c r="A246" s="971"/>
      <c r="B246" s="972"/>
      <c r="C246" s="973"/>
      <c r="D246" s="972"/>
      <c r="E246" s="972"/>
      <c r="F246" s="973"/>
      <c r="G246" s="979"/>
      <c r="H246" s="972"/>
      <c r="I246" s="973"/>
      <c r="J246" s="4518"/>
      <c r="K246" s="4521"/>
      <c r="L246" s="4524"/>
      <c r="M246" s="4524"/>
      <c r="N246" s="4526"/>
      <c r="O246" s="4524"/>
      <c r="P246" s="4528"/>
      <c r="Q246" s="4521"/>
      <c r="R246" s="4531"/>
      <c r="S246" s="4534"/>
      <c r="T246" s="4521"/>
      <c r="U246" s="4521"/>
      <c r="V246" s="980" t="s">
        <v>1073</v>
      </c>
      <c r="W246" s="2600">
        <v>6000000</v>
      </c>
      <c r="X246" s="1809">
        <v>2868125</v>
      </c>
      <c r="Y246" s="1809">
        <v>1846750</v>
      </c>
      <c r="Z246" s="977">
        <v>61</v>
      </c>
      <c r="AA246" s="1062" t="s">
        <v>975</v>
      </c>
      <c r="AB246" s="4638"/>
      <c r="AC246" s="4638"/>
      <c r="AD246" s="4638">
        <v>282326</v>
      </c>
      <c r="AE246" s="4638">
        <f t="shared" si="47"/>
        <v>177865.38</v>
      </c>
      <c r="AF246" s="4638" t="s">
        <v>767</v>
      </c>
      <c r="AG246" s="4638" t="s">
        <v>767</v>
      </c>
      <c r="AH246" s="4638" t="s">
        <v>767</v>
      </c>
      <c r="AI246" s="4638" t="s">
        <v>767</v>
      </c>
      <c r="AJ246" s="4638" t="s">
        <v>767</v>
      </c>
      <c r="AK246" s="4638" t="s">
        <v>767</v>
      </c>
      <c r="AL246" s="4638" t="s">
        <v>767</v>
      </c>
      <c r="AM246" s="4638" t="s">
        <v>767</v>
      </c>
      <c r="AN246" s="4638">
        <v>2145</v>
      </c>
      <c r="AO246" s="4638">
        <f t="shared" si="48"/>
        <v>1351.35</v>
      </c>
      <c r="AP246" s="4638">
        <v>12718</v>
      </c>
      <c r="AQ246" s="4638">
        <f t="shared" si="49"/>
        <v>8012.34</v>
      </c>
      <c r="AR246" s="4638">
        <v>26</v>
      </c>
      <c r="AS246" s="4638">
        <f t="shared" si="50"/>
        <v>16.38</v>
      </c>
      <c r="AT246" s="4638">
        <v>37</v>
      </c>
      <c r="AU246" s="4638">
        <f t="shared" si="51"/>
        <v>23.31</v>
      </c>
      <c r="AV246" s="4638" t="s">
        <v>767</v>
      </c>
      <c r="AW246" s="4638" t="s">
        <v>767</v>
      </c>
      <c r="AX246" s="4638" t="s">
        <v>767</v>
      </c>
      <c r="AY246" s="4638" t="s">
        <v>767</v>
      </c>
      <c r="AZ246" s="4638">
        <v>53164</v>
      </c>
      <c r="BA246" s="4638">
        <f t="shared" si="52"/>
        <v>33493.32</v>
      </c>
      <c r="BB246" s="4638">
        <v>16982</v>
      </c>
      <c r="BC246" s="4638">
        <f t="shared" si="53"/>
        <v>10698.66</v>
      </c>
      <c r="BD246" s="4638">
        <v>60013</v>
      </c>
      <c r="BE246" s="4638">
        <f t="shared" si="54"/>
        <v>37808.19</v>
      </c>
      <c r="BF246" s="4638">
        <v>575010</v>
      </c>
      <c r="BG246" s="4638">
        <f t="shared" si="55"/>
        <v>362256.3</v>
      </c>
      <c r="BH246" s="4543"/>
      <c r="BI246" s="4543"/>
      <c r="BJ246" s="4543"/>
      <c r="BK246" s="3185"/>
      <c r="BL246" s="4543"/>
      <c r="BM246" s="4543"/>
      <c r="BN246" s="4648"/>
      <c r="BO246" s="4648"/>
      <c r="BP246" s="4648"/>
      <c r="BQ246" s="4648"/>
      <c r="BR246" s="4651"/>
    </row>
    <row r="247" spans="1:70" ht="57" x14ac:dyDescent="0.2">
      <c r="A247" s="971"/>
      <c r="B247" s="972"/>
      <c r="C247" s="973"/>
      <c r="D247" s="972"/>
      <c r="E247" s="972"/>
      <c r="F247" s="973"/>
      <c r="G247" s="979"/>
      <c r="H247" s="972"/>
      <c r="I247" s="973"/>
      <c r="J247" s="4518"/>
      <c r="K247" s="4521"/>
      <c r="L247" s="4524"/>
      <c r="M247" s="4524"/>
      <c r="N247" s="4526"/>
      <c r="O247" s="4524"/>
      <c r="P247" s="4528"/>
      <c r="Q247" s="4521"/>
      <c r="R247" s="4531"/>
      <c r="S247" s="4534"/>
      <c r="T247" s="4521"/>
      <c r="U247" s="4521"/>
      <c r="V247" s="980" t="s">
        <v>1074</v>
      </c>
      <c r="W247" s="2600">
        <v>8000000</v>
      </c>
      <c r="X247" s="1809">
        <v>2868125</v>
      </c>
      <c r="Y247" s="1809">
        <v>1846750</v>
      </c>
      <c r="Z247" s="977">
        <v>61</v>
      </c>
      <c r="AA247" s="1062" t="s">
        <v>975</v>
      </c>
      <c r="AB247" s="4638"/>
      <c r="AC247" s="4638"/>
      <c r="AD247" s="4638">
        <v>282326</v>
      </c>
      <c r="AE247" s="4638">
        <f t="shared" si="47"/>
        <v>177865.38</v>
      </c>
      <c r="AF247" s="4638" t="s">
        <v>767</v>
      </c>
      <c r="AG247" s="4638" t="s">
        <v>767</v>
      </c>
      <c r="AH247" s="4638" t="s">
        <v>767</v>
      </c>
      <c r="AI247" s="4638" t="s">
        <v>767</v>
      </c>
      <c r="AJ247" s="4638" t="s">
        <v>767</v>
      </c>
      <c r="AK247" s="4638" t="s">
        <v>767</v>
      </c>
      <c r="AL247" s="4638" t="s">
        <v>767</v>
      </c>
      <c r="AM247" s="4638" t="s">
        <v>767</v>
      </c>
      <c r="AN247" s="4638">
        <v>2145</v>
      </c>
      <c r="AO247" s="4638">
        <f t="shared" si="48"/>
        <v>1351.35</v>
      </c>
      <c r="AP247" s="4638">
        <v>12718</v>
      </c>
      <c r="AQ247" s="4638">
        <f t="shared" si="49"/>
        <v>8012.34</v>
      </c>
      <c r="AR247" s="4638">
        <v>26</v>
      </c>
      <c r="AS247" s="4638">
        <f t="shared" si="50"/>
        <v>16.38</v>
      </c>
      <c r="AT247" s="4638">
        <v>37</v>
      </c>
      <c r="AU247" s="4638">
        <f t="shared" si="51"/>
        <v>23.31</v>
      </c>
      <c r="AV247" s="4638" t="s">
        <v>767</v>
      </c>
      <c r="AW247" s="4638" t="s">
        <v>767</v>
      </c>
      <c r="AX247" s="4638" t="s">
        <v>767</v>
      </c>
      <c r="AY247" s="4638" t="s">
        <v>767</v>
      </c>
      <c r="AZ247" s="4638">
        <v>53164</v>
      </c>
      <c r="BA247" s="4638">
        <f t="shared" si="52"/>
        <v>33493.32</v>
      </c>
      <c r="BB247" s="4638">
        <v>16982</v>
      </c>
      <c r="BC247" s="4638">
        <f t="shared" si="53"/>
        <v>10698.66</v>
      </c>
      <c r="BD247" s="4638">
        <v>60013</v>
      </c>
      <c r="BE247" s="4638">
        <f t="shared" si="54"/>
        <v>37808.19</v>
      </c>
      <c r="BF247" s="4638">
        <v>575010</v>
      </c>
      <c r="BG247" s="4638">
        <f t="shared" si="55"/>
        <v>362256.3</v>
      </c>
      <c r="BH247" s="4543"/>
      <c r="BI247" s="4543"/>
      <c r="BJ247" s="4543"/>
      <c r="BK247" s="3185"/>
      <c r="BL247" s="4543"/>
      <c r="BM247" s="4543"/>
      <c r="BN247" s="4648"/>
      <c r="BO247" s="4648"/>
      <c r="BP247" s="4648"/>
      <c r="BQ247" s="4648"/>
      <c r="BR247" s="4651"/>
    </row>
    <row r="248" spans="1:70" ht="57" customHeight="1" x14ac:dyDescent="0.2">
      <c r="A248" s="971"/>
      <c r="B248" s="972"/>
      <c r="C248" s="973"/>
      <c r="D248" s="972"/>
      <c r="E248" s="972"/>
      <c r="F248" s="973"/>
      <c r="G248" s="979"/>
      <c r="H248" s="972"/>
      <c r="I248" s="973"/>
      <c r="J248" s="4518"/>
      <c r="K248" s="4521"/>
      <c r="L248" s="4524"/>
      <c r="M248" s="4524"/>
      <c r="N248" s="4526"/>
      <c r="O248" s="4524"/>
      <c r="P248" s="4528"/>
      <c r="Q248" s="4521"/>
      <c r="R248" s="4531"/>
      <c r="S248" s="4534"/>
      <c r="T248" s="4521"/>
      <c r="U248" s="4521"/>
      <c r="V248" s="980" t="s">
        <v>1075</v>
      </c>
      <c r="W248" s="2600">
        <v>12000000</v>
      </c>
      <c r="X248" s="1809">
        <v>2868125</v>
      </c>
      <c r="Y248" s="1809">
        <v>1846750</v>
      </c>
      <c r="Z248" s="977">
        <v>61</v>
      </c>
      <c r="AA248" s="1062" t="s">
        <v>975</v>
      </c>
      <c r="AB248" s="4638"/>
      <c r="AC248" s="4638"/>
      <c r="AD248" s="4638">
        <v>282326</v>
      </c>
      <c r="AE248" s="4638">
        <f t="shared" si="47"/>
        <v>177865.38</v>
      </c>
      <c r="AF248" s="4638" t="s">
        <v>767</v>
      </c>
      <c r="AG248" s="4638" t="s">
        <v>767</v>
      </c>
      <c r="AH248" s="4638" t="s">
        <v>767</v>
      </c>
      <c r="AI248" s="4638" t="s">
        <v>767</v>
      </c>
      <c r="AJ248" s="4638" t="s">
        <v>767</v>
      </c>
      <c r="AK248" s="4638" t="s">
        <v>767</v>
      </c>
      <c r="AL248" s="4638" t="s">
        <v>767</v>
      </c>
      <c r="AM248" s="4638" t="s">
        <v>767</v>
      </c>
      <c r="AN248" s="4638">
        <v>2145</v>
      </c>
      <c r="AO248" s="4638">
        <f t="shared" si="48"/>
        <v>1351.35</v>
      </c>
      <c r="AP248" s="4638">
        <v>12718</v>
      </c>
      <c r="AQ248" s="4638">
        <f t="shared" si="49"/>
        <v>8012.34</v>
      </c>
      <c r="AR248" s="4638">
        <v>26</v>
      </c>
      <c r="AS248" s="4638">
        <f t="shared" si="50"/>
        <v>16.38</v>
      </c>
      <c r="AT248" s="4638">
        <v>37</v>
      </c>
      <c r="AU248" s="4638">
        <f t="shared" si="51"/>
        <v>23.31</v>
      </c>
      <c r="AV248" s="4638" t="s">
        <v>767</v>
      </c>
      <c r="AW248" s="4638" t="s">
        <v>767</v>
      </c>
      <c r="AX248" s="4638" t="s">
        <v>767</v>
      </c>
      <c r="AY248" s="4638" t="s">
        <v>767</v>
      </c>
      <c r="AZ248" s="4638">
        <v>53164</v>
      </c>
      <c r="BA248" s="4638">
        <f t="shared" si="52"/>
        <v>33493.32</v>
      </c>
      <c r="BB248" s="4638">
        <v>16982</v>
      </c>
      <c r="BC248" s="4638">
        <f t="shared" si="53"/>
        <v>10698.66</v>
      </c>
      <c r="BD248" s="4638">
        <v>60013</v>
      </c>
      <c r="BE248" s="4638">
        <f t="shared" si="54"/>
        <v>37808.19</v>
      </c>
      <c r="BF248" s="4638">
        <v>575010</v>
      </c>
      <c r="BG248" s="4638">
        <f t="shared" si="55"/>
        <v>362256.3</v>
      </c>
      <c r="BH248" s="4543"/>
      <c r="BI248" s="4543"/>
      <c r="BJ248" s="4543"/>
      <c r="BK248" s="3185"/>
      <c r="BL248" s="4543"/>
      <c r="BM248" s="4543"/>
      <c r="BN248" s="4648"/>
      <c r="BO248" s="4648"/>
      <c r="BP248" s="4648"/>
      <c r="BQ248" s="4648"/>
      <c r="BR248" s="4651"/>
    </row>
    <row r="249" spans="1:70" ht="85.5" x14ac:dyDescent="0.2">
      <c r="A249" s="971"/>
      <c r="B249" s="972"/>
      <c r="C249" s="973"/>
      <c r="D249" s="972"/>
      <c r="E249" s="972"/>
      <c r="F249" s="973"/>
      <c r="G249" s="983"/>
      <c r="H249" s="981"/>
      <c r="I249" s="982"/>
      <c r="J249" s="4519"/>
      <c r="K249" s="4522"/>
      <c r="L249" s="4525"/>
      <c r="M249" s="4525"/>
      <c r="N249" s="4526"/>
      <c r="O249" s="4525"/>
      <c r="P249" s="4529"/>
      <c r="Q249" s="4522"/>
      <c r="R249" s="4532"/>
      <c r="S249" s="4535"/>
      <c r="T249" s="4522"/>
      <c r="U249" s="4522"/>
      <c r="V249" s="980" t="s">
        <v>1076</v>
      </c>
      <c r="W249" s="2600">
        <v>6000000</v>
      </c>
      <c r="X249" s="1809">
        <v>2868125</v>
      </c>
      <c r="Y249" s="1809">
        <v>1846750</v>
      </c>
      <c r="Z249" s="977">
        <v>61</v>
      </c>
      <c r="AA249" s="1062" t="s">
        <v>975</v>
      </c>
      <c r="AB249" s="4639"/>
      <c r="AC249" s="4639"/>
      <c r="AD249" s="4639">
        <v>282326</v>
      </c>
      <c r="AE249" s="4639">
        <f t="shared" si="47"/>
        <v>177865.38</v>
      </c>
      <c r="AF249" s="4639" t="s">
        <v>767</v>
      </c>
      <c r="AG249" s="4639" t="s">
        <v>767</v>
      </c>
      <c r="AH249" s="4639" t="s">
        <v>767</v>
      </c>
      <c r="AI249" s="4639" t="s">
        <v>767</v>
      </c>
      <c r="AJ249" s="4639" t="s">
        <v>767</v>
      </c>
      <c r="AK249" s="4639" t="s">
        <v>767</v>
      </c>
      <c r="AL249" s="4639" t="s">
        <v>767</v>
      </c>
      <c r="AM249" s="4639" t="s">
        <v>767</v>
      </c>
      <c r="AN249" s="4639">
        <v>2145</v>
      </c>
      <c r="AO249" s="4639">
        <f t="shared" si="48"/>
        <v>1351.35</v>
      </c>
      <c r="AP249" s="4639">
        <v>12718</v>
      </c>
      <c r="AQ249" s="4639">
        <f t="shared" si="49"/>
        <v>8012.34</v>
      </c>
      <c r="AR249" s="4639">
        <v>26</v>
      </c>
      <c r="AS249" s="4639">
        <f t="shared" si="50"/>
        <v>16.38</v>
      </c>
      <c r="AT249" s="4639">
        <v>37</v>
      </c>
      <c r="AU249" s="4639">
        <f t="shared" si="51"/>
        <v>23.31</v>
      </c>
      <c r="AV249" s="4639" t="s">
        <v>767</v>
      </c>
      <c r="AW249" s="4639" t="s">
        <v>767</v>
      </c>
      <c r="AX249" s="4639" t="s">
        <v>767</v>
      </c>
      <c r="AY249" s="4639" t="s">
        <v>767</v>
      </c>
      <c r="AZ249" s="4639">
        <v>53164</v>
      </c>
      <c r="BA249" s="4639">
        <f t="shared" si="52"/>
        <v>33493.32</v>
      </c>
      <c r="BB249" s="4639">
        <v>16982</v>
      </c>
      <c r="BC249" s="4639">
        <f t="shared" si="53"/>
        <v>10698.66</v>
      </c>
      <c r="BD249" s="4639">
        <v>60013</v>
      </c>
      <c r="BE249" s="4639">
        <f t="shared" si="54"/>
        <v>37808.19</v>
      </c>
      <c r="BF249" s="4639">
        <v>575010</v>
      </c>
      <c r="BG249" s="4639">
        <f t="shared" si="55"/>
        <v>362256.3</v>
      </c>
      <c r="BH249" s="4544"/>
      <c r="BI249" s="4544"/>
      <c r="BJ249" s="4544"/>
      <c r="BK249" s="3186"/>
      <c r="BL249" s="4544"/>
      <c r="BM249" s="4544"/>
      <c r="BN249" s="4649"/>
      <c r="BO249" s="4649"/>
      <c r="BP249" s="4649"/>
      <c r="BQ249" s="4649"/>
      <c r="BR249" s="4652"/>
    </row>
    <row r="250" spans="1:70" ht="36" customHeight="1" x14ac:dyDescent="0.2">
      <c r="A250" s="957"/>
      <c r="B250" s="958"/>
      <c r="C250" s="959"/>
      <c r="D250" s="958"/>
      <c r="E250" s="958"/>
      <c r="F250" s="959"/>
      <c r="G250" s="991">
        <v>45</v>
      </c>
      <c r="H250" s="963" t="s">
        <v>1077</v>
      </c>
      <c r="I250" s="963"/>
      <c r="J250" s="963"/>
      <c r="K250" s="964"/>
      <c r="L250" s="963"/>
      <c r="M250" s="963"/>
      <c r="N250" s="963"/>
      <c r="O250" s="965"/>
      <c r="P250" s="992"/>
      <c r="Q250" s="964"/>
      <c r="R250" s="963"/>
      <c r="S250" s="993"/>
      <c r="T250" s="963"/>
      <c r="U250" s="964"/>
      <c r="V250" s="964"/>
      <c r="W250" s="2612"/>
      <c r="X250" s="2612"/>
      <c r="Y250" s="2612"/>
      <c r="Z250" s="994"/>
      <c r="AA250" s="965"/>
      <c r="AB250" s="965"/>
      <c r="AC250" s="965"/>
      <c r="AD250" s="965"/>
      <c r="AE250" s="965"/>
      <c r="AF250" s="965"/>
      <c r="AG250" s="965"/>
      <c r="AH250" s="965"/>
      <c r="AI250" s="965"/>
      <c r="AJ250" s="965"/>
      <c r="AK250" s="965"/>
      <c r="AL250" s="965"/>
      <c r="AM250" s="965"/>
      <c r="AN250" s="965"/>
      <c r="AO250" s="965"/>
      <c r="AP250" s="965"/>
      <c r="AQ250" s="965"/>
      <c r="AR250" s="965"/>
      <c r="AS250" s="965"/>
      <c r="AT250" s="965"/>
      <c r="AU250" s="965"/>
      <c r="AV250" s="965"/>
      <c r="AW250" s="965"/>
      <c r="AX250" s="965"/>
      <c r="AY250" s="965"/>
      <c r="AZ250" s="965"/>
      <c r="BA250" s="965"/>
      <c r="BB250" s="965"/>
      <c r="BC250" s="965"/>
      <c r="BD250" s="965"/>
      <c r="BE250" s="965"/>
      <c r="BF250" s="965"/>
      <c r="BG250" s="965"/>
      <c r="BH250" s="965"/>
      <c r="BI250" s="965"/>
      <c r="BJ250" s="965"/>
      <c r="BK250" s="965"/>
      <c r="BL250" s="965"/>
      <c r="BM250" s="965"/>
      <c r="BN250" s="965"/>
      <c r="BO250" s="965"/>
      <c r="BP250" s="963"/>
      <c r="BQ250" s="963"/>
      <c r="BR250" s="970"/>
    </row>
    <row r="251" spans="1:70" s="978" customFormat="1" ht="32.25" customHeight="1" x14ac:dyDescent="0.2">
      <c r="A251" s="971"/>
      <c r="B251" s="972"/>
      <c r="C251" s="973"/>
      <c r="D251" s="972"/>
      <c r="E251" s="972"/>
      <c r="F251" s="973"/>
      <c r="G251" s="974"/>
      <c r="H251" s="975"/>
      <c r="I251" s="976"/>
      <c r="J251" s="4517">
        <v>158</v>
      </c>
      <c r="K251" s="4520" t="s">
        <v>1078</v>
      </c>
      <c r="L251" s="4523" t="s">
        <v>759</v>
      </c>
      <c r="M251" s="4523">
        <v>11</v>
      </c>
      <c r="N251" s="4526">
        <v>0</v>
      </c>
      <c r="O251" s="4523" t="s">
        <v>1079</v>
      </c>
      <c r="P251" s="4527" t="s">
        <v>1080</v>
      </c>
      <c r="Q251" s="4520" t="s">
        <v>1081</v>
      </c>
      <c r="R251" s="4530">
        <f>+SUM(W251:W257)/S251</f>
        <v>0.98622219924217924</v>
      </c>
      <c r="S251" s="4533">
        <f>SUM(W251:W258)</f>
        <v>1538707111</v>
      </c>
      <c r="T251" s="4520" t="s">
        <v>1082</v>
      </c>
      <c r="U251" s="4548" t="s">
        <v>1083</v>
      </c>
      <c r="V251" s="4551" t="s">
        <v>1084</v>
      </c>
      <c r="W251" s="2300">
        <v>180000000</v>
      </c>
      <c r="X251" s="1809">
        <v>180000000</v>
      </c>
      <c r="Y251" s="1809">
        <v>57600500</v>
      </c>
      <c r="Z251" s="977">
        <v>61</v>
      </c>
      <c r="AA251" s="1062" t="s">
        <v>975</v>
      </c>
      <c r="AB251" s="4523">
        <v>292684</v>
      </c>
      <c r="AC251" s="4637">
        <f>SUM(AB251*0.41)</f>
        <v>120000.43999999999</v>
      </c>
      <c r="AD251" s="4523">
        <v>282326</v>
      </c>
      <c r="AE251" s="4637">
        <f t="shared" ref="AE251:AE258" si="56">SUM(AD251*0.41)</f>
        <v>115753.65999999999</v>
      </c>
      <c r="AF251" s="4523">
        <v>135912</v>
      </c>
      <c r="AG251" s="4637">
        <f t="shared" ref="AG251:AG258" si="57">SUM(AF251*0.41)</f>
        <v>55723.92</v>
      </c>
      <c r="AH251" s="4523">
        <v>45122</v>
      </c>
      <c r="AI251" s="4637">
        <f t="shared" ref="AI251:AI258" si="58">SUM(AH251*0.41)</f>
        <v>18500.02</v>
      </c>
      <c r="AJ251" s="4523">
        <v>307101</v>
      </c>
      <c r="AK251" s="4637">
        <f t="shared" ref="AK251:AK258" si="59">SUM(AJ251*0.41)</f>
        <v>125911.40999999999</v>
      </c>
      <c r="AL251" s="4523">
        <v>86875</v>
      </c>
      <c r="AM251" s="4637">
        <f t="shared" ref="AM251:AM258" si="60">SUM(AL251*0.41)</f>
        <v>35618.75</v>
      </c>
      <c r="AN251" s="4523">
        <v>2145</v>
      </c>
      <c r="AO251" s="4637">
        <f t="shared" ref="AO251:AO258" si="61">SUM(AN251*0.41)</f>
        <v>879.44999999999993</v>
      </c>
      <c r="AP251" s="4523">
        <v>12718</v>
      </c>
      <c r="AQ251" s="4637">
        <f t="shared" ref="AQ251:AQ258" si="62">SUM(AP251*0.41)</f>
        <v>5214.38</v>
      </c>
      <c r="AR251" s="4523">
        <v>26</v>
      </c>
      <c r="AS251" s="4637">
        <f t="shared" ref="AS251:AS258" si="63">SUM(AR251*0.41)</f>
        <v>10.66</v>
      </c>
      <c r="AT251" s="4523">
        <v>37</v>
      </c>
      <c r="AU251" s="4637">
        <f t="shared" ref="AU251:AU258" si="64">SUM(AT251*0.41)</f>
        <v>15.17</v>
      </c>
      <c r="AV251" s="4523" t="s">
        <v>767</v>
      </c>
      <c r="AW251" s="4637" t="s">
        <v>767</v>
      </c>
      <c r="AX251" s="4523" t="s">
        <v>767</v>
      </c>
      <c r="AY251" s="4637" t="s">
        <v>767</v>
      </c>
      <c r="AZ251" s="4523">
        <v>53164</v>
      </c>
      <c r="BA251" s="4637">
        <f t="shared" ref="BA251:BA258" si="65">SUM(AZ251*0.41)</f>
        <v>21797.239999999998</v>
      </c>
      <c r="BB251" s="4523">
        <v>16982</v>
      </c>
      <c r="BC251" s="4637">
        <f t="shared" ref="BC251:BC258" si="66">SUM(BB251*0.41)</f>
        <v>6962.62</v>
      </c>
      <c r="BD251" s="4523">
        <v>60013</v>
      </c>
      <c r="BE251" s="4637">
        <f t="shared" ref="BE251:BE258" si="67">SUM(BD251*0.41)</f>
        <v>24605.329999999998</v>
      </c>
      <c r="BF251" s="4523">
        <v>575010</v>
      </c>
      <c r="BG251" s="4637">
        <f t="shared" ref="BG251:BG258" si="68">SUM(BF251*0.41)</f>
        <v>235754.09999999998</v>
      </c>
      <c r="BH251" s="4542">
        <v>41</v>
      </c>
      <c r="BI251" s="4568">
        <f>SUM(X251:X258)</f>
        <v>1212662000</v>
      </c>
      <c r="BJ251" s="4568">
        <f>SUM(Y251:Y258)</f>
        <v>230402000</v>
      </c>
      <c r="BK251" s="3184">
        <f>+BJ251/BI251</f>
        <v>0.18999688289069833</v>
      </c>
      <c r="BL251" s="4542" t="s">
        <v>768</v>
      </c>
      <c r="BM251" s="4542" t="s">
        <v>769</v>
      </c>
      <c r="BN251" s="4553">
        <v>43467</v>
      </c>
      <c r="BO251" s="4553">
        <v>43830</v>
      </c>
      <c r="BP251" s="4553">
        <v>43830</v>
      </c>
      <c r="BQ251" s="4553">
        <v>43830</v>
      </c>
      <c r="BR251" s="4556" t="s">
        <v>770</v>
      </c>
    </row>
    <row r="252" spans="1:70" s="978" customFormat="1" ht="32.25" customHeight="1" x14ac:dyDescent="0.2">
      <c r="A252" s="971"/>
      <c r="B252" s="972"/>
      <c r="C252" s="973"/>
      <c r="D252" s="972"/>
      <c r="E252" s="972"/>
      <c r="F252" s="973"/>
      <c r="G252" s="979"/>
      <c r="H252" s="972"/>
      <c r="I252" s="973"/>
      <c r="J252" s="4518"/>
      <c r="K252" s="4521"/>
      <c r="L252" s="4524"/>
      <c r="M252" s="4524"/>
      <c r="N252" s="4526"/>
      <c r="O252" s="4524"/>
      <c r="P252" s="4528"/>
      <c r="Q252" s="4521"/>
      <c r="R252" s="4531"/>
      <c r="S252" s="4534"/>
      <c r="T252" s="4521"/>
      <c r="U252" s="4549"/>
      <c r="V252" s="4552"/>
      <c r="W252" s="2300">
        <v>33000000</v>
      </c>
      <c r="X252" s="1809">
        <v>0</v>
      </c>
      <c r="Y252" s="1809">
        <v>0</v>
      </c>
      <c r="Z252" s="977">
        <v>98</v>
      </c>
      <c r="AA252" s="1062" t="s">
        <v>976</v>
      </c>
      <c r="AB252" s="4524"/>
      <c r="AC252" s="4638"/>
      <c r="AD252" s="4524"/>
      <c r="AE252" s="4638"/>
      <c r="AF252" s="4524"/>
      <c r="AG252" s="4638"/>
      <c r="AH252" s="4524"/>
      <c r="AI252" s="4638"/>
      <c r="AJ252" s="4524"/>
      <c r="AK252" s="4638"/>
      <c r="AL252" s="4524"/>
      <c r="AM252" s="4638"/>
      <c r="AN252" s="4524"/>
      <c r="AO252" s="4638"/>
      <c r="AP252" s="4524"/>
      <c r="AQ252" s="4638"/>
      <c r="AR252" s="4524"/>
      <c r="AS252" s="4638"/>
      <c r="AT252" s="4524"/>
      <c r="AU252" s="4638"/>
      <c r="AV252" s="4524"/>
      <c r="AW252" s="4638"/>
      <c r="AX252" s="4524"/>
      <c r="AY252" s="4638"/>
      <c r="AZ252" s="4524"/>
      <c r="BA252" s="4638"/>
      <c r="BB252" s="4524"/>
      <c r="BC252" s="4638"/>
      <c r="BD252" s="4524"/>
      <c r="BE252" s="4638"/>
      <c r="BF252" s="4524"/>
      <c r="BG252" s="4638"/>
      <c r="BH252" s="4543"/>
      <c r="BI252" s="4653"/>
      <c r="BJ252" s="4653"/>
      <c r="BK252" s="3185"/>
      <c r="BL252" s="4543"/>
      <c r="BM252" s="4543"/>
      <c r="BN252" s="4554"/>
      <c r="BO252" s="4554"/>
      <c r="BP252" s="4554"/>
      <c r="BQ252" s="4554"/>
      <c r="BR252" s="4557"/>
    </row>
    <row r="253" spans="1:70" s="978" customFormat="1" ht="32.25" customHeight="1" x14ac:dyDescent="0.2">
      <c r="A253" s="971"/>
      <c r="B253" s="972"/>
      <c r="C253" s="973"/>
      <c r="D253" s="972"/>
      <c r="E253" s="972"/>
      <c r="F253" s="973"/>
      <c r="G253" s="979"/>
      <c r="H253" s="972"/>
      <c r="I253" s="973"/>
      <c r="J253" s="4518"/>
      <c r="K253" s="4521"/>
      <c r="L253" s="4524"/>
      <c r="M253" s="4524"/>
      <c r="N253" s="4526"/>
      <c r="O253" s="4524"/>
      <c r="P253" s="4528"/>
      <c r="Q253" s="4521"/>
      <c r="R253" s="4531"/>
      <c r="S253" s="4534"/>
      <c r="T253" s="4521"/>
      <c r="U253" s="4549"/>
      <c r="V253" s="4551" t="s">
        <v>1085</v>
      </c>
      <c r="W253" s="2608">
        <f>20000000+102300000</f>
        <v>122300000</v>
      </c>
      <c r="X253" s="1809">
        <v>122300000</v>
      </c>
      <c r="Y253" s="1809">
        <v>57600500</v>
      </c>
      <c r="Z253" s="977">
        <v>61</v>
      </c>
      <c r="AA253" s="1062" t="s">
        <v>975</v>
      </c>
      <c r="AB253" s="4524"/>
      <c r="AC253" s="4638"/>
      <c r="AD253" s="4524">
        <v>282326</v>
      </c>
      <c r="AE253" s="4638">
        <f t="shared" si="56"/>
        <v>115753.65999999999</v>
      </c>
      <c r="AF253" s="4524">
        <v>135912</v>
      </c>
      <c r="AG253" s="4638">
        <f t="shared" si="57"/>
        <v>55723.92</v>
      </c>
      <c r="AH253" s="4524">
        <v>45122</v>
      </c>
      <c r="AI253" s="4638">
        <f t="shared" si="58"/>
        <v>18500.02</v>
      </c>
      <c r="AJ253" s="4524">
        <v>307101</v>
      </c>
      <c r="AK253" s="4638">
        <f t="shared" si="59"/>
        <v>125911.40999999999</v>
      </c>
      <c r="AL253" s="4524">
        <v>86875</v>
      </c>
      <c r="AM253" s="4638">
        <f t="shared" si="60"/>
        <v>35618.75</v>
      </c>
      <c r="AN253" s="4524">
        <v>2145</v>
      </c>
      <c r="AO253" s="4638">
        <f t="shared" si="61"/>
        <v>879.44999999999993</v>
      </c>
      <c r="AP253" s="4524">
        <v>12718</v>
      </c>
      <c r="AQ253" s="4638">
        <f t="shared" si="62"/>
        <v>5214.38</v>
      </c>
      <c r="AR253" s="4524">
        <v>26</v>
      </c>
      <c r="AS253" s="4638">
        <f t="shared" si="63"/>
        <v>10.66</v>
      </c>
      <c r="AT253" s="4524">
        <v>37</v>
      </c>
      <c r="AU253" s="4638">
        <f t="shared" si="64"/>
        <v>15.17</v>
      </c>
      <c r="AV253" s="4524" t="s">
        <v>767</v>
      </c>
      <c r="AW253" s="4638" t="s">
        <v>767</v>
      </c>
      <c r="AX253" s="4524" t="s">
        <v>767</v>
      </c>
      <c r="AY253" s="4638" t="s">
        <v>767</v>
      </c>
      <c r="AZ253" s="4524">
        <v>53164</v>
      </c>
      <c r="BA253" s="4638">
        <f t="shared" si="65"/>
        <v>21797.239999999998</v>
      </c>
      <c r="BB253" s="4524">
        <v>16982</v>
      </c>
      <c r="BC253" s="4638">
        <f t="shared" si="66"/>
        <v>6962.62</v>
      </c>
      <c r="BD253" s="4524">
        <v>60013</v>
      </c>
      <c r="BE253" s="4638">
        <f t="shared" si="67"/>
        <v>24605.329999999998</v>
      </c>
      <c r="BF253" s="4524">
        <v>575010</v>
      </c>
      <c r="BG253" s="4638">
        <f t="shared" si="68"/>
        <v>235754.09999999998</v>
      </c>
      <c r="BH253" s="4543"/>
      <c r="BI253" s="4543"/>
      <c r="BJ253" s="4543"/>
      <c r="BK253" s="3185"/>
      <c r="BL253" s="4543"/>
      <c r="BM253" s="4543"/>
      <c r="BN253" s="4554"/>
      <c r="BO253" s="4554"/>
      <c r="BP253" s="4554"/>
      <c r="BQ253" s="4554"/>
      <c r="BR253" s="4557"/>
    </row>
    <row r="254" spans="1:70" s="978" customFormat="1" ht="32.25" customHeight="1" x14ac:dyDescent="0.2">
      <c r="A254" s="971"/>
      <c r="B254" s="972"/>
      <c r="C254" s="973"/>
      <c r="D254" s="972"/>
      <c r="E254" s="972"/>
      <c r="F254" s="973"/>
      <c r="G254" s="979"/>
      <c r="H254" s="972"/>
      <c r="I254" s="973"/>
      <c r="J254" s="4518"/>
      <c r="K254" s="4521"/>
      <c r="L254" s="4524"/>
      <c r="M254" s="4524"/>
      <c r="N254" s="4526"/>
      <c r="O254" s="4524"/>
      <c r="P254" s="4528"/>
      <c r="Q254" s="4521"/>
      <c r="R254" s="4531"/>
      <c r="S254" s="4534"/>
      <c r="T254" s="4521"/>
      <c r="U254" s="4549"/>
      <c r="V254" s="4552"/>
      <c r="W254" s="2608">
        <v>100000000</v>
      </c>
      <c r="X254" s="1809">
        <v>0</v>
      </c>
      <c r="Y254" s="1809">
        <v>0</v>
      </c>
      <c r="Z254" s="977">
        <v>98</v>
      </c>
      <c r="AA254" s="1062" t="s">
        <v>976</v>
      </c>
      <c r="AB254" s="4524"/>
      <c r="AC254" s="4638"/>
      <c r="AD254" s="4524">
        <v>282326</v>
      </c>
      <c r="AE254" s="4638">
        <f t="shared" si="56"/>
        <v>115753.65999999999</v>
      </c>
      <c r="AF254" s="4524">
        <v>135912</v>
      </c>
      <c r="AG254" s="4638">
        <f t="shared" si="57"/>
        <v>55723.92</v>
      </c>
      <c r="AH254" s="4524">
        <v>45122</v>
      </c>
      <c r="AI254" s="4638">
        <f t="shared" si="58"/>
        <v>18500.02</v>
      </c>
      <c r="AJ254" s="4524">
        <v>307101</v>
      </c>
      <c r="AK254" s="4638">
        <f t="shared" si="59"/>
        <v>125911.40999999999</v>
      </c>
      <c r="AL254" s="4524">
        <v>86875</v>
      </c>
      <c r="AM254" s="4638">
        <f t="shared" si="60"/>
        <v>35618.75</v>
      </c>
      <c r="AN254" s="4524">
        <v>2145</v>
      </c>
      <c r="AO254" s="4638">
        <f t="shared" si="61"/>
        <v>879.44999999999993</v>
      </c>
      <c r="AP254" s="4524">
        <v>12718</v>
      </c>
      <c r="AQ254" s="4638">
        <f t="shared" si="62"/>
        <v>5214.38</v>
      </c>
      <c r="AR254" s="4524">
        <v>26</v>
      </c>
      <c r="AS254" s="4638">
        <f t="shared" si="63"/>
        <v>10.66</v>
      </c>
      <c r="AT254" s="4524">
        <v>37</v>
      </c>
      <c r="AU254" s="4638">
        <f t="shared" si="64"/>
        <v>15.17</v>
      </c>
      <c r="AV254" s="4524" t="s">
        <v>767</v>
      </c>
      <c r="AW254" s="4638" t="s">
        <v>767</v>
      </c>
      <c r="AX254" s="4524" t="s">
        <v>767</v>
      </c>
      <c r="AY254" s="4638" t="s">
        <v>767</v>
      </c>
      <c r="AZ254" s="4524">
        <v>53164</v>
      </c>
      <c r="BA254" s="4638">
        <f t="shared" si="65"/>
        <v>21797.239999999998</v>
      </c>
      <c r="BB254" s="4524">
        <v>16982</v>
      </c>
      <c r="BC254" s="4638">
        <f t="shared" si="66"/>
        <v>6962.62</v>
      </c>
      <c r="BD254" s="4524">
        <v>60013</v>
      </c>
      <c r="BE254" s="4638">
        <f t="shared" si="67"/>
        <v>24605.329999999998</v>
      </c>
      <c r="BF254" s="4524">
        <v>575010</v>
      </c>
      <c r="BG254" s="4638">
        <f t="shared" si="68"/>
        <v>235754.09999999998</v>
      </c>
      <c r="BH254" s="4543"/>
      <c r="BI254" s="4543"/>
      <c r="BJ254" s="4543"/>
      <c r="BK254" s="3185"/>
      <c r="BL254" s="4543"/>
      <c r="BM254" s="4543"/>
      <c r="BN254" s="4554"/>
      <c r="BO254" s="4554"/>
      <c r="BP254" s="4554"/>
      <c r="BQ254" s="4554"/>
      <c r="BR254" s="4557"/>
    </row>
    <row r="255" spans="1:70" s="978" customFormat="1" ht="58.5" customHeight="1" x14ac:dyDescent="0.2">
      <c r="A255" s="971"/>
      <c r="B255" s="972"/>
      <c r="C255" s="973"/>
      <c r="D255" s="972"/>
      <c r="E255" s="972"/>
      <c r="F255" s="973"/>
      <c r="G255" s="979"/>
      <c r="H255" s="972"/>
      <c r="I255" s="973"/>
      <c r="J255" s="4518"/>
      <c r="K255" s="4521"/>
      <c r="L255" s="4524"/>
      <c r="M255" s="4524"/>
      <c r="N255" s="4526"/>
      <c r="O255" s="4524"/>
      <c r="P255" s="4528"/>
      <c r="Q255" s="4521"/>
      <c r="R255" s="4531"/>
      <c r="S255" s="4534"/>
      <c r="T255" s="4521"/>
      <c r="U255" s="4549"/>
      <c r="V255" s="980" t="s">
        <v>1086</v>
      </c>
      <c r="W255" s="2300">
        <v>300000000</v>
      </c>
      <c r="X255" s="1809">
        <v>300000000</v>
      </c>
      <c r="Y255" s="1809">
        <v>57600500</v>
      </c>
      <c r="Z255" s="977">
        <v>61</v>
      </c>
      <c r="AA255" s="1062" t="s">
        <v>975</v>
      </c>
      <c r="AB255" s="4524"/>
      <c r="AC255" s="4638"/>
      <c r="AD255" s="4524">
        <v>282326</v>
      </c>
      <c r="AE255" s="4638">
        <f t="shared" si="56"/>
        <v>115753.65999999999</v>
      </c>
      <c r="AF255" s="4524">
        <v>135912</v>
      </c>
      <c r="AG255" s="4638">
        <f t="shared" si="57"/>
        <v>55723.92</v>
      </c>
      <c r="AH255" s="4524">
        <v>45122</v>
      </c>
      <c r="AI255" s="4638">
        <f t="shared" si="58"/>
        <v>18500.02</v>
      </c>
      <c r="AJ255" s="4524">
        <v>307101</v>
      </c>
      <c r="AK255" s="4638">
        <f t="shared" si="59"/>
        <v>125911.40999999999</v>
      </c>
      <c r="AL255" s="4524">
        <v>86875</v>
      </c>
      <c r="AM255" s="4638">
        <f t="shared" si="60"/>
        <v>35618.75</v>
      </c>
      <c r="AN255" s="4524">
        <v>2145</v>
      </c>
      <c r="AO255" s="4638">
        <f t="shared" si="61"/>
        <v>879.44999999999993</v>
      </c>
      <c r="AP255" s="4524">
        <v>12718</v>
      </c>
      <c r="AQ255" s="4638">
        <f t="shared" si="62"/>
        <v>5214.38</v>
      </c>
      <c r="AR255" s="4524">
        <v>26</v>
      </c>
      <c r="AS255" s="4638">
        <f t="shared" si="63"/>
        <v>10.66</v>
      </c>
      <c r="AT255" s="4524">
        <v>37</v>
      </c>
      <c r="AU255" s="4638">
        <f t="shared" si="64"/>
        <v>15.17</v>
      </c>
      <c r="AV255" s="4524" t="s">
        <v>767</v>
      </c>
      <c r="AW255" s="4638" t="s">
        <v>767</v>
      </c>
      <c r="AX255" s="4524" t="s">
        <v>767</v>
      </c>
      <c r="AY255" s="4638" t="s">
        <v>767</v>
      </c>
      <c r="AZ255" s="4524">
        <v>53164</v>
      </c>
      <c r="BA255" s="4638">
        <f t="shared" si="65"/>
        <v>21797.239999999998</v>
      </c>
      <c r="BB255" s="4524">
        <v>16982</v>
      </c>
      <c r="BC255" s="4638">
        <f t="shared" si="66"/>
        <v>6962.62</v>
      </c>
      <c r="BD255" s="4524">
        <v>60013</v>
      </c>
      <c r="BE255" s="4638">
        <f t="shared" si="67"/>
        <v>24605.329999999998</v>
      </c>
      <c r="BF255" s="4524">
        <v>575010</v>
      </c>
      <c r="BG255" s="4638">
        <f t="shared" si="68"/>
        <v>235754.09999999998</v>
      </c>
      <c r="BH255" s="4543"/>
      <c r="BI255" s="4543"/>
      <c r="BJ255" s="4543"/>
      <c r="BK255" s="3185"/>
      <c r="BL255" s="4543"/>
      <c r="BM255" s="4543"/>
      <c r="BN255" s="4554"/>
      <c r="BO255" s="4554"/>
      <c r="BP255" s="4554"/>
      <c r="BQ255" s="4554"/>
      <c r="BR255" s="4557"/>
    </row>
    <row r="256" spans="1:70" s="978" customFormat="1" ht="32.25" customHeight="1" x14ac:dyDescent="0.2">
      <c r="A256" s="971"/>
      <c r="B256" s="972"/>
      <c r="C256" s="973"/>
      <c r="D256" s="972"/>
      <c r="E256" s="972"/>
      <c r="F256" s="973"/>
      <c r="G256" s="979"/>
      <c r="H256" s="972"/>
      <c r="I256" s="973"/>
      <c r="J256" s="4518"/>
      <c r="K256" s="4521"/>
      <c r="L256" s="1053"/>
      <c r="M256" s="4524"/>
      <c r="N256" s="4526"/>
      <c r="O256" s="4524"/>
      <c r="P256" s="4528"/>
      <c r="Q256" s="4521"/>
      <c r="R256" s="4531"/>
      <c r="S256" s="4534"/>
      <c r="T256" s="4521"/>
      <c r="U256" s="4549"/>
      <c r="V256" s="4551" t="s">
        <v>1087</v>
      </c>
      <c r="W256" s="2300">
        <v>722110000</v>
      </c>
      <c r="X256" s="1809">
        <v>610362000</v>
      </c>
      <c r="Y256" s="1809">
        <v>57600500</v>
      </c>
      <c r="Z256" s="977">
        <v>61</v>
      </c>
      <c r="AA256" s="1062" t="s">
        <v>975</v>
      </c>
      <c r="AB256" s="4524"/>
      <c r="AC256" s="4638"/>
      <c r="AD256" s="4524">
        <v>282326</v>
      </c>
      <c r="AE256" s="4638">
        <f t="shared" si="56"/>
        <v>115753.65999999999</v>
      </c>
      <c r="AF256" s="4524">
        <v>135912</v>
      </c>
      <c r="AG256" s="4638">
        <f t="shared" si="57"/>
        <v>55723.92</v>
      </c>
      <c r="AH256" s="4524">
        <v>45122</v>
      </c>
      <c r="AI256" s="4638">
        <f t="shared" si="58"/>
        <v>18500.02</v>
      </c>
      <c r="AJ256" s="4524">
        <v>307101</v>
      </c>
      <c r="AK256" s="4638">
        <f t="shared" si="59"/>
        <v>125911.40999999999</v>
      </c>
      <c r="AL256" s="4524">
        <v>86875</v>
      </c>
      <c r="AM256" s="4638">
        <f t="shared" si="60"/>
        <v>35618.75</v>
      </c>
      <c r="AN256" s="4524">
        <v>2145</v>
      </c>
      <c r="AO256" s="4638">
        <f t="shared" si="61"/>
        <v>879.44999999999993</v>
      </c>
      <c r="AP256" s="4524">
        <v>12718</v>
      </c>
      <c r="AQ256" s="4638">
        <f t="shared" si="62"/>
        <v>5214.38</v>
      </c>
      <c r="AR256" s="4524">
        <v>26</v>
      </c>
      <c r="AS256" s="4638">
        <f t="shared" si="63"/>
        <v>10.66</v>
      </c>
      <c r="AT256" s="4524">
        <v>37</v>
      </c>
      <c r="AU256" s="4638">
        <f t="shared" si="64"/>
        <v>15.17</v>
      </c>
      <c r="AV256" s="4524" t="s">
        <v>767</v>
      </c>
      <c r="AW256" s="4638" t="s">
        <v>767</v>
      </c>
      <c r="AX256" s="4524" t="s">
        <v>767</v>
      </c>
      <c r="AY256" s="4638" t="s">
        <v>767</v>
      </c>
      <c r="AZ256" s="4524">
        <v>53164</v>
      </c>
      <c r="BA256" s="4638">
        <f t="shared" si="65"/>
        <v>21797.239999999998</v>
      </c>
      <c r="BB256" s="4524">
        <v>16982</v>
      </c>
      <c r="BC256" s="4638">
        <f t="shared" si="66"/>
        <v>6962.62</v>
      </c>
      <c r="BD256" s="4524">
        <v>60013</v>
      </c>
      <c r="BE256" s="4638">
        <f t="shared" si="67"/>
        <v>24605.329999999998</v>
      </c>
      <c r="BF256" s="4524">
        <v>575010</v>
      </c>
      <c r="BG256" s="4638">
        <f t="shared" si="68"/>
        <v>235754.09999999998</v>
      </c>
      <c r="BH256" s="4543"/>
      <c r="BI256" s="4543"/>
      <c r="BJ256" s="4543"/>
      <c r="BK256" s="3185"/>
      <c r="BL256" s="4543"/>
      <c r="BM256" s="4543"/>
      <c r="BN256" s="4554"/>
      <c r="BO256" s="4554"/>
      <c r="BP256" s="4554"/>
      <c r="BQ256" s="4554"/>
      <c r="BR256" s="4557"/>
    </row>
    <row r="257" spans="1:328" s="978" customFormat="1" ht="32.25" customHeight="1" x14ac:dyDescent="0.2">
      <c r="A257" s="971"/>
      <c r="B257" s="972"/>
      <c r="C257" s="973"/>
      <c r="D257" s="972"/>
      <c r="E257" s="972"/>
      <c r="F257" s="973"/>
      <c r="G257" s="979"/>
      <c r="H257" s="972"/>
      <c r="I257" s="973"/>
      <c r="J257" s="4519"/>
      <c r="K257" s="4522"/>
      <c r="L257" s="1053"/>
      <c r="M257" s="4525"/>
      <c r="N257" s="4526"/>
      <c r="O257" s="4524"/>
      <c r="P257" s="4528"/>
      <c r="Q257" s="4521"/>
      <c r="R257" s="4532"/>
      <c r="S257" s="4534"/>
      <c r="T257" s="4521"/>
      <c r="U257" s="4550"/>
      <c r="V257" s="4552"/>
      <c r="W257" s="2608">
        <v>60097111</v>
      </c>
      <c r="X257" s="2608">
        <v>0</v>
      </c>
      <c r="Y257" s="2608">
        <v>0</v>
      </c>
      <c r="Z257" s="1009">
        <v>98</v>
      </c>
      <c r="AA257" s="1027" t="s">
        <v>976</v>
      </c>
      <c r="AB257" s="4524"/>
      <c r="AC257" s="4638"/>
      <c r="AD257" s="4524">
        <v>282326</v>
      </c>
      <c r="AE257" s="4638">
        <f t="shared" si="56"/>
        <v>115753.65999999999</v>
      </c>
      <c r="AF257" s="4524">
        <v>135912</v>
      </c>
      <c r="AG257" s="4638">
        <f t="shared" si="57"/>
        <v>55723.92</v>
      </c>
      <c r="AH257" s="4524">
        <v>45122</v>
      </c>
      <c r="AI257" s="4638">
        <f t="shared" si="58"/>
        <v>18500.02</v>
      </c>
      <c r="AJ257" s="4524">
        <v>307101</v>
      </c>
      <c r="AK257" s="4638">
        <f t="shared" si="59"/>
        <v>125911.40999999999</v>
      </c>
      <c r="AL257" s="4524">
        <v>86875</v>
      </c>
      <c r="AM257" s="4638">
        <f t="shared" si="60"/>
        <v>35618.75</v>
      </c>
      <c r="AN257" s="4524">
        <v>2145</v>
      </c>
      <c r="AO257" s="4638">
        <f t="shared" si="61"/>
        <v>879.44999999999993</v>
      </c>
      <c r="AP257" s="4524">
        <v>12718</v>
      </c>
      <c r="AQ257" s="4638">
        <f t="shared" si="62"/>
        <v>5214.38</v>
      </c>
      <c r="AR257" s="4524">
        <v>26</v>
      </c>
      <c r="AS257" s="4638">
        <f t="shared" si="63"/>
        <v>10.66</v>
      </c>
      <c r="AT257" s="4524">
        <v>37</v>
      </c>
      <c r="AU257" s="4638">
        <f t="shared" si="64"/>
        <v>15.17</v>
      </c>
      <c r="AV257" s="4524" t="s">
        <v>767</v>
      </c>
      <c r="AW257" s="4638" t="s">
        <v>767</v>
      </c>
      <c r="AX257" s="4524" t="s">
        <v>767</v>
      </c>
      <c r="AY257" s="4638" t="s">
        <v>767</v>
      </c>
      <c r="AZ257" s="4524">
        <v>53164</v>
      </c>
      <c r="BA257" s="4638">
        <f t="shared" si="65"/>
        <v>21797.239999999998</v>
      </c>
      <c r="BB257" s="4524">
        <v>16982</v>
      </c>
      <c r="BC257" s="4638">
        <f t="shared" si="66"/>
        <v>6962.62</v>
      </c>
      <c r="BD257" s="4524">
        <v>60013</v>
      </c>
      <c r="BE257" s="4638">
        <f t="shared" si="67"/>
        <v>24605.329999999998</v>
      </c>
      <c r="BF257" s="4524">
        <v>575010</v>
      </c>
      <c r="BG257" s="4638">
        <f t="shared" si="68"/>
        <v>235754.09999999998</v>
      </c>
      <c r="BH257" s="4543"/>
      <c r="BI257" s="4543"/>
      <c r="BJ257" s="4543"/>
      <c r="BK257" s="3185"/>
      <c r="BL257" s="4543"/>
      <c r="BM257" s="4543"/>
      <c r="BN257" s="4554"/>
      <c r="BO257" s="4554"/>
      <c r="BP257" s="4554"/>
      <c r="BQ257" s="4554"/>
      <c r="BR257" s="4557"/>
    </row>
    <row r="258" spans="1:328" s="978" customFormat="1" ht="42.75" x14ac:dyDescent="0.2">
      <c r="A258" s="971"/>
      <c r="B258" s="972"/>
      <c r="C258" s="973"/>
      <c r="D258" s="972"/>
      <c r="E258" s="972"/>
      <c r="F258" s="973"/>
      <c r="G258" s="983"/>
      <c r="H258" s="981"/>
      <c r="I258" s="982"/>
      <c r="J258" s="1027">
        <v>159</v>
      </c>
      <c r="K258" s="1005" t="s">
        <v>1088</v>
      </c>
      <c r="L258" s="1058" t="s">
        <v>759</v>
      </c>
      <c r="M258" s="1062">
        <v>8</v>
      </c>
      <c r="N258" s="1058"/>
      <c r="O258" s="4525"/>
      <c r="P258" s="4529"/>
      <c r="Q258" s="4522"/>
      <c r="R258" s="1063">
        <f>+W258/S251</f>
        <v>1.3777800757820764E-2</v>
      </c>
      <c r="S258" s="4535"/>
      <c r="T258" s="4522"/>
      <c r="U258" s="1064" t="s">
        <v>1089</v>
      </c>
      <c r="V258" s="980" t="s">
        <v>1090</v>
      </c>
      <c r="W258" s="2608">
        <v>21200000</v>
      </c>
      <c r="X258" s="2608">
        <v>0</v>
      </c>
      <c r="Y258" s="2608">
        <v>0</v>
      </c>
      <c r="Z258" s="1009">
        <v>61</v>
      </c>
      <c r="AA258" s="1027" t="s">
        <v>975</v>
      </c>
      <c r="AB258" s="4525"/>
      <c r="AC258" s="4639"/>
      <c r="AD258" s="4525">
        <v>282326</v>
      </c>
      <c r="AE258" s="4639">
        <f t="shared" si="56"/>
        <v>115753.65999999999</v>
      </c>
      <c r="AF258" s="4525">
        <v>135912</v>
      </c>
      <c r="AG258" s="4639">
        <f t="shared" si="57"/>
        <v>55723.92</v>
      </c>
      <c r="AH258" s="4525">
        <v>45122</v>
      </c>
      <c r="AI258" s="4639">
        <f t="shared" si="58"/>
        <v>18500.02</v>
      </c>
      <c r="AJ258" s="4525">
        <v>307101</v>
      </c>
      <c r="AK258" s="4639">
        <f t="shared" si="59"/>
        <v>125911.40999999999</v>
      </c>
      <c r="AL258" s="4525">
        <v>86875</v>
      </c>
      <c r="AM258" s="4639">
        <f t="shared" si="60"/>
        <v>35618.75</v>
      </c>
      <c r="AN258" s="4525">
        <v>2145</v>
      </c>
      <c r="AO258" s="4639">
        <f t="shared" si="61"/>
        <v>879.44999999999993</v>
      </c>
      <c r="AP258" s="4525">
        <v>12718</v>
      </c>
      <c r="AQ258" s="4639">
        <f t="shared" si="62"/>
        <v>5214.38</v>
      </c>
      <c r="AR258" s="4525">
        <v>26</v>
      </c>
      <c r="AS258" s="4639">
        <f t="shared" si="63"/>
        <v>10.66</v>
      </c>
      <c r="AT258" s="4525">
        <v>37</v>
      </c>
      <c r="AU258" s="4639">
        <f t="shared" si="64"/>
        <v>15.17</v>
      </c>
      <c r="AV258" s="4525" t="s">
        <v>767</v>
      </c>
      <c r="AW258" s="4639" t="s">
        <v>767</v>
      </c>
      <c r="AX258" s="4525" t="s">
        <v>767</v>
      </c>
      <c r="AY258" s="4639" t="s">
        <v>767</v>
      </c>
      <c r="AZ258" s="4525">
        <v>53164</v>
      </c>
      <c r="BA258" s="4639">
        <f t="shared" si="65"/>
        <v>21797.239999999998</v>
      </c>
      <c r="BB258" s="4525">
        <v>16982</v>
      </c>
      <c r="BC258" s="4639">
        <f t="shared" si="66"/>
        <v>6962.62</v>
      </c>
      <c r="BD258" s="4525">
        <v>60013</v>
      </c>
      <c r="BE258" s="4639">
        <f t="shared" si="67"/>
        <v>24605.329999999998</v>
      </c>
      <c r="BF258" s="4525">
        <v>575010</v>
      </c>
      <c r="BG258" s="4639">
        <f t="shared" si="68"/>
        <v>235754.09999999998</v>
      </c>
      <c r="BH258" s="4544"/>
      <c r="BI258" s="4544"/>
      <c r="BJ258" s="4544"/>
      <c r="BK258" s="3186"/>
      <c r="BL258" s="4544"/>
      <c r="BM258" s="4544"/>
      <c r="BN258" s="4555"/>
      <c r="BO258" s="4555"/>
      <c r="BP258" s="4555"/>
      <c r="BQ258" s="4555"/>
      <c r="BR258" s="4558"/>
    </row>
    <row r="259" spans="1:328" ht="36" customHeight="1" x14ac:dyDescent="0.2">
      <c r="A259" s="957"/>
      <c r="B259" s="958"/>
      <c r="C259" s="959"/>
      <c r="D259" s="958"/>
      <c r="E259" s="958"/>
      <c r="F259" s="959"/>
      <c r="G259" s="991">
        <v>46</v>
      </c>
      <c r="H259" s="963" t="s">
        <v>1091</v>
      </c>
      <c r="I259" s="963"/>
      <c r="J259" s="963"/>
      <c r="K259" s="964"/>
      <c r="L259" s="963"/>
      <c r="M259" s="963"/>
      <c r="N259" s="963"/>
      <c r="O259" s="965"/>
      <c r="P259" s="992"/>
      <c r="Q259" s="964"/>
      <c r="R259" s="963"/>
      <c r="S259" s="993"/>
      <c r="T259" s="963"/>
      <c r="U259" s="964"/>
      <c r="V259" s="964"/>
      <c r="W259" s="2613"/>
      <c r="X259" s="2615"/>
      <c r="Y259" s="2615"/>
      <c r="Z259" s="1050"/>
      <c r="AA259" s="1011"/>
      <c r="AB259" s="965"/>
      <c r="AC259" s="965"/>
      <c r="AD259" s="965"/>
      <c r="AE259" s="965"/>
      <c r="AF259" s="965"/>
      <c r="AG259" s="965"/>
      <c r="AH259" s="965"/>
      <c r="AI259" s="965"/>
      <c r="AJ259" s="965"/>
      <c r="AK259" s="965"/>
      <c r="AL259" s="965"/>
      <c r="AM259" s="965"/>
      <c r="AN259" s="965"/>
      <c r="AO259" s="965"/>
      <c r="AP259" s="965"/>
      <c r="AQ259" s="965"/>
      <c r="AR259" s="965"/>
      <c r="AS259" s="965"/>
      <c r="AT259" s="965"/>
      <c r="AU259" s="965"/>
      <c r="AV259" s="965"/>
      <c r="AW259" s="965"/>
      <c r="AX259" s="965"/>
      <c r="AY259" s="965"/>
      <c r="AZ259" s="965"/>
      <c r="BA259" s="965"/>
      <c r="BB259" s="965"/>
      <c r="BC259" s="965"/>
      <c r="BD259" s="965"/>
      <c r="BE259" s="965"/>
      <c r="BF259" s="965"/>
      <c r="BG259" s="965"/>
      <c r="BH259" s="965"/>
      <c r="BI259" s="965"/>
      <c r="BJ259" s="965"/>
      <c r="BK259" s="965"/>
      <c r="BL259" s="965"/>
      <c r="BM259" s="965"/>
      <c r="BN259" s="963"/>
      <c r="BO259" s="963"/>
      <c r="BP259" s="963"/>
      <c r="BQ259" s="963"/>
      <c r="BR259" s="970"/>
    </row>
    <row r="260" spans="1:328" ht="51.75" customHeight="1" x14ac:dyDescent="0.2">
      <c r="A260" s="971"/>
      <c r="B260" s="972"/>
      <c r="C260" s="973"/>
      <c r="D260" s="972"/>
      <c r="E260" s="972"/>
      <c r="F260" s="973"/>
      <c r="G260" s="974"/>
      <c r="H260" s="975"/>
      <c r="I260" s="976"/>
      <c r="J260" s="4517">
        <v>160</v>
      </c>
      <c r="K260" s="4520" t="s">
        <v>1092</v>
      </c>
      <c r="L260" s="4523" t="s">
        <v>759</v>
      </c>
      <c r="M260" s="4523">
        <v>300</v>
      </c>
      <c r="N260" s="4526">
        <v>100</v>
      </c>
      <c r="O260" s="4523" t="s">
        <v>1093</v>
      </c>
      <c r="P260" s="4527" t="s">
        <v>1094</v>
      </c>
      <c r="Q260" s="4520" t="s">
        <v>1095</v>
      </c>
      <c r="R260" s="4530">
        <v>1</v>
      </c>
      <c r="S260" s="4533">
        <f>SUM(W260:W270)</f>
        <v>1210233390</v>
      </c>
      <c r="T260" s="4520" t="s">
        <v>1096</v>
      </c>
      <c r="U260" s="4628" t="s">
        <v>1097</v>
      </c>
      <c r="V260" s="4551" t="s">
        <v>1098</v>
      </c>
      <c r="W260" s="2595">
        <f>238058000</f>
        <v>238058000</v>
      </c>
      <c r="X260" s="1809">
        <v>228163507</v>
      </c>
      <c r="Y260" s="1809">
        <v>93845279</v>
      </c>
      <c r="Z260" s="1009">
        <v>61</v>
      </c>
      <c r="AA260" s="1065" t="s">
        <v>883</v>
      </c>
      <c r="AB260" s="4640">
        <v>292684</v>
      </c>
      <c r="AC260" s="4637">
        <f>SUM(AB260*0.37)</f>
        <v>108293.08</v>
      </c>
      <c r="AD260" s="4640">
        <v>282326</v>
      </c>
      <c r="AE260" s="4637">
        <f t="shared" ref="AE260:AE270" si="69">SUM(AD260*0.37)</f>
        <v>104460.62</v>
      </c>
      <c r="AF260" s="4640">
        <v>135912</v>
      </c>
      <c r="AG260" s="4637">
        <f t="shared" ref="AG260:AG270" si="70">SUM(AF260*0.37)</f>
        <v>50287.44</v>
      </c>
      <c r="AH260" s="4640">
        <v>45122</v>
      </c>
      <c r="AI260" s="4637">
        <f t="shared" ref="AI260:AI270" si="71">SUM(AH260*0.37)</f>
        <v>16695.14</v>
      </c>
      <c r="AJ260" s="4640">
        <f t="shared" ref="AJ260:AJ270" si="72">SUM(AJ254)</f>
        <v>307101</v>
      </c>
      <c r="AK260" s="4637">
        <f t="shared" ref="AK260:AK270" si="73">SUM(AJ260*0.37)</f>
        <v>113627.37</v>
      </c>
      <c r="AL260" s="4640">
        <f t="shared" ref="AL260:AL270" si="74">SUM(AL254)</f>
        <v>86875</v>
      </c>
      <c r="AM260" s="4637">
        <f t="shared" ref="AM260:AM270" si="75">SUM(AL260*0.37)</f>
        <v>32143.75</v>
      </c>
      <c r="AN260" s="4640">
        <v>2145</v>
      </c>
      <c r="AO260" s="4637">
        <f t="shared" ref="AO260:AO270" si="76">SUM(AN260*0.37)</f>
        <v>793.65</v>
      </c>
      <c r="AP260" s="4640">
        <v>12718</v>
      </c>
      <c r="AQ260" s="4637">
        <f t="shared" ref="AQ260:AQ270" si="77">SUM(AP260*0.37)</f>
        <v>4705.66</v>
      </c>
      <c r="AR260" s="4640">
        <v>26</v>
      </c>
      <c r="AS260" s="4637">
        <f t="shared" ref="AS260:AS270" si="78">SUM(AR260*0.37)</f>
        <v>9.6199999999999992</v>
      </c>
      <c r="AT260" s="4640">
        <v>37</v>
      </c>
      <c r="AU260" s="4637">
        <f t="shared" ref="AU260:AU270" si="79">SUM(AT260*0.37)</f>
        <v>13.69</v>
      </c>
      <c r="AV260" s="4640" t="s">
        <v>767</v>
      </c>
      <c r="AW260" s="4637" t="s">
        <v>767</v>
      </c>
      <c r="AX260" s="4640" t="s">
        <v>767</v>
      </c>
      <c r="AY260" s="4637" t="s">
        <v>767</v>
      </c>
      <c r="AZ260" s="4640">
        <v>53164</v>
      </c>
      <c r="BA260" s="4637">
        <f t="shared" ref="BA260:BA270" si="80">SUM(AZ260*0.37)</f>
        <v>19670.68</v>
      </c>
      <c r="BB260" s="4640">
        <v>16982</v>
      </c>
      <c r="BC260" s="4637">
        <f t="shared" ref="BC260:BC270" si="81">SUM(BB260*0.37)</f>
        <v>6283.34</v>
      </c>
      <c r="BD260" s="4640">
        <v>60013</v>
      </c>
      <c r="BE260" s="4637">
        <f t="shared" ref="BE260:BE270" si="82">SUM(BD260*0.37)</f>
        <v>22204.81</v>
      </c>
      <c r="BF260" s="4640">
        <v>575010</v>
      </c>
      <c r="BG260" s="4637">
        <f t="shared" ref="BG260:BG270" si="83">SUM(BF260*0.37)</f>
        <v>212753.7</v>
      </c>
      <c r="BH260" s="4523">
        <v>45</v>
      </c>
      <c r="BI260" s="4657">
        <f>SUM(X260:X270)</f>
        <v>592242366</v>
      </c>
      <c r="BJ260" s="4657">
        <f>SUM(Y260:Y270)</f>
        <v>319977938</v>
      </c>
      <c r="BK260" s="3322">
        <f>+BJ260/BI260</f>
        <v>0.54028208106949238</v>
      </c>
      <c r="BL260" s="4523" t="s">
        <v>1099</v>
      </c>
      <c r="BM260" s="4523" t="s">
        <v>769</v>
      </c>
      <c r="BN260" s="4656">
        <v>43467</v>
      </c>
      <c r="BO260" s="4553">
        <v>43830</v>
      </c>
      <c r="BP260" s="4656">
        <v>43830</v>
      </c>
      <c r="BQ260" s="4553">
        <v>43830</v>
      </c>
      <c r="BR260" s="4556" t="s">
        <v>770</v>
      </c>
    </row>
    <row r="261" spans="1:328" ht="31.5" customHeight="1" x14ac:dyDescent="0.2">
      <c r="A261" s="971"/>
      <c r="B261" s="972"/>
      <c r="C261" s="973"/>
      <c r="D261" s="972"/>
      <c r="E261" s="972"/>
      <c r="F261" s="973"/>
      <c r="G261" s="979"/>
      <c r="H261" s="972"/>
      <c r="I261" s="973"/>
      <c r="J261" s="4518"/>
      <c r="K261" s="4521"/>
      <c r="L261" s="4524"/>
      <c r="M261" s="4524"/>
      <c r="N261" s="4526"/>
      <c r="O261" s="4524"/>
      <c r="P261" s="4528"/>
      <c r="Q261" s="4521"/>
      <c r="R261" s="4531"/>
      <c r="S261" s="4534"/>
      <c r="T261" s="4521"/>
      <c r="U261" s="4629"/>
      <c r="V261" s="4631"/>
      <c r="W261" s="2595">
        <v>30000000</v>
      </c>
      <c r="X261" s="2595">
        <v>0</v>
      </c>
      <c r="Y261" s="2595">
        <v>0</v>
      </c>
      <c r="Z261" s="1009">
        <v>88</v>
      </c>
      <c r="AA261" s="1065" t="s">
        <v>1100</v>
      </c>
      <c r="AB261" s="4641"/>
      <c r="AC261" s="4638"/>
      <c r="AD261" s="4641">
        <v>282326</v>
      </c>
      <c r="AE261" s="4638">
        <f t="shared" si="69"/>
        <v>104460.62</v>
      </c>
      <c r="AF261" s="4641">
        <v>135912</v>
      </c>
      <c r="AG261" s="4638">
        <f t="shared" si="70"/>
        <v>50287.44</v>
      </c>
      <c r="AH261" s="4641">
        <v>45122</v>
      </c>
      <c r="AI261" s="4638">
        <f t="shared" si="71"/>
        <v>16695.14</v>
      </c>
      <c r="AJ261" s="4641">
        <f t="shared" si="72"/>
        <v>307101</v>
      </c>
      <c r="AK261" s="4638">
        <f t="shared" si="73"/>
        <v>113627.37</v>
      </c>
      <c r="AL261" s="4641">
        <f t="shared" si="74"/>
        <v>86875</v>
      </c>
      <c r="AM261" s="4638">
        <f t="shared" si="75"/>
        <v>32143.75</v>
      </c>
      <c r="AN261" s="4641">
        <v>2145</v>
      </c>
      <c r="AO261" s="4638">
        <f t="shared" si="76"/>
        <v>793.65</v>
      </c>
      <c r="AP261" s="4641">
        <v>12718</v>
      </c>
      <c r="AQ261" s="4638">
        <f t="shared" si="77"/>
        <v>4705.66</v>
      </c>
      <c r="AR261" s="4641">
        <v>26</v>
      </c>
      <c r="AS261" s="4638">
        <f t="shared" si="78"/>
        <v>9.6199999999999992</v>
      </c>
      <c r="AT261" s="4641">
        <v>37</v>
      </c>
      <c r="AU261" s="4638">
        <f t="shared" si="79"/>
        <v>13.69</v>
      </c>
      <c r="AV261" s="4641" t="s">
        <v>767</v>
      </c>
      <c r="AW261" s="4638" t="s">
        <v>767</v>
      </c>
      <c r="AX261" s="4641" t="s">
        <v>767</v>
      </c>
      <c r="AY261" s="4638" t="s">
        <v>767</v>
      </c>
      <c r="AZ261" s="4641">
        <v>53164</v>
      </c>
      <c r="BA261" s="4638">
        <f t="shared" si="80"/>
        <v>19670.68</v>
      </c>
      <c r="BB261" s="4641">
        <v>16982</v>
      </c>
      <c r="BC261" s="4638">
        <f t="shared" si="81"/>
        <v>6283.34</v>
      </c>
      <c r="BD261" s="4641">
        <v>60013</v>
      </c>
      <c r="BE261" s="4638">
        <f t="shared" si="82"/>
        <v>22204.81</v>
      </c>
      <c r="BF261" s="4641">
        <v>575010</v>
      </c>
      <c r="BG261" s="4638">
        <f t="shared" si="83"/>
        <v>212753.7</v>
      </c>
      <c r="BH261" s="4524"/>
      <c r="BI261" s="4524"/>
      <c r="BJ261" s="4524"/>
      <c r="BK261" s="3323"/>
      <c r="BL261" s="4524"/>
      <c r="BM261" s="4524"/>
      <c r="BN261" s="4656"/>
      <c r="BO261" s="4554"/>
      <c r="BP261" s="4656"/>
      <c r="BQ261" s="4554"/>
      <c r="BR261" s="4557"/>
    </row>
    <row r="262" spans="1:328" ht="31.5" customHeight="1" x14ac:dyDescent="0.2">
      <c r="A262" s="971"/>
      <c r="B262" s="972"/>
      <c r="C262" s="973"/>
      <c r="D262" s="972"/>
      <c r="E262" s="972"/>
      <c r="F262" s="973"/>
      <c r="G262" s="979"/>
      <c r="H262" s="972"/>
      <c r="I262" s="973"/>
      <c r="J262" s="4518"/>
      <c r="K262" s="4521"/>
      <c r="L262" s="4524"/>
      <c r="M262" s="4524"/>
      <c r="N262" s="4526"/>
      <c r="O262" s="4524"/>
      <c r="P262" s="4528"/>
      <c r="Q262" s="4521"/>
      <c r="R262" s="4531"/>
      <c r="S262" s="4534"/>
      <c r="T262" s="4521"/>
      <c r="U262" s="4629"/>
      <c r="V262" s="4631"/>
      <c r="W262" s="2595">
        <v>211942000</v>
      </c>
      <c r="X262" s="1809">
        <v>31923325</v>
      </c>
      <c r="Y262" s="1809">
        <v>4619325</v>
      </c>
      <c r="Z262" s="1009">
        <v>20</v>
      </c>
      <c r="AA262" s="1065" t="s">
        <v>1101</v>
      </c>
      <c r="AB262" s="4641"/>
      <c r="AC262" s="4638"/>
      <c r="AD262" s="4641">
        <v>282326</v>
      </c>
      <c r="AE262" s="4638">
        <f t="shared" si="69"/>
        <v>104460.62</v>
      </c>
      <c r="AF262" s="4641">
        <v>135912</v>
      </c>
      <c r="AG262" s="4638">
        <f t="shared" si="70"/>
        <v>50287.44</v>
      </c>
      <c r="AH262" s="4641">
        <v>45122</v>
      </c>
      <c r="AI262" s="4638">
        <f t="shared" si="71"/>
        <v>16695.14</v>
      </c>
      <c r="AJ262" s="4641">
        <f t="shared" si="72"/>
        <v>307101</v>
      </c>
      <c r="AK262" s="4638">
        <f t="shared" si="73"/>
        <v>113627.37</v>
      </c>
      <c r="AL262" s="4641">
        <f t="shared" si="74"/>
        <v>86875</v>
      </c>
      <c r="AM262" s="4638">
        <f t="shared" si="75"/>
        <v>32143.75</v>
      </c>
      <c r="AN262" s="4641">
        <v>2145</v>
      </c>
      <c r="AO262" s="4638">
        <f t="shared" si="76"/>
        <v>793.65</v>
      </c>
      <c r="AP262" s="4641">
        <v>12718</v>
      </c>
      <c r="AQ262" s="4638">
        <f t="shared" si="77"/>
        <v>4705.66</v>
      </c>
      <c r="AR262" s="4641">
        <v>26</v>
      </c>
      <c r="AS262" s="4638">
        <f t="shared" si="78"/>
        <v>9.6199999999999992</v>
      </c>
      <c r="AT262" s="4641">
        <v>37</v>
      </c>
      <c r="AU262" s="4638">
        <f t="shared" si="79"/>
        <v>13.69</v>
      </c>
      <c r="AV262" s="4641" t="s">
        <v>767</v>
      </c>
      <c r="AW262" s="4638" t="s">
        <v>767</v>
      </c>
      <c r="AX262" s="4641" t="s">
        <v>767</v>
      </c>
      <c r="AY262" s="4638" t="s">
        <v>767</v>
      </c>
      <c r="AZ262" s="4641">
        <v>53164</v>
      </c>
      <c r="BA262" s="4638">
        <f t="shared" si="80"/>
        <v>19670.68</v>
      </c>
      <c r="BB262" s="4641">
        <v>16982</v>
      </c>
      <c r="BC262" s="4638">
        <f t="shared" si="81"/>
        <v>6283.34</v>
      </c>
      <c r="BD262" s="4641">
        <v>60013</v>
      </c>
      <c r="BE262" s="4638">
        <f t="shared" si="82"/>
        <v>22204.81</v>
      </c>
      <c r="BF262" s="4641">
        <v>575010</v>
      </c>
      <c r="BG262" s="4638">
        <f t="shared" si="83"/>
        <v>212753.7</v>
      </c>
      <c r="BH262" s="4524"/>
      <c r="BI262" s="4524"/>
      <c r="BJ262" s="4524"/>
      <c r="BK262" s="3323"/>
      <c r="BL262" s="4524"/>
      <c r="BM262" s="4524"/>
      <c r="BN262" s="4656"/>
      <c r="BO262" s="4554"/>
      <c r="BP262" s="4656"/>
      <c r="BQ262" s="4554"/>
      <c r="BR262" s="4557"/>
    </row>
    <row r="263" spans="1:328" ht="31.5" customHeight="1" x14ac:dyDescent="0.2">
      <c r="A263" s="971"/>
      <c r="B263" s="972"/>
      <c r="C263" s="973"/>
      <c r="D263" s="972"/>
      <c r="E263" s="972"/>
      <c r="F263" s="973"/>
      <c r="G263" s="979"/>
      <c r="H263" s="972"/>
      <c r="I263" s="973"/>
      <c r="J263" s="4518"/>
      <c r="K263" s="4521"/>
      <c r="L263" s="4524"/>
      <c r="M263" s="4524"/>
      <c r="N263" s="4526"/>
      <c r="O263" s="4524"/>
      <c r="P263" s="4528"/>
      <c r="Q263" s="4521"/>
      <c r="R263" s="4531"/>
      <c r="S263" s="4534"/>
      <c r="T263" s="4521"/>
      <c r="U263" s="4629"/>
      <c r="V263" s="4552"/>
      <c r="W263" s="2595">
        <v>15000000</v>
      </c>
      <c r="X263" s="2595">
        <v>0</v>
      </c>
      <c r="Y263" s="2595">
        <v>0</v>
      </c>
      <c r="Z263" s="1009">
        <v>98</v>
      </c>
      <c r="AA263" s="1065" t="s">
        <v>1048</v>
      </c>
      <c r="AB263" s="4641"/>
      <c r="AC263" s="4638"/>
      <c r="AD263" s="4641">
        <v>282326</v>
      </c>
      <c r="AE263" s="4638">
        <f t="shared" si="69"/>
        <v>104460.62</v>
      </c>
      <c r="AF263" s="4641">
        <v>135912</v>
      </c>
      <c r="AG263" s="4638">
        <f t="shared" si="70"/>
        <v>50287.44</v>
      </c>
      <c r="AH263" s="4641">
        <v>45122</v>
      </c>
      <c r="AI263" s="4638">
        <f t="shared" si="71"/>
        <v>16695.14</v>
      </c>
      <c r="AJ263" s="4641">
        <f t="shared" si="72"/>
        <v>307101</v>
      </c>
      <c r="AK263" s="4638">
        <f t="shared" si="73"/>
        <v>113627.37</v>
      </c>
      <c r="AL263" s="4641">
        <f t="shared" si="74"/>
        <v>86875</v>
      </c>
      <c r="AM263" s="4638">
        <f t="shared" si="75"/>
        <v>32143.75</v>
      </c>
      <c r="AN263" s="4641">
        <v>2145</v>
      </c>
      <c r="AO263" s="4638">
        <f t="shared" si="76"/>
        <v>793.65</v>
      </c>
      <c r="AP263" s="4641">
        <v>12718</v>
      </c>
      <c r="AQ263" s="4638">
        <f t="shared" si="77"/>
        <v>4705.66</v>
      </c>
      <c r="AR263" s="4641">
        <v>26</v>
      </c>
      <c r="AS263" s="4638">
        <f t="shared" si="78"/>
        <v>9.6199999999999992</v>
      </c>
      <c r="AT263" s="4641">
        <v>37</v>
      </c>
      <c r="AU263" s="4638">
        <f t="shared" si="79"/>
        <v>13.69</v>
      </c>
      <c r="AV263" s="4641" t="s">
        <v>767</v>
      </c>
      <c r="AW263" s="4638" t="s">
        <v>767</v>
      </c>
      <c r="AX263" s="4641" t="s">
        <v>767</v>
      </c>
      <c r="AY263" s="4638" t="s">
        <v>767</v>
      </c>
      <c r="AZ263" s="4641">
        <v>53164</v>
      </c>
      <c r="BA263" s="4638">
        <f t="shared" si="80"/>
        <v>19670.68</v>
      </c>
      <c r="BB263" s="4641">
        <v>16982</v>
      </c>
      <c r="BC263" s="4638">
        <f t="shared" si="81"/>
        <v>6283.34</v>
      </c>
      <c r="BD263" s="4641">
        <v>60013</v>
      </c>
      <c r="BE263" s="4638">
        <f t="shared" si="82"/>
        <v>22204.81</v>
      </c>
      <c r="BF263" s="4641">
        <v>575010</v>
      </c>
      <c r="BG263" s="4638">
        <f t="shared" si="83"/>
        <v>212753.7</v>
      </c>
      <c r="BH263" s="4524"/>
      <c r="BI263" s="4524"/>
      <c r="BJ263" s="4524"/>
      <c r="BK263" s="3323"/>
      <c r="BL263" s="4524"/>
      <c r="BM263" s="4524"/>
      <c r="BN263" s="4656"/>
      <c r="BO263" s="4554"/>
      <c r="BP263" s="4656"/>
      <c r="BQ263" s="4554"/>
      <c r="BR263" s="4557"/>
    </row>
    <row r="264" spans="1:328" ht="31.5" customHeight="1" x14ac:dyDescent="0.2">
      <c r="A264" s="971"/>
      <c r="B264" s="972"/>
      <c r="C264" s="973"/>
      <c r="D264" s="972"/>
      <c r="E264" s="972"/>
      <c r="F264" s="973"/>
      <c r="G264" s="979"/>
      <c r="H264" s="972"/>
      <c r="I264" s="973"/>
      <c r="J264" s="4518"/>
      <c r="K264" s="4521"/>
      <c r="L264" s="4524"/>
      <c r="M264" s="4524"/>
      <c r="N264" s="4526"/>
      <c r="O264" s="4524"/>
      <c r="P264" s="4528"/>
      <c r="Q264" s="4521"/>
      <c r="R264" s="4531"/>
      <c r="S264" s="4534"/>
      <c r="T264" s="4521"/>
      <c r="U264" s="4629"/>
      <c r="V264" s="980" t="s">
        <v>1102</v>
      </c>
      <c r="W264" s="2595">
        <v>50000000</v>
      </c>
      <c r="X264" s="2595">
        <v>50000000</v>
      </c>
      <c r="Y264" s="2595">
        <v>45893100</v>
      </c>
      <c r="Z264" s="1009">
        <v>61</v>
      </c>
      <c r="AA264" s="1065" t="s">
        <v>883</v>
      </c>
      <c r="AB264" s="4641"/>
      <c r="AC264" s="4638"/>
      <c r="AD264" s="4641">
        <v>282326</v>
      </c>
      <c r="AE264" s="4638">
        <f t="shared" si="69"/>
        <v>104460.62</v>
      </c>
      <c r="AF264" s="4641">
        <v>135912</v>
      </c>
      <c r="AG264" s="4638">
        <f t="shared" si="70"/>
        <v>50287.44</v>
      </c>
      <c r="AH264" s="4641">
        <v>45122</v>
      </c>
      <c r="AI264" s="4638">
        <f t="shared" si="71"/>
        <v>16695.14</v>
      </c>
      <c r="AJ264" s="4641">
        <f t="shared" si="72"/>
        <v>307101</v>
      </c>
      <c r="AK264" s="4638">
        <f t="shared" si="73"/>
        <v>113627.37</v>
      </c>
      <c r="AL264" s="4641">
        <f t="shared" si="74"/>
        <v>86875</v>
      </c>
      <c r="AM264" s="4638">
        <f t="shared" si="75"/>
        <v>32143.75</v>
      </c>
      <c r="AN264" s="4641">
        <v>2145</v>
      </c>
      <c r="AO264" s="4638">
        <f t="shared" si="76"/>
        <v>793.65</v>
      </c>
      <c r="AP264" s="4641">
        <v>12718</v>
      </c>
      <c r="AQ264" s="4638">
        <f t="shared" si="77"/>
        <v>4705.66</v>
      </c>
      <c r="AR264" s="4641">
        <v>26</v>
      </c>
      <c r="AS264" s="4638">
        <f t="shared" si="78"/>
        <v>9.6199999999999992</v>
      </c>
      <c r="AT264" s="4641">
        <v>37</v>
      </c>
      <c r="AU264" s="4638">
        <f t="shared" si="79"/>
        <v>13.69</v>
      </c>
      <c r="AV264" s="4641" t="s">
        <v>767</v>
      </c>
      <c r="AW264" s="4638" t="s">
        <v>767</v>
      </c>
      <c r="AX264" s="4641" t="s">
        <v>767</v>
      </c>
      <c r="AY264" s="4638" t="s">
        <v>767</v>
      </c>
      <c r="AZ264" s="4641">
        <v>53164</v>
      </c>
      <c r="BA264" s="4638">
        <f t="shared" si="80"/>
        <v>19670.68</v>
      </c>
      <c r="BB264" s="4641">
        <v>16982</v>
      </c>
      <c r="BC264" s="4638">
        <f t="shared" si="81"/>
        <v>6283.34</v>
      </c>
      <c r="BD264" s="4641">
        <v>60013</v>
      </c>
      <c r="BE264" s="4638">
        <f t="shared" si="82"/>
        <v>22204.81</v>
      </c>
      <c r="BF264" s="4641">
        <v>575010</v>
      </c>
      <c r="BG264" s="4638">
        <f t="shared" si="83"/>
        <v>212753.7</v>
      </c>
      <c r="BH264" s="4524"/>
      <c r="BI264" s="4524"/>
      <c r="BJ264" s="4524"/>
      <c r="BK264" s="3323"/>
      <c r="BL264" s="4524"/>
      <c r="BM264" s="4524"/>
      <c r="BN264" s="4656"/>
      <c r="BO264" s="4554"/>
      <c r="BP264" s="4656"/>
      <c r="BQ264" s="4554"/>
      <c r="BR264" s="4557"/>
    </row>
    <row r="265" spans="1:328" ht="71.25" x14ac:dyDescent="0.2">
      <c r="A265" s="971"/>
      <c r="B265" s="972"/>
      <c r="C265" s="973"/>
      <c r="D265" s="972"/>
      <c r="E265" s="972"/>
      <c r="F265" s="973"/>
      <c r="G265" s="979"/>
      <c r="H265" s="972"/>
      <c r="I265" s="973"/>
      <c r="J265" s="4518"/>
      <c r="K265" s="4521"/>
      <c r="L265" s="4524"/>
      <c r="M265" s="4524"/>
      <c r="N265" s="4526"/>
      <c r="O265" s="4524"/>
      <c r="P265" s="4528"/>
      <c r="Q265" s="4521"/>
      <c r="R265" s="4531"/>
      <c r="S265" s="4534"/>
      <c r="T265" s="4521"/>
      <c r="U265" s="4629"/>
      <c r="V265" s="980" t="s">
        <v>1103</v>
      </c>
      <c r="W265" s="2601">
        <v>74900000</v>
      </c>
      <c r="X265" s="1809">
        <v>74900000</v>
      </c>
      <c r="Y265" s="1809">
        <v>45893100</v>
      </c>
      <c r="Z265" s="1009">
        <v>61</v>
      </c>
      <c r="AA265" s="1065" t="s">
        <v>883</v>
      </c>
      <c r="AB265" s="4641"/>
      <c r="AC265" s="4638"/>
      <c r="AD265" s="4641">
        <v>282326</v>
      </c>
      <c r="AE265" s="4638">
        <f t="shared" si="69"/>
        <v>104460.62</v>
      </c>
      <c r="AF265" s="4641">
        <v>135912</v>
      </c>
      <c r="AG265" s="4638">
        <f t="shared" si="70"/>
        <v>50287.44</v>
      </c>
      <c r="AH265" s="4641">
        <v>45122</v>
      </c>
      <c r="AI265" s="4638">
        <f t="shared" si="71"/>
        <v>16695.14</v>
      </c>
      <c r="AJ265" s="4641">
        <f t="shared" si="72"/>
        <v>0</v>
      </c>
      <c r="AK265" s="4638">
        <f t="shared" si="73"/>
        <v>0</v>
      </c>
      <c r="AL265" s="4641">
        <f t="shared" si="74"/>
        <v>0</v>
      </c>
      <c r="AM265" s="4638">
        <f t="shared" si="75"/>
        <v>0</v>
      </c>
      <c r="AN265" s="4641">
        <v>2145</v>
      </c>
      <c r="AO265" s="4638">
        <f t="shared" si="76"/>
        <v>793.65</v>
      </c>
      <c r="AP265" s="4641">
        <v>12718</v>
      </c>
      <c r="AQ265" s="4638">
        <f t="shared" si="77"/>
        <v>4705.66</v>
      </c>
      <c r="AR265" s="4641">
        <v>26</v>
      </c>
      <c r="AS265" s="4638">
        <f t="shared" si="78"/>
        <v>9.6199999999999992</v>
      </c>
      <c r="AT265" s="4641">
        <v>37</v>
      </c>
      <c r="AU265" s="4638">
        <f t="shared" si="79"/>
        <v>13.69</v>
      </c>
      <c r="AV265" s="4641" t="s">
        <v>767</v>
      </c>
      <c r="AW265" s="4638" t="s">
        <v>767</v>
      </c>
      <c r="AX265" s="4641" t="s">
        <v>767</v>
      </c>
      <c r="AY265" s="4638" t="s">
        <v>767</v>
      </c>
      <c r="AZ265" s="4641">
        <v>53164</v>
      </c>
      <c r="BA265" s="4638">
        <f t="shared" si="80"/>
        <v>19670.68</v>
      </c>
      <c r="BB265" s="4641">
        <v>16982</v>
      </c>
      <c r="BC265" s="4638">
        <f t="shared" si="81"/>
        <v>6283.34</v>
      </c>
      <c r="BD265" s="4641">
        <v>60013</v>
      </c>
      <c r="BE265" s="4638">
        <f t="shared" si="82"/>
        <v>22204.81</v>
      </c>
      <c r="BF265" s="4641">
        <v>575010</v>
      </c>
      <c r="BG265" s="4638">
        <f t="shared" si="83"/>
        <v>212753.7</v>
      </c>
      <c r="BH265" s="4524"/>
      <c r="BI265" s="4524"/>
      <c r="BJ265" s="4524"/>
      <c r="BK265" s="3323"/>
      <c r="BL265" s="4524"/>
      <c r="BM265" s="4524"/>
      <c r="BN265" s="4656"/>
      <c r="BO265" s="4554"/>
      <c r="BP265" s="4656"/>
      <c r="BQ265" s="4554"/>
      <c r="BR265" s="4557"/>
    </row>
    <row r="266" spans="1:328" ht="42.75" x14ac:dyDescent="0.2">
      <c r="A266" s="971"/>
      <c r="B266" s="972"/>
      <c r="C266" s="973"/>
      <c r="D266" s="972"/>
      <c r="E266" s="972"/>
      <c r="F266" s="973"/>
      <c r="G266" s="979"/>
      <c r="H266" s="972"/>
      <c r="I266" s="973"/>
      <c r="J266" s="4518"/>
      <c r="K266" s="4521"/>
      <c r="L266" s="4524"/>
      <c r="M266" s="4524"/>
      <c r="N266" s="4526"/>
      <c r="O266" s="4524"/>
      <c r="P266" s="4528"/>
      <c r="Q266" s="4521"/>
      <c r="R266" s="4531"/>
      <c r="S266" s="4534"/>
      <c r="T266" s="4521"/>
      <c r="U266" s="4630"/>
      <c r="V266" s="980" t="s">
        <v>1104</v>
      </c>
      <c r="W266" s="2595">
        <f>40630000+220000000</f>
        <v>260630000</v>
      </c>
      <c r="X266" s="1809">
        <v>37095534</v>
      </c>
      <c r="Y266" s="1809">
        <v>37095534</v>
      </c>
      <c r="Z266" s="1009">
        <v>61</v>
      </c>
      <c r="AA266" s="1065" t="s">
        <v>883</v>
      </c>
      <c r="AB266" s="4641"/>
      <c r="AC266" s="4638"/>
      <c r="AD266" s="4641">
        <v>282326</v>
      </c>
      <c r="AE266" s="4638">
        <f t="shared" si="69"/>
        <v>104460.62</v>
      </c>
      <c r="AF266" s="4641">
        <v>135912</v>
      </c>
      <c r="AG266" s="4638">
        <f t="shared" si="70"/>
        <v>50287.44</v>
      </c>
      <c r="AH266" s="4641">
        <v>45122</v>
      </c>
      <c r="AI266" s="4638">
        <f t="shared" si="71"/>
        <v>16695.14</v>
      </c>
      <c r="AJ266" s="4641">
        <f t="shared" si="72"/>
        <v>307101</v>
      </c>
      <c r="AK266" s="4638">
        <f t="shared" si="73"/>
        <v>113627.37</v>
      </c>
      <c r="AL266" s="4641">
        <f t="shared" si="74"/>
        <v>86875</v>
      </c>
      <c r="AM266" s="4638">
        <f t="shared" si="75"/>
        <v>32143.75</v>
      </c>
      <c r="AN266" s="4641">
        <v>2145</v>
      </c>
      <c r="AO266" s="4638">
        <f t="shared" si="76"/>
        <v>793.65</v>
      </c>
      <c r="AP266" s="4641">
        <v>12718</v>
      </c>
      <c r="AQ266" s="4638">
        <f t="shared" si="77"/>
        <v>4705.66</v>
      </c>
      <c r="AR266" s="4641">
        <v>26</v>
      </c>
      <c r="AS266" s="4638">
        <f t="shared" si="78"/>
        <v>9.6199999999999992</v>
      </c>
      <c r="AT266" s="4641">
        <v>37</v>
      </c>
      <c r="AU266" s="4638">
        <f t="shared" si="79"/>
        <v>13.69</v>
      </c>
      <c r="AV266" s="4641" t="s">
        <v>767</v>
      </c>
      <c r="AW266" s="4638" t="s">
        <v>767</v>
      </c>
      <c r="AX266" s="4641" t="s">
        <v>767</v>
      </c>
      <c r="AY266" s="4638" t="s">
        <v>767</v>
      </c>
      <c r="AZ266" s="4641">
        <v>53164</v>
      </c>
      <c r="BA266" s="4638">
        <f t="shared" si="80"/>
        <v>19670.68</v>
      </c>
      <c r="BB266" s="4641">
        <v>16982</v>
      </c>
      <c r="BC266" s="4638">
        <f t="shared" si="81"/>
        <v>6283.34</v>
      </c>
      <c r="BD266" s="4641">
        <v>60013</v>
      </c>
      <c r="BE266" s="4638">
        <f t="shared" si="82"/>
        <v>22204.81</v>
      </c>
      <c r="BF266" s="4641">
        <v>575010</v>
      </c>
      <c r="BG266" s="4638">
        <f t="shared" si="83"/>
        <v>212753.7</v>
      </c>
      <c r="BH266" s="4524"/>
      <c r="BI266" s="4524"/>
      <c r="BJ266" s="4524"/>
      <c r="BK266" s="3323"/>
      <c r="BL266" s="4524"/>
      <c r="BM266" s="4524"/>
      <c r="BN266" s="4656"/>
      <c r="BO266" s="4554"/>
      <c r="BP266" s="4656"/>
      <c r="BQ266" s="4554"/>
      <c r="BR266" s="4557"/>
    </row>
    <row r="267" spans="1:328" ht="42.75" x14ac:dyDescent="0.2">
      <c r="A267" s="971"/>
      <c r="B267" s="972"/>
      <c r="C267" s="973"/>
      <c r="D267" s="972"/>
      <c r="E267" s="972"/>
      <c r="F267" s="973"/>
      <c r="G267" s="979"/>
      <c r="H267" s="972"/>
      <c r="I267" s="973"/>
      <c r="J267" s="4518"/>
      <c r="K267" s="4521"/>
      <c r="L267" s="4524"/>
      <c r="M267" s="4524"/>
      <c r="N267" s="4526"/>
      <c r="O267" s="4524"/>
      <c r="P267" s="4528"/>
      <c r="Q267" s="4521"/>
      <c r="R267" s="4531"/>
      <c r="S267" s="4534"/>
      <c r="T267" s="4521"/>
      <c r="U267" s="4604" t="s">
        <v>1105</v>
      </c>
      <c r="V267" s="980" t="s">
        <v>1106</v>
      </c>
      <c r="W267" s="2601">
        <v>44000000</v>
      </c>
      <c r="X267" s="1809">
        <v>44000000</v>
      </c>
      <c r="Y267" s="1809">
        <v>40000000</v>
      </c>
      <c r="Z267" s="1009">
        <v>61</v>
      </c>
      <c r="AA267" s="1065" t="s">
        <v>883</v>
      </c>
      <c r="AB267" s="4641"/>
      <c r="AC267" s="4638"/>
      <c r="AD267" s="4641">
        <v>282326</v>
      </c>
      <c r="AE267" s="4638">
        <f t="shared" si="69"/>
        <v>104460.62</v>
      </c>
      <c r="AF267" s="4641">
        <v>135912</v>
      </c>
      <c r="AG267" s="4638">
        <f t="shared" si="70"/>
        <v>50287.44</v>
      </c>
      <c r="AH267" s="4641">
        <v>45122</v>
      </c>
      <c r="AI267" s="4638">
        <f t="shared" si="71"/>
        <v>16695.14</v>
      </c>
      <c r="AJ267" s="4641">
        <f t="shared" si="72"/>
        <v>307101</v>
      </c>
      <c r="AK267" s="4638">
        <f t="shared" si="73"/>
        <v>113627.37</v>
      </c>
      <c r="AL267" s="4641">
        <f t="shared" si="74"/>
        <v>86875</v>
      </c>
      <c r="AM267" s="4638">
        <f t="shared" si="75"/>
        <v>32143.75</v>
      </c>
      <c r="AN267" s="4641">
        <v>2145</v>
      </c>
      <c r="AO267" s="4638">
        <f t="shared" si="76"/>
        <v>793.65</v>
      </c>
      <c r="AP267" s="4641">
        <v>12718</v>
      </c>
      <c r="AQ267" s="4638">
        <f t="shared" si="77"/>
        <v>4705.66</v>
      </c>
      <c r="AR267" s="4641">
        <v>26</v>
      </c>
      <c r="AS267" s="4638">
        <f t="shared" si="78"/>
        <v>9.6199999999999992</v>
      </c>
      <c r="AT267" s="4641">
        <v>37</v>
      </c>
      <c r="AU267" s="4638">
        <f t="shared" si="79"/>
        <v>13.69</v>
      </c>
      <c r="AV267" s="4641" t="s">
        <v>767</v>
      </c>
      <c r="AW267" s="4638" t="s">
        <v>767</v>
      </c>
      <c r="AX267" s="4641" t="s">
        <v>767</v>
      </c>
      <c r="AY267" s="4638" t="s">
        <v>767</v>
      </c>
      <c r="AZ267" s="4641">
        <v>53164</v>
      </c>
      <c r="BA267" s="4638">
        <f t="shared" si="80"/>
        <v>19670.68</v>
      </c>
      <c r="BB267" s="4641">
        <v>16982</v>
      </c>
      <c r="BC267" s="4638">
        <f t="shared" si="81"/>
        <v>6283.34</v>
      </c>
      <c r="BD267" s="4641">
        <v>60013</v>
      </c>
      <c r="BE267" s="4638">
        <f t="shared" si="82"/>
        <v>22204.81</v>
      </c>
      <c r="BF267" s="4641">
        <v>575010</v>
      </c>
      <c r="BG267" s="4638">
        <f t="shared" si="83"/>
        <v>212753.7</v>
      </c>
      <c r="BH267" s="4524"/>
      <c r="BI267" s="4524"/>
      <c r="BJ267" s="4524"/>
      <c r="BK267" s="3323"/>
      <c r="BL267" s="4524"/>
      <c r="BM267" s="4524"/>
      <c r="BN267" s="4656"/>
      <c r="BO267" s="4554"/>
      <c r="BP267" s="4656"/>
      <c r="BQ267" s="4554"/>
      <c r="BR267" s="4557"/>
    </row>
    <row r="268" spans="1:328" ht="42.75" x14ac:dyDescent="0.2">
      <c r="A268" s="971"/>
      <c r="B268" s="972"/>
      <c r="C268" s="973"/>
      <c r="D268" s="972"/>
      <c r="E268" s="972"/>
      <c r="F268" s="973"/>
      <c r="G268" s="979"/>
      <c r="H268" s="972"/>
      <c r="I268" s="973"/>
      <c r="J268" s="4518"/>
      <c r="K268" s="4521"/>
      <c r="L268" s="4524"/>
      <c r="M268" s="4524"/>
      <c r="N268" s="4526"/>
      <c r="O268" s="4524"/>
      <c r="P268" s="4528"/>
      <c r="Q268" s="4521"/>
      <c r="R268" s="4531"/>
      <c r="S268" s="4534"/>
      <c r="T268" s="4521"/>
      <c r="U268" s="4627"/>
      <c r="V268" s="980" t="s">
        <v>1107</v>
      </c>
      <c r="W268" s="2601">
        <v>140470000</v>
      </c>
      <c r="X268" s="1809">
        <v>38160000</v>
      </c>
      <c r="Y268" s="1809">
        <v>12631600</v>
      </c>
      <c r="Z268" s="1009">
        <v>61</v>
      </c>
      <c r="AA268" s="1065" t="s">
        <v>883</v>
      </c>
      <c r="AB268" s="4641"/>
      <c r="AC268" s="4638"/>
      <c r="AD268" s="4641">
        <v>282326</v>
      </c>
      <c r="AE268" s="4638">
        <f t="shared" si="69"/>
        <v>104460.62</v>
      </c>
      <c r="AF268" s="4641">
        <v>135912</v>
      </c>
      <c r="AG268" s="4638">
        <f t="shared" si="70"/>
        <v>50287.44</v>
      </c>
      <c r="AH268" s="4641">
        <v>45122</v>
      </c>
      <c r="AI268" s="4638">
        <f t="shared" si="71"/>
        <v>16695.14</v>
      </c>
      <c r="AJ268" s="4641">
        <f t="shared" si="72"/>
        <v>307101</v>
      </c>
      <c r="AK268" s="4638">
        <f t="shared" si="73"/>
        <v>113627.37</v>
      </c>
      <c r="AL268" s="4641">
        <f t="shared" si="74"/>
        <v>86875</v>
      </c>
      <c r="AM268" s="4638">
        <f t="shared" si="75"/>
        <v>32143.75</v>
      </c>
      <c r="AN268" s="4641">
        <v>2145</v>
      </c>
      <c r="AO268" s="4638">
        <f t="shared" si="76"/>
        <v>793.65</v>
      </c>
      <c r="AP268" s="4641">
        <v>12718</v>
      </c>
      <c r="AQ268" s="4638">
        <f t="shared" si="77"/>
        <v>4705.66</v>
      </c>
      <c r="AR268" s="4641">
        <v>26</v>
      </c>
      <c r="AS268" s="4638">
        <f t="shared" si="78"/>
        <v>9.6199999999999992</v>
      </c>
      <c r="AT268" s="4641">
        <v>37</v>
      </c>
      <c r="AU268" s="4638">
        <f t="shared" si="79"/>
        <v>13.69</v>
      </c>
      <c r="AV268" s="4641" t="s">
        <v>767</v>
      </c>
      <c r="AW268" s="4638" t="s">
        <v>767</v>
      </c>
      <c r="AX268" s="4641" t="s">
        <v>767</v>
      </c>
      <c r="AY268" s="4638" t="s">
        <v>767</v>
      </c>
      <c r="AZ268" s="4641">
        <v>53164</v>
      </c>
      <c r="BA268" s="4638">
        <f t="shared" si="80"/>
        <v>19670.68</v>
      </c>
      <c r="BB268" s="4641">
        <v>16982</v>
      </c>
      <c r="BC268" s="4638">
        <f t="shared" si="81"/>
        <v>6283.34</v>
      </c>
      <c r="BD268" s="4641">
        <v>60013</v>
      </c>
      <c r="BE268" s="4638">
        <f t="shared" si="82"/>
        <v>22204.81</v>
      </c>
      <c r="BF268" s="4641">
        <v>575010</v>
      </c>
      <c r="BG268" s="4638">
        <f t="shared" si="83"/>
        <v>212753.7</v>
      </c>
      <c r="BH268" s="4524"/>
      <c r="BI268" s="4524"/>
      <c r="BJ268" s="4524"/>
      <c r="BK268" s="3323"/>
      <c r="BL268" s="4524"/>
      <c r="BM268" s="4524"/>
      <c r="BN268" s="4656"/>
      <c r="BO268" s="4554"/>
      <c r="BP268" s="4656"/>
      <c r="BQ268" s="4554"/>
      <c r="BR268" s="4557"/>
    </row>
    <row r="269" spans="1:328" ht="32.25" customHeight="1" x14ac:dyDescent="0.2">
      <c r="A269" s="971"/>
      <c r="B269" s="972"/>
      <c r="C269" s="973"/>
      <c r="D269" s="972"/>
      <c r="E269" s="972"/>
      <c r="F269" s="973"/>
      <c r="G269" s="979"/>
      <c r="H269" s="972"/>
      <c r="I269" s="973"/>
      <c r="J269" s="4518"/>
      <c r="K269" s="4521"/>
      <c r="L269" s="4524"/>
      <c r="M269" s="4524"/>
      <c r="N269" s="4526"/>
      <c r="O269" s="4524"/>
      <c r="P269" s="4528"/>
      <c r="Q269" s="4521"/>
      <c r="R269" s="4531"/>
      <c r="S269" s="4534"/>
      <c r="T269" s="4521"/>
      <c r="U269" s="4654" t="s">
        <v>1108</v>
      </c>
      <c r="V269" s="4551" t="s">
        <v>1109</v>
      </c>
      <c r="W269" s="2601">
        <v>88000000</v>
      </c>
      <c r="X269" s="2595">
        <v>88000000</v>
      </c>
      <c r="Y269" s="2595">
        <v>40000000</v>
      </c>
      <c r="Z269" s="1009">
        <v>61</v>
      </c>
      <c r="AA269" s="1065" t="s">
        <v>883</v>
      </c>
      <c r="AB269" s="4641"/>
      <c r="AC269" s="4638"/>
      <c r="AD269" s="4641">
        <v>282326</v>
      </c>
      <c r="AE269" s="4638">
        <f t="shared" si="69"/>
        <v>104460.62</v>
      </c>
      <c r="AF269" s="4641">
        <v>135912</v>
      </c>
      <c r="AG269" s="4638">
        <f t="shared" si="70"/>
        <v>50287.44</v>
      </c>
      <c r="AH269" s="4641">
        <v>45122</v>
      </c>
      <c r="AI269" s="4638">
        <f t="shared" si="71"/>
        <v>16695.14</v>
      </c>
      <c r="AJ269" s="4641">
        <f t="shared" si="72"/>
        <v>307101</v>
      </c>
      <c r="AK269" s="4638">
        <f t="shared" si="73"/>
        <v>113627.37</v>
      </c>
      <c r="AL269" s="4641">
        <f t="shared" si="74"/>
        <v>86875</v>
      </c>
      <c r="AM269" s="4638">
        <f t="shared" si="75"/>
        <v>32143.75</v>
      </c>
      <c r="AN269" s="4641">
        <v>2145</v>
      </c>
      <c r="AO269" s="4638">
        <f t="shared" si="76"/>
        <v>793.65</v>
      </c>
      <c r="AP269" s="4641">
        <v>12718</v>
      </c>
      <c r="AQ269" s="4638">
        <f t="shared" si="77"/>
        <v>4705.66</v>
      </c>
      <c r="AR269" s="4641">
        <v>26</v>
      </c>
      <c r="AS269" s="4638">
        <f t="shared" si="78"/>
        <v>9.6199999999999992</v>
      </c>
      <c r="AT269" s="4641">
        <v>37</v>
      </c>
      <c r="AU269" s="4638">
        <f t="shared" si="79"/>
        <v>13.69</v>
      </c>
      <c r="AV269" s="4641" t="s">
        <v>767</v>
      </c>
      <c r="AW269" s="4638" t="s">
        <v>767</v>
      </c>
      <c r="AX269" s="4641" t="s">
        <v>767</v>
      </c>
      <c r="AY269" s="4638" t="s">
        <v>767</v>
      </c>
      <c r="AZ269" s="4641">
        <v>53164</v>
      </c>
      <c r="BA269" s="4638">
        <f t="shared" si="80"/>
        <v>19670.68</v>
      </c>
      <c r="BB269" s="4641">
        <v>16982</v>
      </c>
      <c r="BC269" s="4638">
        <f t="shared" si="81"/>
        <v>6283.34</v>
      </c>
      <c r="BD269" s="4641">
        <v>60013</v>
      </c>
      <c r="BE269" s="4638">
        <f t="shared" si="82"/>
        <v>22204.81</v>
      </c>
      <c r="BF269" s="4641">
        <v>575010</v>
      </c>
      <c r="BG269" s="4638">
        <f t="shared" si="83"/>
        <v>212753.7</v>
      </c>
      <c r="BH269" s="4524"/>
      <c r="BI269" s="4524"/>
      <c r="BJ269" s="4524"/>
      <c r="BK269" s="3323"/>
      <c r="BL269" s="4524"/>
      <c r="BM269" s="4524"/>
      <c r="BN269" s="4656"/>
      <c r="BO269" s="4554"/>
      <c r="BP269" s="4656"/>
      <c r="BQ269" s="4554"/>
      <c r="BR269" s="4557"/>
    </row>
    <row r="270" spans="1:328" ht="33.75" customHeight="1" x14ac:dyDescent="0.2">
      <c r="A270" s="971"/>
      <c r="B270" s="972"/>
      <c r="C270" s="973"/>
      <c r="D270" s="972"/>
      <c r="E270" s="972"/>
      <c r="F270" s="973"/>
      <c r="G270" s="979"/>
      <c r="H270" s="972"/>
      <c r="I270" s="973"/>
      <c r="J270" s="4519"/>
      <c r="K270" s="4522"/>
      <c r="L270" s="4525"/>
      <c r="M270" s="4525"/>
      <c r="N270" s="4526"/>
      <c r="O270" s="4525"/>
      <c r="P270" s="4529"/>
      <c r="Q270" s="4522"/>
      <c r="R270" s="4532"/>
      <c r="S270" s="4535"/>
      <c r="T270" s="4522"/>
      <c r="U270" s="4655"/>
      <c r="V270" s="4552"/>
      <c r="W270" s="2595">
        <v>57233390</v>
      </c>
      <c r="X270" s="2595">
        <v>0</v>
      </c>
      <c r="Y270" s="2595">
        <v>0</v>
      </c>
      <c r="Z270" s="1009">
        <v>96</v>
      </c>
      <c r="AA270" s="1066" t="s">
        <v>1110</v>
      </c>
      <c r="AB270" s="4642"/>
      <c r="AC270" s="4639"/>
      <c r="AD270" s="4642">
        <v>282326</v>
      </c>
      <c r="AE270" s="4639">
        <f t="shared" si="69"/>
        <v>104460.62</v>
      </c>
      <c r="AF270" s="4642">
        <v>135912</v>
      </c>
      <c r="AG270" s="4639">
        <f t="shared" si="70"/>
        <v>50287.44</v>
      </c>
      <c r="AH270" s="4642">
        <v>45122</v>
      </c>
      <c r="AI270" s="4639">
        <f t="shared" si="71"/>
        <v>16695.14</v>
      </c>
      <c r="AJ270" s="4642">
        <f t="shared" si="72"/>
        <v>307101</v>
      </c>
      <c r="AK270" s="4639">
        <f t="shared" si="73"/>
        <v>113627.37</v>
      </c>
      <c r="AL270" s="4642">
        <f t="shared" si="74"/>
        <v>86875</v>
      </c>
      <c r="AM270" s="4639">
        <f t="shared" si="75"/>
        <v>32143.75</v>
      </c>
      <c r="AN270" s="4642">
        <v>2145</v>
      </c>
      <c r="AO270" s="4639">
        <f t="shared" si="76"/>
        <v>793.65</v>
      </c>
      <c r="AP270" s="4642">
        <v>12718</v>
      </c>
      <c r="AQ270" s="4639">
        <f t="shared" si="77"/>
        <v>4705.66</v>
      </c>
      <c r="AR270" s="4642">
        <v>26</v>
      </c>
      <c r="AS270" s="4639">
        <f t="shared" si="78"/>
        <v>9.6199999999999992</v>
      </c>
      <c r="AT270" s="4642">
        <v>37</v>
      </c>
      <c r="AU270" s="4639">
        <f t="shared" si="79"/>
        <v>13.69</v>
      </c>
      <c r="AV270" s="4642" t="s">
        <v>767</v>
      </c>
      <c r="AW270" s="4639" t="s">
        <v>767</v>
      </c>
      <c r="AX270" s="4642" t="s">
        <v>767</v>
      </c>
      <c r="AY270" s="4639" t="s">
        <v>767</v>
      </c>
      <c r="AZ270" s="4642">
        <v>53164</v>
      </c>
      <c r="BA270" s="4639">
        <f t="shared" si="80"/>
        <v>19670.68</v>
      </c>
      <c r="BB270" s="4642">
        <v>16982</v>
      </c>
      <c r="BC270" s="4639">
        <f t="shared" si="81"/>
        <v>6283.34</v>
      </c>
      <c r="BD270" s="4642">
        <v>60013</v>
      </c>
      <c r="BE270" s="4639">
        <f t="shared" si="82"/>
        <v>22204.81</v>
      </c>
      <c r="BF270" s="4642">
        <v>575010</v>
      </c>
      <c r="BG270" s="4639">
        <f t="shared" si="83"/>
        <v>212753.7</v>
      </c>
      <c r="BH270" s="4525"/>
      <c r="BI270" s="4525"/>
      <c r="BJ270" s="4525"/>
      <c r="BK270" s="3324"/>
      <c r="BL270" s="4525"/>
      <c r="BM270" s="4525"/>
      <c r="BN270" s="4656"/>
      <c r="BO270" s="4555"/>
      <c r="BP270" s="4656"/>
      <c r="BQ270" s="4555"/>
      <c r="BR270" s="4558"/>
    </row>
    <row r="271" spans="1:328" s="1007" customFormat="1" ht="47.25" customHeight="1" x14ac:dyDescent="0.2">
      <c r="A271" s="971"/>
      <c r="B271" s="972"/>
      <c r="C271" s="973"/>
      <c r="D271" s="972"/>
      <c r="E271" s="972"/>
      <c r="F271" s="973"/>
      <c r="G271" s="979"/>
      <c r="H271" s="972"/>
      <c r="I271" s="973"/>
      <c r="J271" s="4517">
        <v>161</v>
      </c>
      <c r="K271" s="4520" t="s">
        <v>1111</v>
      </c>
      <c r="L271" s="4523" t="s">
        <v>759</v>
      </c>
      <c r="M271" s="4523">
        <v>100</v>
      </c>
      <c r="N271" s="4526">
        <v>66</v>
      </c>
      <c r="O271" s="4523" t="s">
        <v>1112</v>
      </c>
      <c r="P271" s="4527" t="s">
        <v>1113</v>
      </c>
      <c r="Q271" s="4520" t="s">
        <v>1114</v>
      </c>
      <c r="R271" s="4530">
        <f>SUM(W271:W276)/S271</f>
        <v>0.25432610708385361</v>
      </c>
      <c r="S271" s="4533">
        <f>SUM(W271:W282)</f>
        <v>412466385</v>
      </c>
      <c r="T271" s="4520" t="s">
        <v>1115</v>
      </c>
      <c r="U271" s="4520" t="s">
        <v>1116</v>
      </c>
      <c r="V271" s="980" t="s">
        <v>1117</v>
      </c>
      <c r="W271" s="2301">
        <v>15000000</v>
      </c>
      <c r="X271" s="1809">
        <v>15000000</v>
      </c>
      <c r="Y271" s="1809">
        <v>13926600</v>
      </c>
      <c r="Z271" s="1009">
        <v>61</v>
      </c>
      <c r="AA271" s="1058" t="s">
        <v>975</v>
      </c>
      <c r="AB271" s="4523">
        <v>292684</v>
      </c>
      <c r="AC271" s="4637">
        <f>SUM(AB271*0.57)</f>
        <v>166829.87999999998</v>
      </c>
      <c r="AD271" s="4523">
        <v>282326</v>
      </c>
      <c r="AE271" s="4637">
        <f t="shared" ref="AE271:AE282" si="84">SUM(AD271*0.57)</f>
        <v>160925.81999999998</v>
      </c>
      <c r="AF271" s="4523">
        <v>135912</v>
      </c>
      <c r="AG271" s="4637">
        <f t="shared" ref="AG271:AG282" si="85">SUM(AF271*0.57)</f>
        <v>77469.84</v>
      </c>
      <c r="AH271" s="4523">
        <v>45122</v>
      </c>
      <c r="AI271" s="4637">
        <f t="shared" ref="AI271:AI282" si="86">SUM(AH271*0.57)</f>
        <v>25719.539999999997</v>
      </c>
      <c r="AJ271" s="4523">
        <v>307101</v>
      </c>
      <c r="AK271" s="4637">
        <v>175047.56999999998</v>
      </c>
      <c r="AL271" s="4523">
        <v>86875</v>
      </c>
      <c r="AM271" s="4637">
        <v>49518.749999999993</v>
      </c>
      <c r="AN271" s="4523">
        <v>2145</v>
      </c>
      <c r="AO271" s="4637">
        <f t="shared" ref="AO271:AO282" si="87">SUM(AN271*0.57)</f>
        <v>1222.6499999999999</v>
      </c>
      <c r="AP271" s="4523">
        <v>12718</v>
      </c>
      <c r="AQ271" s="4637">
        <f t="shared" ref="AQ271:AQ282" si="88">SUM(AP271*0.57)</f>
        <v>7249.2599999999993</v>
      </c>
      <c r="AR271" s="4523">
        <v>26</v>
      </c>
      <c r="AS271" s="4637">
        <f t="shared" ref="AS271:AS282" si="89">SUM(AR271*0.57)</f>
        <v>14.819999999999999</v>
      </c>
      <c r="AT271" s="4523">
        <v>37</v>
      </c>
      <c r="AU271" s="4637">
        <f t="shared" ref="AU271:AU282" si="90">SUM(AT271*0.57)</f>
        <v>21.09</v>
      </c>
      <c r="AV271" s="4523" t="s">
        <v>767</v>
      </c>
      <c r="AW271" s="4637" t="s">
        <v>767</v>
      </c>
      <c r="AX271" s="4523" t="s">
        <v>767</v>
      </c>
      <c r="AY271" s="4637" t="s">
        <v>767</v>
      </c>
      <c r="AZ271" s="4523">
        <v>53164</v>
      </c>
      <c r="BA271" s="4637">
        <f t="shared" ref="BA271:BA282" si="91">SUM(AZ271*0.57)</f>
        <v>30303.479999999996</v>
      </c>
      <c r="BB271" s="4523">
        <v>16982</v>
      </c>
      <c r="BC271" s="4637">
        <f t="shared" ref="BC271:BC282" si="92">SUM(BB271*0.57)</f>
        <v>9679.74</v>
      </c>
      <c r="BD271" s="4523">
        <v>60013</v>
      </c>
      <c r="BE271" s="4637">
        <f t="shared" ref="BE271:BE282" si="93">SUM(BD271*0.57)</f>
        <v>34207.409999999996</v>
      </c>
      <c r="BF271" s="4523">
        <v>575010</v>
      </c>
      <c r="BG271" s="4637">
        <f t="shared" ref="BG271:BG282" si="94">SUM(BF271*0.57)</f>
        <v>327755.69999999995</v>
      </c>
      <c r="BH271" s="4542">
        <v>22</v>
      </c>
      <c r="BI271" s="4568">
        <f>SUM(X271:X282)</f>
        <v>240525000</v>
      </c>
      <c r="BJ271" s="4568">
        <f>SUM(Y271:Y282)</f>
        <v>176420000</v>
      </c>
      <c r="BK271" s="3184">
        <f>+BJ271/BI271</f>
        <v>0.73347884835256205</v>
      </c>
      <c r="BL271" s="4542" t="s">
        <v>768</v>
      </c>
      <c r="BM271" s="4542" t="s">
        <v>769</v>
      </c>
      <c r="BN271" s="4553">
        <v>43467</v>
      </c>
      <c r="BO271" s="4553">
        <v>43830</v>
      </c>
      <c r="BP271" s="4553">
        <v>43830</v>
      </c>
      <c r="BQ271" s="4553" t="s">
        <v>1118</v>
      </c>
      <c r="BR271" s="4556" t="s">
        <v>770</v>
      </c>
      <c r="BS271" s="946"/>
      <c r="BT271" s="946"/>
      <c r="BU271" s="946"/>
      <c r="BV271" s="946"/>
      <c r="BW271" s="946"/>
      <c r="BX271" s="946"/>
      <c r="BY271" s="946"/>
      <c r="BZ271" s="946"/>
      <c r="CA271" s="946"/>
      <c r="CB271" s="946"/>
      <c r="CC271" s="946"/>
      <c r="CD271" s="946"/>
      <c r="CE271" s="946"/>
      <c r="CF271" s="946"/>
      <c r="CG271" s="946"/>
      <c r="CH271" s="946"/>
      <c r="CI271" s="946"/>
      <c r="CJ271" s="946"/>
      <c r="CK271" s="946"/>
      <c r="CL271" s="946"/>
      <c r="CM271" s="946"/>
      <c r="CN271" s="946"/>
      <c r="CO271" s="946"/>
      <c r="CP271" s="946"/>
      <c r="CQ271" s="946"/>
      <c r="CR271" s="946"/>
      <c r="CS271" s="946"/>
      <c r="CT271" s="946"/>
      <c r="CU271" s="946"/>
      <c r="CV271" s="946"/>
      <c r="CW271" s="946"/>
      <c r="CX271" s="946"/>
      <c r="CY271" s="946"/>
      <c r="CZ271" s="946"/>
      <c r="DA271" s="946"/>
      <c r="DB271" s="946"/>
      <c r="DC271" s="946"/>
      <c r="DD271" s="946"/>
      <c r="DE271" s="946"/>
      <c r="DF271" s="946"/>
      <c r="DG271" s="946"/>
      <c r="DH271" s="946"/>
      <c r="DI271" s="946"/>
      <c r="DJ271" s="946"/>
      <c r="DK271" s="946"/>
      <c r="DL271" s="946"/>
      <c r="DM271" s="946"/>
      <c r="DN271" s="946"/>
      <c r="DO271" s="946"/>
      <c r="DP271" s="946"/>
      <c r="DQ271" s="946"/>
      <c r="DR271" s="946"/>
      <c r="DS271" s="946"/>
      <c r="DT271" s="946"/>
      <c r="DU271" s="946"/>
      <c r="DV271" s="946"/>
      <c r="DW271" s="946"/>
      <c r="DX271" s="946"/>
      <c r="DY271" s="946"/>
      <c r="DZ271" s="946"/>
      <c r="EA271" s="946"/>
      <c r="EB271" s="946"/>
      <c r="EC271" s="946"/>
      <c r="ED271" s="946"/>
      <c r="EE271" s="946"/>
      <c r="EF271" s="946"/>
      <c r="EG271" s="946"/>
      <c r="EH271" s="946"/>
      <c r="EI271" s="946"/>
      <c r="EJ271" s="946"/>
      <c r="EK271" s="946"/>
      <c r="EL271" s="946"/>
      <c r="EM271" s="946"/>
      <c r="EN271" s="946"/>
      <c r="EO271" s="946"/>
      <c r="EP271" s="946"/>
      <c r="EQ271" s="946"/>
      <c r="ER271" s="946"/>
      <c r="ES271" s="946"/>
      <c r="ET271" s="946"/>
      <c r="EU271" s="946"/>
      <c r="EV271" s="946"/>
      <c r="EW271" s="946"/>
      <c r="EX271" s="946"/>
      <c r="EY271" s="946"/>
      <c r="EZ271" s="946"/>
      <c r="FA271" s="946"/>
      <c r="FB271" s="946"/>
      <c r="FC271" s="946"/>
      <c r="FD271" s="946"/>
      <c r="FE271" s="946"/>
      <c r="FF271" s="946"/>
      <c r="FG271" s="946"/>
      <c r="FH271" s="946"/>
      <c r="FI271" s="946"/>
      <c r="FJ271" s="946"/>
      <c r="FK271" s="946"/>
      <c r="FL271" s="946"/>
      <c r="FM271" s="946"/>
      <c r="FN271" s="946"/>
      <c r="FO271" s="946"/>
      <c r="FP271" s="946"/>
      <c r="FQ271" s="946"/>
      <c r="FR271" s="946"/>
      <c r="FS271" s="946"/>
      <c r="FT271" s="946"/>
      <c r="FU271" s="946"/>
      <c r="FV271" s="946"/>
      <c r="FW271" s="946"/>
      <c r="FX271" s="946"/>
      <c r="FY271" s="946"/>
      <c r="FZ271" s="946"/>
      <c r="GA271" s="946"/>
      <c r="GB271" s="946"/>
      <c r="GC271" s="946"/>
      <c r="GD271" s="946"/>
      <c r="GE271" s="946"/>
      <c r="GF271" s="946"/>
      <c r="GG271" s="946"/>
      <c r="GH271" s="946"/>
      <c r="GI271" s="946"/>
      <c r="GJ271" s="946"/>
      <c r="GK271" s="946"/>
      <c r="GL271" s="946"/>
      <c r="GM271" s="946"/>
      <c r="GN271" s="946"/>
      <c r="GO271" s="946"/>
      <c r="GP271" s="946"/>
      <c r="GQ271" s="946"/>
      <c r="GR271" s="946"/>
      <c r="GS271" s="946"/>
      <c r="GT271" s="946"/>
      <c r="GU271" s="946"/>
      <c r="GV271" s="946"/>
      <c r="GW271" s="946"/>
      <c r="GX271" s="946"/>
      <c r="GY271" s="946"/>
      <c r="GZ271" s="946"/>
      <c r="HA271" s="946"/>
      <c r="HB271" s="946"/>
      <c r="HC271" s="946"/>
      <c r="HD271" s="946"/>
      <c r="HE271" s="946"/>
      <c r="HF271" s="946"/>
      <c r="HG271" s="946"/>
      <c r="HH271" s="946"/>
      <c r="HI271" s="946"/>
      <c r="HJ271" s="946"/>
      <c r="HK271" s="946"/>
      <c r="HL271" s="946"/>
      <c r="HM271" s="946"/>
      <c r="HN271" s="946"/>
      <c r="HO271" s="946"/>
      <c r="HP271" s="946"/>
      <c r="HQ271" s="946"/>
      <c r="HR271" s="946"/>
      <c r="HS271" s="946"/>
      <c r="HT271" s="946"/>
      <c r="HU271" s="946"/>
      <c r="HV271" s="946"/>
      <c r="HW271" s="946"/>
      <c r="HX271" s="946"/>
      <c r="HY271" s="946"/>
      <c r="HZ271" s="946"/>
      <c r="IA271" s="946"/>
      <c r="IB271" s="946"/>
      <c r="IC271" s="946"/>
      <c r="ID271" s="946"/>
      <c r="IE271" s="946"/>
      <c r="IF271" s="946"/>
      <c r="IG271" s="946"/>
      <c r="IH271" s="946"/>
      <c r="II271" s="946"/>
      <c r="IJ271" s="946"/>
      <c r="IK271" s="946"/>
      <c r="IL271" s="946"/>
      <c r="IM271" s="946"/>
      <c r="IN271" s="946"/>
      <c r="IO271" s="946"/>
      <c r="IP271" s="946"/>
      <c r="IQ271" s="946"/>
      <c r="IR271" s="946"/>
      <c r="IS271" s="946"/>
      <c r="IT271" s="946"/>
      <c r="IU271" s="946"/>
      <c r="IV271" s="946"/>
      <c r="IW271" s="946"/>
      <c r="IX271" s="946"/>
      <c r="IY271" s="946"/>
      <c r="IZ271" s="946"/>
      <c r="JA271" s="946"/>
      <c r="JB271" s="946"/>
      <c r="JC271" s="946"/>
      <c r="JD271" s="946"/>
      <c r="JE271" s="946"/>
      <c r="JF271" s="946"/>
      <c r="JG271" s="946"/>
      <c r="JH271" s="946"/>
      <c r="JI271" s="946"/>
      <c r="JJ271" s="946"/>
      <c r="JK271" s="946"/>
      <c r="JL271" s="946"/>
      <c r="JM271" s="946"/>
      <c r="JN271" s="946"/>
      <c r="JO271" s="946"/>
      <c r="JP271" s="946"/>
      <c r="JQ271" s="946"/>
      <c r="JR271" s="946"/>
      <c r="JS271" s="946"/>
      <c r="JT271" s="946"/>
      <c r="JU271" s="946"/>
      <c r="JV271" s="946"/>
      <c r="JW271" s="946"/>
      <c r="JX271" s="946"/>
      <c r="JY271" s="946"/>
      <c r="JZ271" s="946"/>
      <c r="KA271" s="946"/>
      <c r="KB271" s="946"/>
      <c r="KC271" s="946"/>
      <c r="KD271" s="946"/>
      <c r="KE271" s="946"/>
      <c r="KF271" s="946"/>
      <c r="KG271" s="946"/>
      <c r="KH271" s="946"/>
      <c r="KI271" s="946"/>
      <c r="KJ271" s="946"/>
      <c r="KK271" s="946"/>
      <c r="KL271" s="946"/>
      <c r="KM271" s="946"/>
      <c r="KN271" s="946"/>
      <c r="KO271" s="946"/>
      <c r="KP271" s="946"/>
      <c r="KQ271" s="946"/>
      <c r="KR271" s="946"/>
      <c r="KS271" s="946"/>
      <c r="KT271" s="946"/>
      <c r="KU271" s="946"/>
      <c r="KV271" s="946"/>
      <c r="KW271" s="946"/>
      <c r="KX271" s="946"/>
      <c r="KY271" s="946"/>
      <c r="KZ271" s="946"/>
      <c r="LA271" s="946"/>
      <c r="LB271" s="946"/>
      <c r="LC271" s="946"/>
      <c r="LD271" s="946"/>
      <c r="LE271" s="946"/>
      <c r="LF271" s="946"/>
      <c r="LG271" s="946"/>
      <c r="LH271" s="946"/>
      <c r="LI271" s="946"/>
      <c r="LJ271" s="946"/>
      <c r="LK271" s="946"/>
      <c r="LL271" s="946"/>
      <c r="LM271" s="946"/>
      <c r="LN271" s="946"/>
      <c r="LO271" s="946"/>
      <c r="LP271" s="946"/>
    </row>
    <row r="272" spans="1:328" s="1007" customFormat="1" ht="34.5" customHeight="1" x14ac:dyDescent="0.2">
      <c r="A272" s="971"/>
      <c r="B272" s="972"/>
      <c r="C272" s="973"/>
      <c r="D272" s="972"/>
      <c r="E272" s="972"/>
      <c r="F272" s="973"/>
      <c r="G272" s="979"/>
      <c r="H272" s="972"/>
      <c r="I272" s="973"/>
      <c r="J272" s="4518"/>
      <c r="K272" s="4521"/>
      <c r="L272" s="4524"/>
      <c r="M272" s="4524"/>
      <c r="N272" s="4526"/>
      <c r="O272" s="4524"/>
      <c r="P272" s="4528"/>
      <c r="Q272" s="4521"/>
      <c r="R272" s="4531"/>
      <c r="S272" s="4534"/>
      <c r="T272" s="4521"/>
      <c r="U272" s="4521"/>
      <c r="V272" s="4551" t="s">
        <v>1119</v>
      </c>
      <c r="W272" s="2300">
        <v>25000000</v>
      </c>
      <c r="X272" s="1809">
        <v>19987500</v>
      </c>
      <c r="Y272" s="1809">
        <v>13926600</v>
      </c>
      <c r="Z272" s="1009">
        <v>61</v>
      </c>
      <c r="AA272" s="1062" t="s">
        <v>975</v>
      </c>
      <c r="AB272" s="4524"/>
      <c r="AC272" s="4638"/>
      <c r="AD272" s="4524">
        <v>282326</v>
      </c>
      <c r="AE272" s="4638">
        <f t="shared" si="84"/>
        <v>160925.81999999998</v>
      </c>
      <c r="AF272" s="4524">
        <v>135912</v>
      </c>
      <c r="AG272" s="4638">
        <f t="shared" si="85"/>
        <v>77469.84</v>
      </c>
      <c r="AH272" s="4524">
        <v>45122</v>
      </c>
      <c r="AI272" s="4638">
        <f t="shared" si="86"/>
        <v>25719.539999999997</v>
      </c>
      <c r="AJ272" s="4524">
        <v>307101</v>
      </c>
      <c r="AK272" s="4638">
        <v>175047.56999999998</v>
      </c>
      <c r="AL272" s="4524">
        <v>86875</v>
      </c>
      <c r="AM272" s="4638">
        <v>49518.749999999993</v>
      </c>
      <c r="AN272" s="4524">
        <v>2145</v>
      </c>
      <c r="AO272" s="4638">
        <f t="shared" si="87"/>
        <v>1222.6499999999999</v>
      </c>
      <c r="AP272" s="4524">
        <v>12718</v>
      </c>
      <c r="AQ272" s="4638">
        <f t="shared" si="88"/>
        <v>7249.2599999999993</v>
      </c>
      <c r="AR272" s="4524">
        <v>26</v>
      </c>
      <c r="AS272" s="4638">
        <f t="shared" si="89"/>
        <v>14.819999999999999</v>
      </c>
      <c r="AT272" s="4524">
        <v>37</v>
      </c>
      <c r="AU272" s="4638">
        <f t="shared" si="90"/>
        <v>21.09</v>
      </c>
      <c r="AV272" s="4524" t="s">
        <v>767</v>
      </c>
      <c r="AW272" s="4638" t="s">
        <v>767</v>
      </c>
      <c r="AX272" s="4524" t="s">
        <v>767</v>
      </c>
      <c r="AY272" s="4638" t="s">
        <v>767</v>
      </c>
      <c r="AZ272" s="4524">
        <v>53164</v>
      </c>
      <c r="BA272" s="4638">
        <f t="shared" si="91"/>
        <v>30303.479999999996</v>
      </c>
      <c r="BB272" s="4524">
        <v>16982</v>
      </c>
      <c r="BC272" s="4638">
        <f t="shared" si="92"/>
        <v>9679.74</v>
      </c>
      <c r="BD272" s="4524">
        <v>60013</v>
      </c>
      <c r="BE272" s="4638">
        <f t="shared" si="93"/>
        <v>34207.409999999996</v>
      </c>
      <c r="BF272" s="4524">
        <v>575010</v>
      </c>
      <c r="BG272" s="4638">
        <f t="shared" si="94"/>
        <v>327755.69999999995</v>
      </c>
      <c r="BH272" s="4543"/>
      <c r="BI272" s="4543"/>
      <c r="BJ272" s="4543"/>
      <c r="BK272" s="3185"/>
      <c r="BL272" s="4543"/>
      <c r="BM272" s="4543"/>
      <c r="BN272" s="4554"/>
      <c r="BO272" s="4554"/>
      <c r="BP272" s="4554"/>
      <c r="BQ272" s="4554"/>
      <c r="BR272" s="4557"/>
      <c r="BS272" s="946"/>
      <c r="BT272" s="946"/>
      <c r="BU272" s="946"/>
      <c r="BV272" s="946"/>
      <c r="BW272" s="946"/>
      <c r="BX272" s="946"/>
      <c r="BY272" s="946"/>
      <c r="BZ272" s="946"/>
      <c r="CA272" s="946"/>
      <c r="CB272" s="946"/>
      <c r="CC272" s="946"/>
      <c r="CD272" s="946"/>
      <c r="CE272" s="946"/>
      <c r="CF272" s="946"/>
      <c r="CG272" s="946"/>
      <c r="CH272" s="946"/>
      <c r="CI272" s="946"/>
      <c r="CJ272" s="946"/>
      <c r="CK272" s="946"/>
      <c r="CL272" s="946"/>
      <c r="CM272" s="946"/>
      <c r="CN272" s="946"/>
      <c r="CO272" s="946"/>
      <c r="CP272" s="946"/>
      <c r="CQ272" s="946"/>
      <c r="CR272" s="946"/>
      <c r="CS272" s="946"/>
      <c r="CT272" s="946"/>
      <c r="CU272" s="946"/>
      <c r="CV272" s="946"/>
      <c r="CW272" s="946"/>
      <c r="CX272" s="946"/>
      <c r="CY272" s="946"/>
      <c r="CZ272" s="946"/>
      <c r="DA272" s="946"/>
      <c r="DB272" s="946"/>
      <c r="DC272" s="946"/>
      <c r="DD272" s="946"/>
      <c r="DE272" s="946"/>
      <c r="DF272" s="946"/>
      <c r="DG272" s="946"/>
      <c r="DH272" s="946"/>
      <c r="DI272" s="946"/>
      <c r="DJ272" s="946"/>
      <c r="DK272" s="946"/>
      <c r="DL272" s="946"/>
      <c r="DM272" s="946"/>
      <c r="DN272" s="946"/>
      <c r="DO272" s="946"/>
      <c r="DP272" s="946"/>
      <c r="DQ272" s="946"/>
      <c r="DR272" s="946"/>
      <c r="DS272" s="946"/>
      <c r="DT272" s="946"/>
      <c r="DU272" s="946"/>
      <c r="DV272" s="946"/>
      <c r="DW272" s="946"/>
      <c r="DX272" s="946"/>
      <c r="DY272" s="946"/>
      <c r="DZ272" s="946"/>
      <c r="EA272" s="946"/>
      <c r="EB272" s="946"/>
      <c r="EC272" s="946"/>
      <c r="ED272" s="946"/>
      <c r="EE272" s="946"/>
      <c r="EF272" s="946"/>
      <c r="EG272" s="946"/>
      <c r="EH272" s="946"/>
      <c r="EI272" s="946"/>
      <c r="EJ272" s="946"/>
      <c r="EK272" s="946"/>
      <c r="EL272" s="946"/>
      <c r="EM272" s="946"/>
      <c r="EN272" s="946"/>
      <c r="EO272" s="946"/>
      <c r="EP272" s="946"/>
      <c r="EQ272" s="946"/>
      <c r="ER272" s="946"/>
      <c r="ES272" s="946"/>
      <c r="ET272" s="946"/>
      <c r="EU272" s="946"/>
      <c r="EV272" s="946"/>
      <c r="EW272" s="946"/>
      <c r="EX272" s="946"/>
      <c r="EY272" s="946"/>
      <c r="EZ272" s="946"/>
      <c r="FA272" s="946"/>
      <c r="FB272" s="946"/>
      <c r="FC272" s="946"/>
      <c r="FD272" s="946"/>
      <c r="FE272" s="946"/>
      <c r="FF272" s="946"/>
      <c r="FG272" s="946"/>
      <c r="FH272" s="946"/>
      <c r="FI272" s="946"/>
      <c r="FJ272" s="946"/>
      <c r="FK272" s="946"/>
      <c r="FL272" s="946"/>
      <c r="FM272" s="946"/>
      <c r="FN272" s="946"/>
      <c r="FO272" s="946"/>
      <c r="FP272" s="946"/>
      <c r="FQ272" s="946"/>
      <c r="FR272" s="946"/>
      <c r="FS272" s="946"/>
      <c r="FT272" s="946"/>
      <c r="FU272" s="946"/>
      <c r="FV272" s="946"/>
      <c r="FW272" s="946"/>
      <c r="FX272" s="946"/>
      <c r="FY272" s="946"/>
      <c r="FZ272" s="946"/>
      <c r="GA272" s="946"/>
      <c r="GB272" s="946"/>
      <c r="GC272" s="946"/>
      <c r="GD272" s="946"/>
      <c r="GE272" s="946"/>
      <c r="GF272" s="946"/>
      <c r="GG272" s="946"/>
      <c r="GH272" s="946"/>
      <c r="GI272" s="946"/>
      <c r="GJ272" s="946"/>
      <c r="GK272" s="946"/>
      <c r="GL272" s="946"/>
      <c r="GM272" s="946"/>
      <c r="GN272" s="946"/>
      <c r="GO272" s="946"/>
      <c r="GP272" s="946"/>
      <c r="GQ272" s="946"/>
      <c r="GR272" s="946"/>
      <c r="GS272" s="946"/>
      <c r="GT272" s="946"/>
      <c r="GU272" s="946"/>
      <c r="GV272" s="946"/>
      <c r="GW272" s="946"/>
      <c r="GX272" s="946"/>
      <c r="GY272" s="946"/>
      <c r="GZ272" s="946"/>
      <c r="HA272" s="946"/>
      <c r="HB272" s="946"/>
      <c r="HC272" s="946"/>
      <c r="HD272" s="946"/>
      <c r="HE272" s="946"/>
      <c r="HF272" s="946"/>
      <c r="HG272" s="946"/>
      <c r="HH272" s="946"/>
      <c r="HI272" s="946"/>
      <c r="HJ272" s="946"/>
      <c r="HK272" s="946"/>
      <c r="HL272" s="946"/>
      <c r="HM272" s="946"/>
      <c r="HN272" s="946"/>
      <c r="HO272" s="946"/>
      <c r="HP272" s="946"/>
      <c r="HQ272" s="946"/>
      <c r="HR272" s="946"/>
      <c r="HS272" s="946"/>
      <c r="HT272" s="946"/>
      <c r="HU272" s="946"/>
      <c r="HV272" s="946"/>
      <c r="HW272" s="946"/>
      <c r="HX272" s="946"/>
      <c r="HY272" s="946"/>
      <c r="HZ272" s="946"/>
      <c r="IA272" s="946"/>
      <c r="IB272" s="946"/>
      <c r="IC272" s="946"/>
      <c r="ID272" s="946"/>
      <c r="IE272" s="946"/>
      <c r="IF272" s="946"/>
      <c r="IG272" s="946"/>
      <c r="IH272" s="946"/>
      <c r="II272" s="946"/>
      <c r="IJ272" s="946"/>
      <c r="IK272" s="946"/>
      <c r="IL272" s="946"/>
      <c r="IM272" s="946"/>
      <c r="IN272" s="946"/>
      <c r="IO272" s="946"/>
      <c r="IP272" s="946"/>
      <c r="IQ272" s="946"/>
      <c r="IR272" s="946"/>
      <c r="IS272" s="946"/>
      <c r="IT272" s="946"/>
      <c r="IU272" s="946"/>
      <c r="IV272" s="946"/>
      <c r="IW272" s="946"/>
      <c r="IX272" s="946"/>
      <c r="IY272" s="946"/>
      <c r="IZ272" s="946"/>
      <c r="JA272" s="946"/>
      <c r="JB272" s="946"/>
      <c r="JC272" s="946"/>
      <c r="JD272" s="946"/>
      <c r="JE272" s="946"/>
      <c r="JF272" s="946"/>
      <c r="JG272" s="946"/>
      <c r="JH272" s="946"/>
      <c r="JI272" s="946"/>
      <c r="JJ272" s="946"/>
      <c r="JK272" s="946"/>
      <c r="JL272" s="946"/>
      <c r="JM272" s="946"/>
      <c r="JN272" s="946"/>
      <c r="JO272" s="946"/>
      <c r="JP272" s="946"/>
      <c r="JQ272" s="946"/>
      <c r="JR272" s="946"/>
      <c r="JS272" s="946"/>
      <c r="JT272" s="946"/>
      <c r="JU272" s="946"/>
      <c r="JV272" s="946"/>
      <c r="JW272" s="946"/>
      <c r="JX272" s="946"/>
      <c r="JY272" s="946"/>
      <c r="JZ272" s="946"/>
      <c r="KA272" s="946"/>
      <c r="KB272" s="946"/>
      <c r="KC272" s="946"/>
      <c r="KD272" s="946"/>
      <c r="KE272" s="946"/>
      <c r="KF272" s="946"/>
      <c r="KG272" s="946"/>
      <c r="KH272" s="946"/>
      <c r="KI272" s="946"/>
      <c r="KJ272" s="946"/>
      <c r="KK272" s="946"/>
      <c r="KL272" s="946"/>
      <c r="KM272" s="946"/>
      <c r="KN272" s="946"/>
      <c r="KO272" s="946"/>
      <c r="KP272" s="946"/>
      <c r="KQ272" s="946"/>
      <c r="KR272" s="946"/>
      <c r="KS272" s="946"/>
      <c r="KT272" s="946"/>
      <c r="KU272" s="946"/>
      <c r="KV272" s="946"/>
      <c r="KW272" s="946"/>
      <c r="KX272" s="946"/>
      <c r="KY272" s="946"/>
      <c r="KZ272" s="946"/>
      <c r="LA272" s="946"/>
      <c r="LB272" s="946"/>
      <c r="LC272" s="946"/>
      <c r="LD272" s="946"/>
      <c r="LE272" s="946"/>
      <c r="LF272" s="946"/>
      <c r="LG272" s="946"/>
      <c r="LH272" s="946"/>
      <c r="LI272" s="946"/>
      <c r="LJ272" s="946"/>
      <c r="LK272" s="946"/>
      <c r="LL272" s="946"/>
      <c r="LM272" s="946"/>
      <c r="LN272" s="946"/>
      <c r="LO272" s="946"/>
      <c r="LP272" s="946"/>
    </row>
    <row r="273" spans="1:328" s="1007" customFormat="1" ht="39" customHeight="1" x14ac:dyDescent="0.2">
      <c r="A273" s="971"/>
      <c r="B273" s="972"/>
      <c r="C273" s="973"/>
      <c r="D273" s="972"/>
      <c r="E273" s="972"/>
      <c r="F273" s="973"/>
      <c r="G273" s="979"/>
      <c r="H273" s="972"/>
      <c r="I273" s="973"/>
      <c r="J273" s="4518"/>
      <c r="K273" s="4521"/>
      <c r="L273" s="4524"/>
      <c r="M273" s="4524"/>
      <c r="N273" s="4526"/>
      <c r="O273" s="4524"/>
      <c r="P273" s="4528"/>
      <c r="Q273" s="4521"/>
      <c r="R273" s="4531"/>
      <c r="S273" s="4534"/>
      <c r="T273" s="4521"/>
      <c r="U273" s="4521"/>
      <c r="V273" s="4552"/>
      <c r="W273" s="2595">
        <v>14450485</v>
      </c>
      <c r="X273" s="2595">
        <v>0</v>
      </c>
      <c r="Y273" s="2595">
        <v>0</v>
      </c>
      <c r="Z273" s="977">
        <v>98</v>
      </c>
      <c r="AA273" s="1062" t="s">
        <v>1048</v>
      </c>
      <c r="AB273" s="4524"/>
      <c r="AC273" s="4638"/>
      <c r="AD273" s="4524">
        <v>282326</v>
      </c>
      <c r="AE273" s="4638">
        <f t="shared" si="84"/>
        <v>160925.81999999998</v>
      </c>
      <c r="AF273" s="4524">
        <v>135912</v>
      </c>
      <c r="AG273" s="4638">
        <f t="shared" si="85"/>
        <v>77469.84</v>
      </c>
      <c r="AH273" s="4524">
        <v>45122</v>
      </c>
      <c r="AI273" s="4638">
        <f t="shared" si="86"/>
        <v>25719.539999999997</v>
      </c>
      <c r="AJ273" s="4524">
        <v>307101</v>
      </c>
      <c r="AK273" s="4638">
        <v>175047.56999999998</v>
      </c>
      <c r="AL273" s="4524">
        <v>86875</v>
      </c>
      <c r="AM273" s="4638">
        <v>49518.749999999993</v>
      </c>
      <c r="AN273" s="4524">
        <v>2145</v>
      </c>
      <c r="AO273" s="4638">
        <f t="shared" si="87"/>
        <v>1222.6499999999999</v>
      </c>
      <c r="AP273" s="4524">
        <v>12718</v>
      </c>
      <c r="AQ273" s="4638">
        <f t="shared" si="88"/>
        <v>7249.2599999999993</v>
      </c>
      <c r="AR273" s="4524">
        <v>26</v>
      </c>
      <c r="AS273" s="4638">
        <f t="shared" si="89"/>
        <v>14.819999999999999</v>
      </c>
      <c r="AT273" s="4524">
        <v>37</v>
      </c>
      <c r="AU273" s="4638">
        <f t="shared" si="90"/>
        <v>21.09</v>
      </c>
      <c r="AV273" s="4524" t="s">
        <v>767</v>
      </c>
      <c r="AW273" s="4638" t="s">
        <v>767</v>
      </c>
      <c r="AX273" s="4524" t="s">
        <v>767</v>
      </c>
      <c r="AY273" s="4638" t="s">
        <v>767</v>
      </c>
      <c r="AZ273" s="4524">
        <v>53164</v>
      </c>
      <c r="BA273" s="4638">
        <f t="shared" si="91"/>
        <v>30303.479999999996</v>
      </c>
      <c r="BB273" s="4524">
        <v>16982</v>
      </c>
      <c r="BC273" s="4638">
        <f t="shared" si="92"/>
        <v>9679.74</v>
      </c>
      <c r="BD273" s="4524">
        <v>60013</v>
      </c>
      <c r="BE273" s="4638">
        <f t="shared" si="93"/>
        <v>34207.409999999996</v>
      </c>
      <c r="BF273" s="4524">
        <v>575010</v>
      </c>
      <c r="BG273" s="4638">
        <f t="shared" si="94"/>
        <v>327755.69999999995</v>
      </c>
      <c r="BH273" s="4543"/>
      <c r="BI273" s="4543"/>
      <c r="BJ273" s="4543"/>
      <c r="BK273" s="3185"/>
      <c r="BL273" s="4543"/>
      <c r="BM273" s="4543"/>
      <c r="BN273" s="4554"/>
      <c r="BO273" s="4554"/>
      <c r="BP273" s="4554"/>
      <c r="BQ273" s="4554"/>
      <c r="BR273" s="4557"/>
      <c r="BS273" s="946"/>
      <c r="BT273" s="946"/>
      <c r="BU273" s="946"/>
      <c r="BV273" s="946"/>
      <c r="BW273" s="946"/>
      <c r="BX273" s="946"/>
      <c r="BY273" s="946"/>
      <c r="BZ273" s="946"/>
      <c r="CA273" s="946"/>
      <c r="CB273" s="946"/>
      <c r="CC273" s="946"/>
      <c r="CD273" s="946"/>
      <c r="CE273" s="946"/>
      <c r="CF273" s="946"/>
      <c r="CG273" s="946"/>
      <c r="CH273" s="946"/>
      <c r="CI273" s="946"/>
      <c r="CJ273" s="946"/>
      <c r="CK273" s="946"/>
      <c r="CL273" s="946"/>
      <c r="CM273" s="946"/>
      <c r="CN273" s="946"/>
      <c r="CO273" s="946"/>
      <c r="CP273" s="946"/>
      <c r="CQ273" s="946"/>
      <c r="CR273" s="946"/>
      <c r="CS273" s="946"/>
      <c r="CT273" s="946"/>
      <c r="CU273" s="946"/>
      <c r="CV273" s="946"/>
      <c r="CW273" s="946"/>
      <c r="CX273" s="946"/>
      <c r="CY273" s="946"/>
      <c r="CZ273" s="946"/>
      <c r="DA273" s="946"/>
      <c r="DB273" s="946"/>
      <c r="DC273" s="946"/>
      <c r="DD273" s="946"/>
      <c r="DE273" s="946"/>
      <c r="DF273" s="946"/>
      <c r="DG273" s="946"/>
      <c r="DH273" s="946"/>
      <c r="DI273" s="946"/>
      <c r="DJ273" s="946"/>
      <c r="DK273" s="946"/>
      <c r="DL273" s="946"/>
      <c r="DM273" s="946"/>
      <c r="DN273" s="946"/>
      <c r="DO273" s="946"/>
      <c r="DP273" s="946"/>
      <c r="DQ273" s="946"/>
      <c r="DR273" s="946"/>
      <c r="DS273" s="946"/>
      <c r="DT273" s="946"/>
      <c r="DU273" s="946"/>
      <c r="DV273" s="946"/>
      <c r="DW273" s="946"/>
      <c r="DX273" s="946"/>
      <c r="DY273" s="946"/>
      <c r="DZ273" s="946"/>
      <c r="EA273" s="946"/>
      <c r="EB273" s="946"/>
      <c r="EC273" s="946"/>
      <c r="ED273" s="946"/>
      <c r="EE273" s="946"/>
      <c r="EF273" s="946"/>
      <c r="EG273" s="946"/>
      <c r="EH273" s="946"/>
      <c r="EI273" s="946"/>
      <c r="EJ273" s="946"/>
      <c r="EK273" s="946"/>
      <c r="EL273" s="946"/>
      <c r="EM273" s="946"/>
      <c r="EN273" s="946"/>
      <c r="EO273" s="946"/>
      <c r="EP273" s="946"/>
      <c r="EQ273" s="946"/>
      <c r="ER273" s="946"/>
      <c r="ES273" s="946"/>
      <c r="ET273" s="946"/>
      <c r="EU273" s="946"/>
      <c r="EV273" s="946"/>
      <c r="EW273" s="946"/>
      <c r="EX273" s="946"/>
      <c r="EY273" s="946"/>
      <c r="EZ273" s="946"/>
      <c r="FA273" s="946"/>
      <c r="FB273" s="946"/>
      <c r="FC273" s="946"/>
      <c r="FD273" s="946"/>
      <c r="FE273" s="946"/>
      <c r="FF273" s="946"/>
      <c r="FG273" s="946"/>
      <c r="FH273" s="946"/>
      <c r="FI273" s="946"/>
      <c r="FJ273" s="946"/>
      <c r="FK273" s="946"/>
      <c r="FL273" s="946"/>
      <c r="FM273" s="946"/>
      <c r="FN273" s="946"/>
      <c r="FO273" s="946"/>
      <c r="FP273" s="946"/>
      <c r="FQ273" s="946"/>
      <c r="FR273" s="946"/>
      <c r="FS273" s="946"/>
      <c r="FT273" s="946"/>
      <c r="FU273" s="946"/>
      <c r="FV273" s="946"/>
      <c r="FW273" s="946"/>
      <c r="FX273" s="946"/>
      <c r="FY273" s="946"/>
      <c r="FZ273" s="946"/>
      <c r="GA273" s="946"/>
      <c r="GB273" s="946"/>
      <c r="GC273" s="946"/>
      <c r="GD273" s="946"/>
      <c r="GE273" s="946"/>
      <c r="GF273" s="946"/>
      <c r="GG273" s="946"/>
      <c r="GH273" s="946"/>
      <c r="GI273" s="946"/>
      <c r="GJ273" s="946"/>
      <c r="GK273" s="946"/>
      <c r="GL273" s="946"/>
      <c r="GM273" s="946"/>
      <c r="GN273" s="946"/>
      <c r="GO273" s="946"/>
      <c r="GP273" s="946"/>
      <c r="GQ273" s="946"/>
      <c r="GR273" s="946"/>
      <c r="GS273" s="946"/>
      <c r="GT273" s="946"/>
      <c r="GU273" s="946"/>
      <c r="GV273" s="946"/>
      <c r="GW273" s="946"/>
      <c r="GX273" s="946"/>
      <c r="GY273" s="946"/>
      <c r="GZ273" s="946"/>
      <c r="HA273" s="946"/>
      <c r="HB273" s="946"/>
      <c r="HC273" s="946"/>
      <c r="HD273" s="946"/>
      <c r="HE273" s="946"/>
      <c r="HF273" s="946"/>
      <c r="HG273" s="946"/>
      <c r="HH273" s="946"/>
      <c r="HI273" s="946"/>
      <c r="HJ273" s="946"/>
      <c r="HK273" s="946"/>
      <c r="HL273" s="946"/>
      <c r="HM273" s="946"/>
      <c r="HN273" s="946"/>
      <c r="HO273" s="946"/>
      <c r="HP273" s="946"/>
      <c r="HQ273" s="946"/>
      <c r="HR273" s="946"/>
      <c r="HS273" s="946"/>
      <c r="HT273" s="946"/>
      <c r="HU273" s="946"/>
      <c r="HV273" s="946"/>
      <c r="HW273" s="946"/>
      <c r="HX273" s="946"/>
      <c r="HY273" s="946"/>
      <c r="HZ273" s="946"/>
      <c r="IA273" s="946"/>
      <c r="IB273" s="946"/>
      <c r="IC273" s="946"/>
      <c r="ID273" s="946"/>
      <c r="IE273" s="946"/>
      <c r="IF273" s="946"/>
      <c r="IG273" s="946"/>
      <c r="IH273" s="946"/>
      <c r="II273" s="946"/>
      <c r="IJ273" s="946"/>
      <c r="IK273" s="946"/>
      <c r="IL273" s="946"/>
      <c r="IM273" s="946"/>
      <c r="IN273" s="946"/>
      <c r="IO273" s="946"/>
      <c r="IP273" s="946"/>
      <c r="IQ273" s="946"/>
      <c r="IR273" s="946"/>
      <c r="IS273" s="946"/>
      <c r="IT273" s="946"/>
      <c r="IU273" s="946"/>
      <c r="IV273" s="946"/>
      <c r="IW273" s="946"/>
      <c r="IX273" s="946"/>
      <c r="IY273" s="946"/>
      <c r="IZ273" s="946"/>
      <c r="JA273" s="946"/>
      <c r="JB273" s="946"/>
      <c r="JC273" s="946"/>
      <c r="JD273" s="946"/>
      <c r="JE273" s="946"/>
      <c r="JF273" s="946"/>
      <c r="JG273" s="946"/>
      <c r="JH273" s="946"/>
      <c r="JI273" s="946"/>
      <c r="JJ273" s="946"/>
      <c r="JK273" s="946"/>
      <c r="JL273" s="946"/>
      <c r="JM273" s="946"/>
      <c r="JN273" s="946"/>
      <c r="JO273" s="946"/>
      <c r="JP273" s="946"/>
      <c r="JQ273" s="946"/>
      <c r="JR273" s="946"/>
      <c r="JS273" s="946"/>
      <c r="JT273" s="946"/>
      <c r="JU273" s="946"/>
      <c r="JV273" s="946"/>
      <c r="JW273" s="946"/>
      <c r="JX273" s="946"/>
      <c r="JY273" s="946"/>
      <c r="JZ273" s="946"/>
      <c r="KA273" s="946"/>
      <c r="KB273" s="946"/>
      <c r="KC273" s="946"/>
      <c r="KD273" s="946"/>
      <c r="KE273" s="946"/>
      <c r="KF273" s="946"/>
      <c r="KG273" s="946"/>
      <c r="KH273" s="946"/>
      <c r="KI273" s="946"/>
      <c r="KJ273" s="946"/>
      <c r="KK273" s="946"/>
      <c r="KL273" s="946"/>
      <c r="KM273" s="946"/>
      <c r="KN273" s="946"/>
      <c r="KO273" s="946"/>
      <c r="KP273" s="946"/>
      <c r="KQ273" s="946"/>
      <c r="KR273" s="946"/>
      <c r="KS273" s="946"/>
      <c r="KT273" s="946"/>
      <c r="KU273" s="946"/>
      <c r="KV273" s="946"/>
      <c r="KW273" s="946"/>
      <c r="KX273" s="946"/>
      <c r="KY273" s="946"/>
      <c r="KZ273" s="946"/>
      <c r="LA273" s="946"/>
      <c r="LB273" s="946"/>
      <c r="LC273" s="946"/>
      <c r="LD273" s="946"/>
      <c r="LE273" s="946"/>
      <c r="LF273" s="946"/>
      <c r="LG273" s="946"/>
      <c r="LH273" s="946"/>
      <c r="LI273" s="946"/>
      <c r="LJ273" s="946"/>
      <c r="LK273" s="946"/>
      <c r="LL273" s="946"/>
      <c r="LM273" s="946"/>
      <c r="LN273" s="946"/>
      <c r="LO273" s="946"/>
      <c r="LP273" s="946"/>
    </row>
    <row r="274" spans="1:328" s="1007" customFormat="1" ht="39" customHeight="1" x14ac:dyDescent="0.2">
      <c r="A274" s="971"/>
      <c r="B274" s="972"/>
      <c r="C274" s="973"/>
      <c r="D274" s="972"/>
      <c r="E274" s="972"/>
      <c r="F274" s="973"/>
      <c r="G274" s="979"/>
      <c r="H274" s="972"/>
      <c r="I274" s="973"/>
      <c r="J274" s="4518"/>
      <c r="K274" s="4521"/>
      <c r="L274" s="4524"/>
      <c r="M274" s="4524"/>
      <c r="N274" s="4526"/>
      <c r="O274" s="4524"/>
      <c r="P274" s="4528"/>
      <c r="Q274" s="4521"/>
      <c r="R274" s="4531"/>
      <c r="S274" s="4534"/>
      <c r="T274" s="4521"/>
      <c r="U274" s="4521"/>
      <c r="V274" s="4551" t="s">
        <v>1120</v>
      </c>
      <c r="W274" s="2300">
        <v>25000000</v>
      </c>
      <c r="X274" s="1809">
        <v>19987500</v>
      </c>
      <c r="Y274" s="1809">
        <v>13926800</v>
      </c>
      <c r="Z274" s="977">
        <v>61</v>
      </c>
      <c r="AA274" s="1062" t="s">
        <v>975</v>
      </c>
      <c r="AB274" s="4524"/>
      <c r="AC274" s="4638"/>
      <c r="AD274" s="4524">
        <v>282326</v>
      </c>
      <c r="AE274" s="4638">
        <f t="shared" si="84"/>
        <v>160925.81999999998</v>
      </c>
      <c r="AF274" s="4524">
        <v>135912</v>
      </c>
      <c r="AG274" s="4638">
        <f t="shared" si="85"/>
        <v>77469.84</v>
      </c>
      <c r="AH274" s="4524">
        <v>45122</v>
      </c>
      <c r="AI274" s="4638">
        <f t="shared" si="86"/>
        <v>25719.539999999997</v>
      </c>
      <c r="AJ274" s="4524">
        <v>307101</v>
      </c>
      <c r="AK274" s="4638">
        <v>175047.56999999998</v>
      </c>
      <c r="AL274" s="4524">
        <v>86875</v>
      </c>
      <c r="AM274" s="4638">
        <v>49518.749999999993</v>
      </c>
      <c r="AN274" s="4524">
        <v>2145</v>
      </c>
      <c r="AO274" s="4638">
        <f t="shared" si="87"/>
        <v>1222.6499999999999</v>
      </c>
      <c r="AP274" s="4524">
        <v>12718</v>
      </c>
      <c r="AQ274" s="4638">
        <f t="shared" si="88"/>
        <v>7249.2599999999993</v>
      </c>
      <c r="AR274" s="4524">
        <v>26</v>
      </c>
      <c r="AS274" s="4638">
        <f t="shared" si="89"/>
        <v>14.819999999999999</v>
      </c>
      <c r="AT274" s="4524">
        <v>37</v>
      </c>
      <c r="AU274" s="4638">
        <f t="shared" si="90"/>
        <v>21.09</v>
      </c>
      <c r="AV274" s="4524" t="s">
        <v>767</v>
      </c>
      <c r="AW274" s="4638" t="s">
        <v>767</v>
      </c>
      <c r="AX274" s="4524" t="s">
        <v>767</v>
      </c>
      <c r="AY274" s="4638" t="s">
        <v>767</v>
      </c>
      <c r="AZ274" s="4524">
        <v>53164</v>
      </c>
      <c r="BA274" s="4638">
        <f t="shared" si="91"/>
        <v>30303.479999999996</v>
      </c>
      <c r="BB274" s="4524">
        <v>16982</v>
      </c>
      <c r="BC274" s="4638">
        <f t="shared" si="92"/>
        <v>9679.74</v>
      </c>
      <c r="BD274" s="4524">
        <v>60013</v>
      </c>
      <c r="BE274" s="4638">
        <f t="shared" si="93"/>
        <v>34207.409999999996</v>
      </c>
      <c r="BF274" s="4524">
        <v>575010</v>
      </c>
      <c r="BG274" s="4638">
        <f t="shared" si="94"/>
        <v>327755.69999999995</v>
      </c>
      <c r="BH274" s="4543"/>
      <c r="BI274" s="4543"/>
      <c r="BJ274" s="4543"/>
      <c r="BK274" s="3185"/>
      <c r="BL274" s="4543"/>
      <c r="BM274" s="4543"/>
      <c r="BN274" s="4554"/>
      <c r="BO274" s="4554"/>
      <c r="BP274" s="4554"/>
      <c r="BQ274" s="4554"/>
      <c r="BR274" s="4557"/>
      <c r="BS274" s="946"/>
      <c r="BT274" s="946"/>
      <c r="BU274" s="946"/>
      <c r="BV274" s="946"/>
      <c r="BW274" s="946"/>
      <c r="BX274" s="946"/>
      <c r="BY274" s="946"/>
      <c r="BZ274" s="946"/>
      <c r="CA274" s="946"/>
      <c r="CB274" s="946"/>
      <c r="CC274" s="946"/>
      <c r="CD274" s="946"/>
      <c r="CE274" s="946"/>
      <c r="CF274" s="946"/>
      <c r="CG274" s="946"/>
      <c r="CH274" s="946"/>
      <c r="CI274" s="946"/>
      <c r="CJ274" s="946"/>
      <c r="CK274" s="946"/>
      <c r="CL274" s="946"/>
      <c r="CM274" s="946"/>
      <c r="CN274" s="946"/>
      <c r="CO274" s="946"/>
      <c r="CP274" s="946"/>
      <c r="CQ274" s="946"/>
      <c r="CR274" s="946"/>
      <c r="CS274" s="946"/>
      <c r="CT274" s="946"/>
      <c r="CU274" s="946"/>
      <c r="CV274" s="946"/>
      <c r="CW274" s="946"/>
      <c r="CX274" s="946"/>
      <c r="CY274" s="946"/>
      <c r="CZ274" s="946"/>
      <c r="DA274" s="946"/>
      <c r="DB274" s="946"/>
      <c r="DC274" s="946"/>
      <c r="DD274" s="946"/>
      <c r="DE274" s="946"/>
      <c r="DF274" s="946"/>
      <c r="DG274" s="946"/>
      <c r="DH274" s="946"/>
      <c r="DI274" s="946"/>
      <c r="DJ274" s="946"/>
      <c r="DK274" s="946"/>
      <c r="DL274" s="946"/>
      <c r="DM274" s="946"/>
      <c r="DN274" s="946"/>
      <c r="DO274" s="946"/>
      <c r="DP274" s="946"/>
      <c r="DQ274" s="946"/>
      <c r="DR274" s="946"/>
      <c r="DS274" s="946"/>
      <c r="DT274" s="946"/>
      <c r="DU274" s="946"/>
      <c r="DV274" s="946"/>
      <c r="DW274" s="946"/>
      <c r="DX274" s="946"/>
      <c r="DY274" s="946"/>
      <c r="DZ274" s="946"/>
      <c r="EA274" s="946"/>
      <c r="EB274" s="946"/>
      <c r="EC274" s="946"/>
      <c r="ED274" s="946"/>
      <c r="EE274" s="946"/>
      <c r="EF274" s="946"/>
      <c r="EG274" s="946"/>
      <c r="EH274" s="946"/>
      <c r="EI274" s="946"/>
      <c r="EJ274" s="946"/>
      <c r="EK274" s="946"/>
      <c r="EL274" s="946"/>
      <c r="EM274" s="946"/>
      <c r="EN274" s="946"/>
      <c r="EO274" s="946"/>
      <c r="EP274" s="946"/>
      <c r="EQ274" s="946"/>
      <c r="ER274" s="946"/>
      <c r="ES274" s="946"/>
      <c r="ET274" s="946"/>
      <c r="EU274" s="946"/>
      <c r="EV274" s="946"/>
      <c r="EW274" s="946"/>
      <c r="EX274" s="946"/>
      <c r="EY274" s="946"/>
      <c r="EZ274" s="946"/>
      <c r="FA274" s="946"/>
      <c r="FB274" s="946"/>
      <c r="FC274" s="946"/>
      <c r="FD274" s="946"/>
      <c r="FE274" s="946"/>
      <c r="FF274" s="946"/>
      <c r="FG274" s="946"/>
      <c r="FH274" s="946"/>
      <c r="FI274" s="946"/>
      <c r="FJ274" s="946"/>
      <c r="FK274" s="946"/>
      <c r="FL274" s="946"/>
      <c r="FM274" s="946"/>
      <c r="FN274" s="946"/>
      <c r="FO274" s="946"/>
      <c r="FP274" s="946"/>
      <c r="FQ274" s="946"/>
      <c r="FR274" s="946"/>
      <c r="FS274" s="946"/>
      <c r="FT274" s="946"/>
      <c r="FU274" s="946"/>
      <c r="FV274" s="946"/>
      <c r="FW274" s="946"/>
      <c r="FX274" s="946"/>
      <c r="FY274" s="946"/>
      <c r="FZ274" s="946"/>
      <c r="GA274" s="946"/>
      <c r="GB274" s="946"/>
      <c r="GC274" s="946"/>
      <c r="GD274" s="946"/>
      <c r="GE274" s="946"/>
      <c r="GF274" s="946"/>
      <c r="GG274" s="946"/>
      <c r="GH274" s="946"/>
      <c r="GI274" s="946"/>
      <c r="GJ274" s="946"/>
      <c r="GK274" s="946"/>
      <c r="GL274" s="946"/>
      <c r="GM274" s="946"/>
      <c r="GN274" s="946"/>
      <c r="GO274" s="946"/>
      <c r="GP274" s="946"/>
      <c r="GQ274" s="946"/>
      <c r="GR274" s="946"/>
      <c r="GS274" s="946"/>
      <c r="GT274" s="946"/>
      <c r="GU274" s="946"/>
      <c r="GV274" s="946"/>
      <c r="GW274" s="946"/>
      <c r="GX274" s="946"/>
      <c r="GY274" s="946"/>
      <c r="GZ274" s="946"/>
      <c r="HA274" s="946"/>
      <c r="HB274" s="946"/>
      <c r="HC274" s="946"/>
      <c r="HD274" s="946"/>
      <c r="HE274" s="946"/>
      <c r="HF274" s="946"/>
      <c r="HG274" s="946"/>
      <c r="HH274" s="946"/>
      <c r="HI274" s="946"/>
      <c r="HJ274" s="946"/>
      <c r="HK274" s="946"/>
      <c r="HL274" s="946"/>
      <c r="HM274" s="946"/>
      <c r="HN274" s="946"/>
      <c r="HO274" s="946"/>
      <c r="HP274" s="946"/>
      <c r="HQ274" s="946"/>
      <c r="HR274" s="946"/>
      <c r="HS274" s="946"/>
      <c r="HT274" s="946"/>
      <c r="HU274" s="946"/>
      <c r="HV274" s="946"/>
      <c r="HW274" s="946"/>
      <c r="HX274" s="946"/>
      <c r="HY274" s="946"/>
      <c r="HZ274" s="946"/>
      <c r="IA274" s="946"/>
      <c r="IB274" s="946"/>
      <c r="IC274" s="946"/>
      <c r="ID274" s="946"/>
      <c r="IE274" s="946"/>
      <c r="IF274" s="946"/>
      <c r="IG274" s="946"/>
      <c r="IH274" s="946"/>
      <c r="II274" s="946"/>
      <c r="IJ274" s="946"/>
      <c r="IK274" s="946"/>
      <c r="IL274" s="946"/>
      <c r="IM274" s="946"/>
      <c r="IN274" s="946"/>
      <c r="IO274" s="946"/>
      <c r="IP274" s="946"/>
      <c r="IQ274" s="946"/>
      <c r="IR274" s="946"/>
      <c r="IS274" s="946"/>
      <c r="IT274" s="946"/>
      <c r="IU274" s="946"/>
      <c r="IV274" s="946"/>
      <c r="IW274" s="946"/>
      <c r="IX274" s="946"/>
      <c r="IY274" s="946"/>
      <c r="IZ274" s="946"/>
      <c r="JA274" s="946"/>
      <c r="JB274" s="946"/>
      <c r="JC274" s="946"/>
      <c r="JD274" s="946"/>
      <c r="JE274" s="946"/>
      <c r="JF274" s="946"/>
      <c r="JG274" s="946"/>
      <c r="JH274" s="946"/>
      <c r="JI274" s="946"/>
      <c r="JJ274" s="946"/>
      <c r="JK274" s="946"/>
      <c r="JL274" s="946"/>
      <c r="JM274" s="946"/>
      <c r="JN274" s="946"/>
      <c r="JO274" s="946"/>
      <c r="JP274" s="946"/>
      <c r="JQ274" s="946"/>
      <c r="JR274" s="946"/>
      <c r="JS274" s="946"/>
      <c r="JT274" s="946"/>
      <c r="JU274" s="946"/>
      <c r="JV274" s="946"/>
      <c r="JW274" s="946"/>
      <c r="JX274" s="946"/>
      <c r="JY274" s="946"/>
      <c r="JZ274" s="946"/>
      <c r="KA274" s="946"/>
      <c r="KB274" s="946"/>
      <c r="KC274" s="946"/>
      <c r="KD274" s="946"/>
      <c r="KE274" s="946"/>
      <c r="KF274" s="946"/>
      <c r="KG274" s="946"/>
      <c r="KH274" s="946"/>
      <c r="KI274" s="946"/>
      <c r="KJ274" s="946"/>
      <c r="KK274" s="946"/>
      <c r="KL274" s="946"/>
      <c r="KM274" s="946"/>
      <c r="KN274" s="946"/>
      <c r="KO274" s="946"/>
      <c r="KP274" s="946"/>
      <c r="KQ274" s="946"/>
      <c r="KR274" s="946"/>
      <c r="KS274" s="946"/>
      <c r="KT274" s="946"/>
      <c r="KU274" s="946"/>
      <c r="KV274" s="946"/>
      <c r="KW274" s="946"/>
      <c r="KX274" s="946"/>
      <c r="KY274" s="946"/>
      <c r="KZ274" s="946"/>
      <c r="LA274" s="946"/>
      <c r="LB274" s="946"/>
      <c r="LC274" s="946"/>
      <c r="LD274" s="946"/>
      <c r="LE274" s="946"/>
      <c r="LF274" s="946"/>
      <c r="LG274" s="946"/>
      <c r="LH274" s="946"/>
      <c r="LI274" s="946"/>
      <c r="LJ274" s="946"/>
      <c r="LK274" s="946"/>
      <c r="LL274" s="946"/>
      <c r="LM274" s="946"/>
      <c r="LN274" s="946"/>
      <c r="LO274" s="946"/>
      <c r="LP274" s="946"/>
    </row>
    <row r="275" spans="1:328" s="1007" customFormat="1" ht="52.5" customHeight="1" x14ac:dyDescent="0.2">
      <c r="A275" s="971"/>
      <c r="B275" s="972"/>
      <c r="C275" s="973"/>
      <c r="D275" s="972"/>
      <c r="E275" s="972"/>
      <c r="F275" s="973"/>
      <c r="G275" s="979"/>
      <c r="H275" s="972"/>
      <c r="I275" s="973"/>
      <c r="J275" s="4518"/>
      <c r="K275" s="4521"/>
      <c r="L275" s="4524"/>
      <c r="M275" s="4524"/>
      <c r="N275" s="4526"/>
      <c r="O275" s="4524"/>
      <c r="P275" s="4528"/>
      <c r="Q275" s="4521"/>
      <c r="R275" s="4531"/>
      <c r="S275" s="4534"/>
      <c r="T275" s="4521"/>
      <c r="U275" s="4521"/>
      <c r="V275" s="4552"/>
      <c r="W275" s="2608">
        <v>14450485</v>
      </c>
      <c r="X275" s="2608">
        <v>0</v>
      </c>
      <c r="Y275" s="2608">
        <v>0</v>
      </c>
      <c r="Z275" s="977">
        <v>98</v>
      </c>
      <c r="AA275" s="1062" t="s">
        <v>1048</v>
      </c>
      <c r="AB275" s="4524"/>
      <c r="AC275" s="4638"/>
      <c r="AD275" s="4524">
        <v>282326</v>
      </c>
      <c r="AE275" s="4638">
        <f t="shared" si="84"/>
        <v>160925.81999999998</v>
      </c>
      <c r="AF275" s="4524">
        <v>135912</v>
      </c>
      <c r="AG275" s="4638">
        <f t="shared" si="85"/>
        <v>77469.84</v>
      </c>
      <c r="AH275" s="4524">
        <v>45122</v>
      </c>
      <c r="AI275" s="4638">
        <f t="shared" si="86"/>
        <v>25719.539999999997</v>
      </c>
      <c r="AJ275" s="4524">
        <v>307101</v>
      </c>
      <c r="AK275" s="4638">
        <v>175047.56999999998</v>
      </c>
      <c r="AL275" s="4524">
        <v>86875</v>
      </c>
      <c r="AM275" s="4638">
        <v>49518.749999999993</v>
      </c>
      <c r="AN275" s="4524">
        <v>2145</v>
      </c>
      <c r="AO275" s="4638">
        <f t="shared" si="87"/>
        <v>1222.6499999999999</v>
      </c>
      <c r="AP275" s="4524">
        <v>12718</v>
      </c>
      <c r="AQ275" s="4638">
        <f t="shared" si="88"/>
        <v>7249.2599999999993</v>
      </c>
      <c r="AR275" s="4524">
        <v>26</v>
      </c>
      <c r="AS275" s="4638">
        <f t="shared" si="89"/>
        <v>14.819999999999999</v>
      </c>
      <c r="AT275" s="4524">
        <v>37</v>
      </c>
      <c r="AU275" s="4638">
        <f t="shared" si="90"/>
        <v>21.09</v>
      </c>
      <c r="AV275" s="4524" t="s">
        <v>767</v>
      </c>
      <c r="AW275" s="4638" t="s">
        <v>767</v>
      </c>
      <c r="AX275" s="4524" t="s">
        <v>767</v>
      </c>
      <c r="AY275" s="4638" t="s">
        <v>767</v>
      </c>
      <c r="AZ275" s="4524">
        <v>53164</v>
      </c>
      <c r="BA275" s="4638">
        <f t="shared" si="91"/>
        <v>30303.479999999996</v>
      </c>
      <c r="BB275" s="4524">
        <v>16982</v>
      </c>
      <c r="BC275" s="4638">
        <f t="shared" si="92"/>
        <v>9679.74</v>
      </c>
      <c r="BD275" s="4524">
        <v>60013</v>
      </c>
      <c r="BE275" s="4638">
        <f t="shared" si="93"/>
        <v>34207.409999999996</v>
      </c>
      <c r="BF275" s="4524">
        <v>575010</v>
      </c>
      <c r="BG275" s="4638">
        <f t="shared" si="94"/>
        <v>327755.69999999995</v>
      </c>
      <c r="BH275" s="4543"/>
      <c r="BI275" s="4543"/>
      <c r="BJ275" s="4543"/>
      <c r="BK275" s="3185"/>
      <c r="BL275" s="4543"/>
      <c r="BM275" s="4543"/>
      <c r="BN275" s="4554"/>
      <c r="BO275" s="4554"/>
      <c r="BP275" s="4554"/>
      <c r="BQ275" s="4554"/>
      <c r="BR275" s="4557"/>
      <c r="BS275" s="946"/>
      <c r="BT275" s="946"/>
      <c r="BU275" s="946"/>
      <c r="BV275" s="946"/>
      <c r="BW275" s="946"/>
      <c r="BX275" s="946"/>
      <c r="BY275" s="946"/>
      <c r="BZ275" s="946"/>
      <c r="CA275" s="946"/>
      <c r="CB275" s="946"/>
      <c r="CC275" s="946"/>
      <c r="CD275" s="946"/>
      <c r="CE275" s="946"/>
      <c r="CF275" s="946"/>
      <c r="CG275" s="946"/>
      <c r="CH275" s="946"/>
      <c r="CI275" s="946"/>
      <c r="CJ275" s="946"/>
      <c r="CK275" s="946"/>
      <c r="CL275" s="946"/>
      <c r="CM275" s="946"/>
      <c r="CN275" s="946"/>
      <c r="CO275" s="946"/>
      <c r="CP275" s="946"/>
      <c r="CQ275" s="946"/>
      <c r="CR275" s="946"/>
      <c r="CS275" s="946"/>
      <c r="CT275" s="946"/>
      <c r="CU275" s="946"/>
      <c r="CV275" s="946"/>
      <c r="CW275" s="946"/>
      <c r="CX275" s="946"/>
      <c r="CY275" s="946"/>
      <c r="CZ275" s="946"/>
      <c r="DA275" s="946"/>
      <c r="DB275" s="946"/>
      <c r="DC275" s="946"/>
      <c r="DD275" s="946"/>
      <c r="DE275" s="946"/>
      <c r="DF275" s="946"/>
      <c r="DG275" s="946"/>
      <c r="DH275" s="946"/>
      <c r="DI275" s="946"/>
      <c r="DJ275" s="946"/>
      <c r="DK275" s="946"/>
      <c r="DL275" s="946"/>
      <c r="DM275" s="946"/>
      <c r="DN275" s="946"/>
      <c r="DO275" s="946"/>
      <c r="DP275" s="946"/>
      <c r="DQ275" s="946"/>
      <c r="DR275" s="946"/>
      <c r="DS275" s="946"/>
      <c r="DT275" s="946"/>
      <c r="DU275" s="946"/>
      <c r="DV275" s="946"/>
      <c r="DW275" s="946"/>
      <c r="DX275" s="946"/>
      <c r="DY275" s="946"/>
      <c r="DZ275" s="946"/>
      <c r="EA275" s="946"/>
      <c r="EB275" s="946"/>
      <c r="EC275" s="946"/>
      <c r="ED275" s="946"/>
      <c r="EE275" s="946"/>
      <c r="EF275" s="946"/>
      <c r="EG275" s="946"/>
      <c r="EH275" s="946"/>
      <c r="EI275" s="946"/>
      <c r="EJ275" s="946"/>
      <c r="EK275" s="946"/>
      <c r="EL275" s="946"/>
      <c r="EM275" s="946"/>
      <c r="EN275" s="946"/>
      <c r="EO275" s="946"/>
      <c r="EP275" s="946"/>
      <c r="EQ275" s="946"/>
      <c r="ER275" s="946"/>
      <c r="ES275" s="946"/>
      <c r="ET275" s="946"/>
      <c r="EU275" s="946"/>
      <c r="EV275" s="946"/>
      <c r="EW275" s="946"/>
      <c r="EX275" s="946"/>
      <c r="EY275" s="946"/>
      <c r="EZ275" s="946"/>
      <c r="FA275" s="946"/>
      <c r="FB275" s="946"/>
      <c r="FC275" s="946"/>
      <c r="FD275" s="946"/>
      <c r="FE275" s="946"/>
      <c r="FF275" s="946"/>
      <c r="FG275" s="946"/>
      <c r="FH275" s="946"/>
      <c r="FI275" s="946"/>
      <c r="FJ275" s="946"/>
      <c r="FK275" s="946"/>
      <c r="FL275" s="946"/>
      <c r="FM275" s="946"/>
      <c r="FN275" s="946"/>
      <c r="FO275" s="946"/>
      <c r="FP275" s="946"/>
      <c r="FQ275" s="946"/>
      <c r="FR275" s="946"/>
      <c r="FS275" s="946"/>
      <c r="FT275" s="946"/>
      <c r="FU275" s="946"/>
      <c r="FV275" s="946"/>
      <c r="FW275" s="946"/>
      <c r="FX275" s="946"/>
      <c r="FY275" s="946"/>
      <c r="FZ275" s="946"/>
      <c r="GA275" s="946"/>
      <c r="GB275" s="946"/>
      <c r="GC275" s="946"/>
      <c r="GD275" s="946"/>
      <c r="GE275" s="946"/>
      <c r="GF275" s="946"/>
      <c r="GG275" s="946"/>
      <c r="GH275" s="946"/>
      <c r="GI275" s="946"/>
      <c r="GJ275" s="946"/>
      <c r="GK275" s="946"/>
      <c r="GL275" s="946"/>
      <c r="GM275" s="946"/>
      <c r="GN275" s="946"/>
      <c r="GO275" s="946"/>
      <c r="GP275" s="946"/>
      <c r="GQ275" s="946"/>
      <c r="GR275" s="946"/>
      <c r="GS275" s="946"/>
      <c r="GT275" s="946"/>
      <c r="GU275" s="946"/>
      <c r="GV275" s="946"/>
      <c r="GW275" s="946"/>
      <c r="GX275" s="946"/>
      <c r="GY275" s="946"/>
      <c r="GZ275" s="946"/>
      <c r="HA275" s="946"/>
      <c r="HB275" s="946"/>
      <c r="HC275" s="946"/>
      <c r="HD275" s="946"/>
      <c r="HE275" s="946"/>
      <c r="HF275" s="946"/>
      <c r="HG275" s="946"/>
      <c r="HH275" s="946"/>
      <c r="HI275" s="946"/>
      <c r="HJ275" s="946"/>
      <c r="HK275" s="946"/>
      <c r="HL275" s="946"/>
      <c r="HM275" s="946"/>
      <c r="HN275" s="946"/>
      <c r="HO275" s="946"/>
      <c r="HP275" s="946"/>
      <c r="HQ275" s="946"/>
      <c r="HR275" s="946"/>
      <c r="HS275" s="946"/>
      <c r="HT275" s="946"/>
      <c r="HU275" s="946"/>
      <c r="HV275" s="946"/>
      <c r="HW275" s="946"/>
      <c r="HX275" s="946"/>
      <c r="HY275" s="946"/>
      <c r="HZ275" s="946"/>
      <c r="IA275" s="946"/>
      <c r="IB275" s="946"/>
      <c r="IC275" s="946"/>
      <c r="ID275" s="946"/>
      <c r="IE275" s="946"/>
      <c r="IF275" s="946"/>
      <c r="IG275" s="946"/>
      <c r="IH275" s="946"/>
      <c r="II275" s="946"/>
      <c r="IJ275" s="946"/>
      <c r="IK275" s="946"/>
      <c r="IL275" s="946"/>
      <c r="IM275" s="946"/>
      <c r="IN275" s="946"/>
      <c r="IO275" s="946"/>
      <c r="IP275" s="946"/>
      <c r="IQ275" s="946"/>
      <c r="IR275" s="946"/>
      <c r="IS275" s="946"/>
      <c r="IT275" s="946"/>
      <c r="IU275" s="946"/>
      <c r="IV275" s="946"/>
      <c r="IW275" s="946"/>
      <c r="IX275" s="946"/>
      <c r="IY275" s="946"/>
      <c r="IZ275" s="946"/>
      <c r="JA275" s="946"/>
      <c r="JB275" s="946"/>
      <c r="JC275" s="946"/>
      <c r="JD275" s="946"/>
      <c r="JE275" s="946"/>
      <c r="JF275" s="946"/>
      <c r="JG275" s="946"/>
      <c r="JH275" s="946"/>
      <c r="JI275" s="946"/>
      <c r="JJ275" s="946"/>
      <c r="JK275" s="946"/>
      <c r="JL275" s="946"/>
      <c r="JM275" s="946"/>
      <c r="JN275" s="946"/>
      <c r="JO275" s="946"/>
      <c r="JP275" s="946"/>
      <c r="JQ275" s="946"/>
      <c r="JR275" s="946"/>
      <c r="JS275" s="946"/>
      <c r="JT275" s="946"/>
      <c r="JU275" s="946"/>
      <c r="JV275" s="946"/>
      <c r="JW275" s="946"/>
      <c r="JX275" s="946"/>
      <c r="JY275" s="946"/>
      <c r="JZ275" s="946"/>
      <c r="KA275" s="946"/>
      <c r="KB275" s="946"/>
      <c r="KC275" s="946"/>
      <c r="KD275" s="946"/>
      <c r="KE275" s="946"/>
      <c r="KF275" s="946"/>
      <c r="KG275" s="946"/>
      <c r="KH275" s="946"/>
      <c r="KI275" s="946"/>
      <c r="KJ275" s="946"/>
      <c r="KK275" s="946"/>
      <c r="KL275" s="946"/>
      <c r="KM275" s="946"/>
      <c r="KN275" s="946"/>
      <c r="KO275" s="946"/>
      <c r="KP275" s="946"/>
      <c r="KQ275" s="946"/>
      <c r="KR275" s="946"/>
      <c r="KS275" s="946"/>
      <c r="KT275" s="946"/>
      <c r="KU275" s="946"/>
      <c r="KV275" s="946"/>
      <c r="KW275" s="946"/>
      <c r="KX275" s="946"/>
      <c r="KY275" s="946"/>
      <c r="KZ275" s="946"/>
      <c r="LA275" s="946"/>
      <c r="LB275" s="946"/>
      <c r="LC275" s="946"/>
      <c r="LD275" s="946"/>
      <c r="LE275" s="946"/>
      <c r="LF275" s="946"/>
      <c r="LG275" s="946"/>
      <c r="LH275" s="946"/>
      <c r="LI275" s="946"/>
      <c r="LJ275" s="946"/>
      <c r="LK275" s="946"/>
      <c r="LL275" s="946"/>
      <c r="LM275" s="946"/>
      <c r="LN275" s="946"/>
      <c r="LO275" s="946"/>
      <c r="LP275" s="946"/>
    </row>
    <row r="276" spans="1:328" s="1007" customFormat="1" ht="40.5" customHeight="1" x14ac:dyDescent="0.2">
      <c r="A276" s="971"/>
      <c r="B276" s="972"/>
      <c r="C276" s="973"/>
      <c r="D276" s="972"/>
      <c r="E276" s="972"/>
      <c r="F276" s="973"/>
      <c r="G276" s="979"/>
      <c r="H276" s="972"/>
      <c r="I276" s="973"/>
      <c r="J276" s="4519"/>
      <c r="K276" s="4522"/>
      <c r="L276" s="4525"/>
      <c r="M276" s="4525"/>
      <c r="N276" s="4526"/>
      <c r="O276" s="4524"/>
      <c r="P276" s="4528"/>
      <c r="Q276" s="4521"/>
      <c r="R276" s="4532"/>
      <c r="S276" s="4534"/>
      <c r="T276" s="4521"/>
      <c r="U276" s="4522"/>
      <c r="V276" s="980" t="s">
        <v>1121</v>
      </c>
      <c r="W276" s="2300">
        <v>11000000</v>
      </c>
      <c r="X276" s="1809">
        <v>11000000</v>
      </c>
      <c r="Y276" s="1809">
        <v>11000000</v>
      </c>
      <c r="Z276" s="977">
        <v>61</v>
      </c>
      <c r="AA276" s="1062" t="s">
        <v>975</v>
      </c>
      <c r="AB276" s="4524"/>
      <c r="AC276" s="4638"/>
      <c r="AD276" s="4524">
        <v>282326</v>
      </c>
      <c r="AE276" s="4638">
        <f t="shared" si="84"/>
        <v>160925.81999999998</v>
      </c>
      <c r="AF276" s="4524">
        <v>135912</v>
      </c>
      <c r="AG276" s="4638">
        <f t="shared" si="85"/>
        <v>77469.84</v>
      </c>
      <c r="AH276" s="4524">
        <v>45122</v>
      </c>
      <c r="AI276" s="4638">
        <f t="shared" si="86"/>
        <v>25719.539999999997</v>
      </c>
      <c r="AJ276" s="4524">
        <v>307101</v>
      </c>
      <c r="AK276" s="4638">
        <v>175047.56999999998</v>
      </c>
      <c r="AL276" s="4524">
        <v>86875</v>
      </c>
      <c r="AM276" s="4638">
        <v>49518.749999999993</v>
      </c>
      <c r="AN276" s="4524">
        <v>2145</v>
      </c>
      <c r="AO276" s="4638">
        <f t="shared" si="87"/>
        <v>1222.6499999999999</v>
      </c>
      <c r="AP276" s="4524">
        <v>12718</v>
      </c>
      <c r="AQ276" s="4638">
        <f t="shared" si="88"/>
        <v>7249.2599999999993</v>
      </c>
      <c r="AR276" s="4524">
        <v>26</v>
      </c>
      <c r="AS276" s="4638">
        <f t="shared" si="89"/>
        <v>14.819999999999999</v>
      </c>
      <c r="AT276" s="4524">
        <v>37</v>
      </c>
      <c r="AU276" s="4638">
        <f t="shared" si="90"/>
        <v>21.09</v>
      </c>
      <c r="AV276" s="4524" t="s">
        <v>767</v>
      </c>
      <c r="AW276" s="4638" t="s">
        <v>767</v>
      </c>
      <c r="AX276" s="4524" t="s">
        <v>767</v>
      </c>
      <c r="AY276" s="4638" t="s">
        <v>767</v>
      </c>
      <c r="AZ276" s="4524">
        <v>53164</v>
      </c>
      <c r="BA276" s="4638">
        <f t="shared" si="91"/>
        <v>30303.479999999996</v>
      </c>
      <c r="BB276" s="4524">
        <v>16982</v>
      </c>
      <c r="BC276" s="4638">
        <f t="shared" si="92"/>
        <v>9679.74</v>
      </c>
      <c r="BD276" s="4524">
        <v>60013</v>
      </c>
      <c r="BE276" s="4638">
        <f t="shared" si="93"/>
        <v>34207.409999999996</v>
      </c>
      <c r="BF276" s="4524">
        <v>575010</v>
      </c>
      <c r="BG276" s="4638">
        <f t="shared" si="94"/>
        <v>327755.69999999995</v>
      </c>
      <c r="BH276" s="4543"/>
      <c r="BI276" s="4543"/>
      <c r="BJ276" s="4543"/>
      <c r="BK276" s="3185"/>
      <c r="BL276" s="4543"/>
      <c r="BM276" s="4543"/>
      <c r="BN276" s="4554"/>
      <c r="BO276" s="4554"/>
      <c r="BP276" s="4554"/>
      <c r="BQ276" s="4554"/>
      <c r="BR276" s="4557"/>
      <c r="BS276" s="946"/>
      <c r="BT276" s="946"/>
      <c r="BU276" s="946"/>
      <c r="BV276" s="946"/>
      <c r="BW276" s="946"/>
      <c r="BX276" s="946"/>
      <c r="BY276" s="946"/>
      <c r="BZ276" s="946"/>
      <c r="CA276" s="946"/>
      <c r="CB276" s="946"/>
      <c r="CC276" s="946"/>
      <c r="CD276" s="946"/>
      <c r="CE276" s="946"/>
      <c r="CF276" s="946"/>
      <c r="CG276" s="946"/>
      <c r="CH276" s="946"/>
      <c r="CI276" s="946"/>
      <c r="CJ276" s="946"/>
      <c r="CK276" s="946"/>
      <c r="CL276" s="946"/>
      <c r="CM276" s="946"/>
      <c r="CN276" s="946"/>
      <c r="CO276" s="946"/>
      <c r="CP276" s="946"/>
      <c r="CQ276" s="946"/>
      <c r="CR276" s="946"/>
      <c r="CS276" s="946"/>
      <c r="CT276" s="946"/>
      <c r="CU276" s="946"/>
      <c r="CV276" s="946"/>
      <c r="CW276" s="946"/>
      <c r="CX276" s="946"/>
      <c r="CY276" s="946"/>
      <c r="CZ276" s="946"/>
      <c r="DA276" s="946"/>
      <c r="DB276" s="946"/>
      <c r="DC276" s="946"/>
      <c r="DD276" s="946"/>
      <c r="DE276" s="946"/>
      <c r="DF276" s="946"/>
      <c r="DG276" s="946"/>
      <c r="DH276" s="946"/>
      <c r="DI276" s="946"/>
      <c r="DJ276" s="946"/>
      <c r="DK276" s="946"/>
      <c r="DL276" s="946"/>
      <c r="DM276" s="946"/>
      <c r="DN276" s="946"/>
      <c r="DO276" s="946"/>
      <c r="DP276" s="946"/>
      <c r="DQ276" s="946"/>
      <c r="DR276" s="946"/>
      <c r="DS276" s="946"/>
      <c r="DT276" s="946"/>
      <c r="DU276" s="946"/>
      <c r="DV276" s="946"/>
      <c r="DW276" s="946"/>
      <c r="DX276" s="946"/>
      <c r="DY276" s="946"/>
      <c r="DZ276" s="946"/>
      <c r="EA276" s="946"/>
      <c r="EB276" s="946"/>
      <c r="EC276" s="946"/>
      <c r="ED276" s="946"/>
      <c r="EE276" s="946"/>
      <c r="EF276" s="946"/>
      <c r="EG276" s="946"/>
      <c r="EH276" s="946"/>
      <c r="EI276" s="946"/>
      <c r="EJ276" s="946"/>
      <c r="EK276" s="946"/>
      <c r="EL276" s="946"/>
      <c r="EM276" s="946"/>
      <c r="EN276" s="946"/>
      <c r="EO276" s="946"/>
      <c r="EP276" s="946"/>
      <c r="EQ276" s="946"/>
      <c r="ER276" s="946"/>
      <c r="ES276" s="946"/>
      <c r="ET276" s="946"/>
      <c r="EU276" s="946"/>
      <c r="EV276" s="946"/>
      <c r="EW276" s="946"/>
      <c r="EX276" s="946"/>
      <c r="EY276" s="946"/>
      <c r="EZ276" s="946"/>
      <c r="FA276" s="946"/>
      <c r="FB276" s="946"/>
      <c r="FC276" s="946"/>
      <c r="FD276" s="946"/>
      <c r="FE276" s="946"/>
      <c r="FF276" s="946"/>
      <c r="FG276" s="946"/>
      <c r="FH276" s="946"/>
      <c r="FI276" s="946"/>
      <c r="FJ276" s="946"/>
      <c r="FK276" s="946"/>
      <c r="FL276" s="946"/>
      <c r="FM276" s="946"/>
      <c r="FN276" s="946"/>
      <c r="FO276" s="946"/>
      <c r="FP276" s="946"/>
      <c r="FQ276" s="946"/>
      <c r="FR276" s="946"/>
      <c r="FS276" s="946"/>
      <c r="FT276" s="946"/>
      <c r="FU276" s="946"/>
      <c r="FV276" s="946"/>
      <c r="FW276" s="946"/>
      <c r="FX276" s="946"/>
      <c r="FY276" s="946"/>
      <c r="FZ276" s="946"/>
      <c r="GA276" s="946"/>
      <c r="GB276" s="946"/>
      <c r="GC276" s="946"/>
      <c r="GD276" s="946"/>
      <c r="GE276" s="946"/>
      <c r="GF276" s="946"/>
      <c r="GG276" s="946"/>
      <c r="GH276" s="946"/>
      <c r="GI276" s="946"/>
      <c r="GJ276" s="946"/>
      <c r="GK276" s="946"/>
      <c r="GL276" s="946"/>
      <c r="GM276" s="946"/>
      <c r="GN276" s="946"/>
      <c r="GO276" s="946"/>
      <c r="GP276" s="946"/>
      <c r="GQ276" s="946"/>
      <c r="GR276" s="946"/>
      <c r="GS276" s="946"/>
      <c r="GT276" s="946"/>
      <c r="GU276" s="946"/>
      <c r="GV276" s="946"/>
      <c r="GW276" s="946"/>
      <c r="GX276" s="946"/>
      <c r="GY276" s="946"/>
      <c r="GZ276" s="946"/>
      <c r="HA276" s="946"/>
      <c r="HB276" s="946"/>
      <c r="HC276" s="946"/>
      <c r="HD276" s="946"/>
      <c r="HE276" s="946"/>
      <c r="HF276" s="946"/>
      <c r="HG276" s="946"/>
      <c r="HH276" s="946"/>
      <c r="HI276" s="946"/>
      <c r="HJ276" s="946"/>
      <c r="HK276" s="946"/>
      <c r="HL276" s="946"/>
      <c r="HM276" s="946"/>
      <c r="HN276" s="946"/>
      <c r="HO276" s="946"/>
      <c r="HP276" s="946"/>
      <c r="HQ276" s="946"/>
      <c r="HR276" s="946"/>
      <c r="HS276" s="946"/>
      <c r="HT276" s="946"/>
      <c r="HU276" s="946"/>
      <c r="HV276" s="946"/>
      <c r="HW276" s="946"/>
      <c r="HX276" s="946"/>
      <c r="HY276" s="946"/>
      <c r="HZ276" s="946"/>
      <c r="IA276" s="946"/>
      <c r="IB276" s="946"/>
      <c r="IC276" s="946"/>
      <c r="ID276" s="946"/>
      <c r="IE276" s="946"/>
      <c r="IF276" s="946"/>
      <c r="IG276" s="946"/>
      <c r="IH276" s="946"/>
      <c r="II276" s="946"/>
      <c r="IJ276" s="946"/>
      <c r="IK276" s="946"/>
      <c r="IL276" s="946"/>
      <c r="IM276" s="946"/>
      <c r="IN276" s="946"/>
      <c r="IO276" s="946"/>
      <c r="IP276" s="946"/>
      <c r="IQ276" s="946"/>
      <c r="IR276" s="946"/>
      <c r="IS276" s="946"/>
      <c r="IT276" s="946"/>
      <c r="IU276" s="946"/>
      <c r="IV276" s="946"/>
      <c r="IW276" s="946"/>
      <c r="IX276" s="946"/>
      <c r="IY276" s="946"/>
      <c r="IZ276" s="946"/>
      <c r="JA276" s="946"/>
      <c r="JB276" s="946"/>
      <c r="JC276" s="946"/>
      <c r="JD276" s="946"/>
      <c r="JE276" s="946"/>
      <c r="JF276" s="946"/>
      <c r="JG276" s="946"/>
      <c r="JH276" s="946"/>
      <c r="JI276" s="946"/>
      <c r="JJ276" s="946"/>
      <c r="JK276" s="946"/>
      <c r="JL276" s="946"/>
      <c r="JM276" s="946"/>
      <c r="JN276" s="946"/>
      <c r="JO276" s="946"/>
      <c r="JP276" s="946"/>
      <c r="JQ276" s="946"/>
      <c r="JR276" s="946"/>
      <c r="JS276" s="946"/>
      <c r="JT276" s="946"/>
      <c r="JU276" s="946"/>
      <c r="JV276" s="946"/>
      <c r="JW276" s="946"/>
      <c r="JX276" s="946"/>
      <c r="JY276" s="946"/>
      <c r="JZ276" s="946"/>
      <c r="KA276" s="946"/>
      <c r="KB276" s="946"/>
      <c r="KC276" s="946"/>
      <c r="KD276" s="946"/>
      <c r="KE276" s="946"/>
      <c r="KF276" s="946"/>
      <c r="KG276" s="946"/>
      <c r="KH276" s="946"/>
      <c r="KI276" s="946"/>
      <c r="KJ276" s="946"/>
      <c r="KK276" s="946"/>
      <c r="KL276" s="946"/>
      <c r="KM276" s="946"/>
      <c r="KN276" s="946"/>
      <c r="KO276" s="946"/>
      <c r="KP276" s="946"/>
      <c r="KQ276" s="946"/>
      <c r="KR276" s="946"/>
      <c r="KS276" s="946"/>
      <c r="KT276" s="946"/>
      <c r="KU276" s="946"/>
      <c r="KV276" s="946"/>
      <c r="KW276" s="946"/>
      <c r="KX276" s="946"/>
      <c r="KY276" s="946"/>
      <c r="KZ276" s="946"/>
      <c r="LA276" s="946"/>
      <c r="LB276" s="946"/>
      <c r="LC276" s="946"/>
      <c r="LD276" s="946"/>
      <c r="LE276" s="946"/>
      <c r="LF276" s="946"/>
      <c r="LG276" s="946"/>
      <c r="LH276" s="946"/>
      <c r="LI276" s="946"/>
      <c r="LJ276" s="946"/>
      <c r="LK276" s="946"/>
      <c r="LL276" s="946"/>
      <c r="LM276" s="946"/>
      <c r="LN276" s="946"/>
      <c r="LO276" s="946"/>
      <c r="LP276" s="946"/>
    </row>
    <row r="277" spans="1:328" s="1007" customFormat="1" ht="71.25" x14ac:dyDescent="0.2">
      <c r="A277" s="971"/>
      <c r="B277" s="972"/>
      <c r="C277" s="973"/>
      <c r="D277" s="972"/>
      <c r="E277" s="972"/>
      <c r="F277" s="973"/>
      <c r="G277" s="979"/>
      <c r="H277" s="972"/>
      <c r="I277" s="973"/>
      <c r="J277" s="4517">
        <v>162</v>
      </c>
      <c r="K277" s="4520" t="s">
        <v>1122</v>
      </c>
      <c r="L277" s="4523" t="s">
        <v>759</v>
      </c>
      <c r="M277" s="4523">
        <v>83</v>
      </c>
      <c r="N277" s="4523">
        <v>67</v>
      </c>
      <c r="O277" s="4524"/>
      <c r="P277" s="4528"/>
      <c r="Q277" s="4521"/>
      <c r="R277" s="4530">
        <f>SUM(W277:W282)/S271</f>
        <v>0.74567389291614639</v>
      </c>
      <c r="S277" s="4534"/>
      <c r="T277" s="4521"/>
      <c r="U277" s="4520" t="s">
        <v>1123</v>
      </c>
      <c r="V277" s="980" t="s">
        <v>1124</v>
      </c>
      <c r="W277" s="2300">
        <v>120000000</v>
      </c>
      <c r="X277" s="1809">
        <f>50000000+2275000+10000000</f>
        <v>62275000</v>
      </c>
      <c r="Y277" s="1809">
        <v>25910000</v>
      </c>
      <c r="Z277" s="977">
        <v>61</v>
      </c>
      <c r="AA277" s="1062" t="s">
        <v>975</v>
      </c>
      <c r="AB277" s="4524"/>
      <c r="AC277" s="4638"/>
      <c r="AD277" s="4524">
        <v>282326</v>
      </c>
      <c r="AE277" s="4638">
        <f t="shared" si="84"/>
        <v>160925.81999999998</v>
      </c>
      <c r="AF277" s="4524">
        <v>135912</v>
      </c>
      <c r="AG277" s="4638">
        <f t="shared" si="85"/>
        <v>77469.84</v>
      </c>
      <c r="AH277" s="4524">
        <v>45122</v>
      </c>
      <c r="AI277" s="4638">
        <f t="shared" si="86"/>
        <v>25719.539999999997</v>
      </c>
      <c r="AJ277" s="4524">
        <v>307101</v>
      </c>
      <c r="AK277" s="4638">
        <v>175047.56999999998</v>
      </c>
      <c r="AL277" s="4524">
        <v>86875</v>
      </c>
      <c r="AM277" s="4638">
        <v>49518.749999999993</v>
      </c>
      <c r="AN277" s="4524">
        <v>2145</v>
      </c>
      <c r="AO277" s="4638">
        <f t="shared" si="87"/>
        <v>1222.6499999999999</v>
      </c>
      <c r="AP277" s="4524">
        <v>12718</v>
      </c>
      <c r="AQ277" s="4638">
        <f t="shared" si="88"/>
        <v>7249.2599999999993</v>
      </c>
      <c r="AR277" s="4524">
        <v>26</v>
      </c>
      <c r="AS277" s="4638">
        <f t="shared" si="89"/>
        <v>14.819999999999999</v>
      </c>
      <c r="AT277" s="4524">
        <v>37</v>
      </c>
      <c r="AU277" s="4638">
        <f t="shared" si="90"/>
        <v>21.09</v>
      </c>
      <c r="AV277" s="4524" t="s">
        <v>767</v>
      </c>
      <c r="AW277" s="4638" t="s">
        <v>767</v>
      </c>
      <c r="AX277" s="4524" t="s">
        <v>767</v>
      </c>
      <c r="AY277" s="4638" t="s">
        <v>767</v>
      </c>
      <c r="AZ277" s="4524">
        <v>53164</v>
      </c>
      <c r="BA277" s="4638">
        <f t="shared" si="91"/>
        <v>30303.479999999996</v>
      </c>
      <c r="BB277" s="4524">
        <v>16982</v>
      </c>
      <c r="BC277" s="4638">
        <f t="shared" si="92"/>
        <v>9679.74</v>
      </c>
      <c r="BD277" s="4524">
        <v>60013</v>
      </c>
      <c r="BE277" s="4638">
        <f t="shared" si="93"/>
        <v>34207.409999999996</v>
      </c>
      <c r="BF277" s="4524">
        <v>575010</v>
      </c>
      <c r="BG277" s="4638">
        <f t="shared" si="94"/>
        <v>327755.69999999995</v>
      </c>
      <c r="BH277" s="4543"/>
      <c r="BI277" s="4543"/>
      <c r="BJ277" s="4543"/>
      <c r="BK277" s="3185"/>
      <c r="BL277" s="4543"/>
      <c r="BM277" s="4543"/>
      <c r="BN277" s="4554"/>
      <c r="BO277" s="4554"/>
      <c r="BP277" s="4554"/>
      <c r="BQ277" s="4554"/>
      <c r="BR277" s="4557"/>
      <c r="BS277" s="946"/>
      <c r="BT277" s="946"/>
      <c r="BU277" s="946"/>
      <c r="BV277" s="946"/>
      <c r="BW277" s="946"/>
      <c r="BX277" s="946"/>
      <c r="BY277" s="946"/>
      <c r="BZ277" s="946"/>
      <c r="CA277" s="946"/>
      <c r="CB277" s="946"/>
      <c r="CC277" s="946"/>
      <c r="CD277" s="946"/>
      <c r="CE277" s="946"/>
      <c r="CF277" s="946"/>
      <c r="CG277" s="946"/>
      <c r="CH277" s="946"/>
      <c r="CI277" s="946"/>
      <c r="CJ277" s="946"/>
      <c r="CK277" s="946"/>
      <c r="CL277" s="946"/>
      <c r="CM277" s="946"/>
      <c r="CN277" s="946"/>
      <c r="CO277" s="946"/>
      <c r="CP277" s="946"/>
      <c r="CQ277" s="946"/>
      <c r="CR277" s="946"/>
      <c r="CS277" s="946"/>
      <c r="CT277" s="946"/>
      <c r="CU277" s="946"/>
      <c r="CV277" s="946"/>
      <c r="CW277" s="946"/>
      <c r="CX277" s="946"/>
      <c r="CY277" s="946"/>
      <c r="CZ277" s="946"/>
      <c r="DA277" s="946"/>
      <c r="DB277" s="946"/>
      <c r="DC277" s="946"/>
      <c r="DD277" s="946"/>
      <c r="DE277" s="946"/>
      <c r="DF277" s="946"/>
      <c r="DG277" s="946"/>
      <c r="DH277" s="946"/>
      <c r="DI277" s="946"/>
      <c r="DJ277" s="946"/>
      <c r="DK277" s="946"/>
      <c r="DL277" s="946"/>
      <c r="DM277" s="946"/>
      <c r="DN277" s="946"/>
      <c r="DO277" s="946"/>
      <c r="DP277" s="946"/>
      <c r="DQ277" s="946"/>
      <c r="DR277" s="946"/>
      <c r="DS277" s="946"/>
      <c r="DT277" s="946"/>
      <c r="DU277" s="946"/>
      <c r="DV277" s="946"/>
      <c r="DW277" s="946"/>
      <c r="DX277" s="946"/>
      <c r="DY277" s="946"/>
      <c r="DZ277" s="946"/>
      <c r="EA277" s="946"/>
      <c r="EB277" s="946"/>
      <c r="EC277" s="946"/>
      <c r="ED277" s="946"/>
      <c r="EE277" s="946"/>
      <c r="EF277" s="946"/>
      <c r="EG277" s="946"/>
      <c r="EH277" s="946"/>
      <c r="EI277" s="946"/>
      <c r="EJ277" s="946"/>
      <c r="EK277" s="946"/>
      <c r="EL277" s="946"/>
      <c r="EM277" s="946"/>
      <c r="EN277" s="946"/>
      <c r="EO277" s="946"/>
      <c r="EP277" s="946"/>
      <c r="EQ277" s="946"/>
      <c r="ER277" s="946"/>
      <c r="ES277" s="946"/>
      <c r="ET277" s="946"/>
      <c r="EU277" s="946"/>
      <c r="EV277" s="946"/>
      <c r="EW277" s="946"/>
      <c r="EX277" s="946"/>
      <c r="EY277" s="946"/>
      <c r="EZ277" s="946"/>
      <c r="FA277" s="946"/>
      <c r="FB277" s="946"/>
      <c r="FC277" s="946"/>
      <c r="FD277" s="946"/>
      <c r="FE277" s="946"/>
      <c r="FF277" s="946"/>
      <c r="FG277" s="946"/>
      <c r="FH277" s="946"/>
      <c r="FI277" s="946"/>
      <c r="FJ277" s="946"/>
      <c r="FK277" s="946"/>
      <c r="FL277" s="946"/>
      <c r="FM277" s="946"/>
      <c r="FN277" s="946"/>
      <c r="FO277" s="946"/>
      <c r="FP277" s="946"/>
      <c r="FQ277" s="946"/>
      <c r="FR277" s="946"/>
      <c r="FS277" s="946"/>
      <c r="FT277" s="946"/>
      <c r="FU277" s="946"/>
      <c r="FV277" s="946"/>
      <c r="FW277" s="946"/>
      <c r="FX277" s="946"/>
      <c r="FY277" s="946"/>
      <c r="FZ277" s="946"/>
      <c r="GA277" s="946"/>
      <c r="GB277" s="946"/>
      <c r="GC277" s="946"/>
      <c r="GD277" s="946"/>
      <c r="GE277" s="946"/>
      <c r="GF277" s="946"/>
      <c r="GG277" s="946"/>
      <c r="GH277" s="946"/>
      <c r="GI277" s="946"/>
      <c r="GJ277" s="946"/>
      <c r="GK277" s="946"/>
      <c r="GL277" s="946"/>
      <c r="GM277" s="946"/>
      <c r="GN277" s="946"/>
      <c r="GO277" s="946"/>
      <c r="GP277" s="946"/>
      <c r="GQ277" s="946"/>
      <c r="GR277" s="946"/>
      <c r="GS277" s="946"/>
      <c r="GT277" s="946"/>
      <c r="GU277" s="946"/>
      <c r="GV277" s="946"/>
      <c r="GW277" s="946"/>
      <c r="GX277" s="946"/>
      <c r="GY277" s="946"/>
      <c r="GZ277" s="946"/>
      <c r="HA277" s="946"/>
      <c r="HB277" s="946"/>
      <c r="HC277" s="946"/>
      <c r="HD277" s="946"/>
      <c r="HE277" s="946"/>
      <c r="HF277" s="946"/>
      <c r="HG277" s="946"/>
      <c r="HH277" s="946"/>
      <c r="HI277" s="946"/>
      <c r="HJ277" s="946"/>
      <c r="HK277" s="946"/>
      <c r="HL277" s="946"/>
      <c r="HM277" s="946"/>
      <c r="HN277" s="946"/>
      <c r="HO277" s="946"/>
      <c r="HP277" s="946"/>
      <c r="HQ277" s="946"/>
      <c r="HR277" s="946"/>
      <c r="HS277" s="946"/>
      <c r="HT277" s="946"/>
      <c r="HU277" s="946"/>
      <c r="HV277" s="946"/>
      <c r="HW277" s="946"/>
      <c r="HX277" s="946"/>
      <c r="HY277" s="946"/>
      <c r="HZ277" s="946"/>
      <c r="IA277" s="946"/>
      <c r="IB277" s="946"/>
      <c r="IC277" s="946"/>
      <c r="ID277" s="946"/>
      <c r="IE277" s="946"/>
      <c r="IF277" s="946"/>
      <c r="IG277" s="946"/>
      <c r="IH277" s="946"/>
      <c r="II277" s="946"/>
      <c r="IJ277" s="946"/>
      <c r="IK277" s="946"/>
      <c r="IL277" s="946"/>
      <c r="IM277" s="946"/>
      <c r="IN277" s="946"/>
      <c r="IO277" s="946"/>
      <c r="IP277" s="946"/>
      <c r="IQ277" s="946"/>
      <c r="IR277" s="946"/>
      <c r="IS277" s="946"/>
      <c r="IT277" s="946"/>
      <c r="IU277" s="946"/>
      <c r="IV277" s="946"/>
      <c r="IW277" s="946"/>
      <c r="IX277" s="946"/>
      <c r="IY277" s="946"/>
      <c r="IZ277" s="946"/>
      <c r="JA277" s="946"/>
      <c r="JB277" s="946"/>
      <c r="JC277" s="946"/>
      <c r="JD277" s="946"/>
      <c r="JE277" s="946"/>
      <c r="JF277" s="946"/>
      <c r="JG277" s="946"/>
      <c r="JH277" s="946"/>
      <c r="JI277" s="946"/>
      <c r="JJ277" s="946"/>
      <c r="JK277" s="946"/>
      <c r="JL277" s="946"/>
      <c r="JM277" s="946"/>
      <c r="JN277" s="946"/>
      <c r="JO277" s="946"/>
      <c r="JP277" s="946"/>
      <c r="JQ277" s="946"/>
      <c r="JR277" s="946"/>
      <c r="JS277" s="946"/>
      <c r="JT277" s="946"/>
      <c r="JU277" s="946"/>
      <c r="JV277" s="946"/>
      <c r="JW277" s="946"/>
      <c r="JX277" s="946"/>
      <c r="JY277" s="946"/>
      <c r="JZ277" s="946"/>
      <c r="KA277" s="946"/>
      <c r="KB277" s="946"/>
      <c r="KC277" s="946"/>
      <c r="KD277" s="946"/>
      <c r="KE277" s="946"/>
      <c r="KF277" s="946"/>
      <c r="KG277" s="946"/>
      <c r="KH277" s="946"/>
      <c r="KI277" s="946"/>
      <c r="KJ277" s="946"/>
      <c r="KK277" s="946"/>
      <c r="KL277" s="946"/>
      <c r="KM277" s="946"/>
      <c r="KN277" s="946"/>
      <c r="KO277" s="946"/>
      <c r="KP277" s="946"/>
      <c r="KQ277" s="946"/>
      <c r="KR277" s="946"/>
      <c r="KS277" s="946"/>
      <c r="KT277" s="946"/>
      <c r="KU277" s="946"/>
      <c r="KV277" s="946"/>
      <c r="KW277" s="946"/>
      <c r="KX277" s="946"/>
      <c r="KY277" s="946"/>
      <c r="KZ277" s="946"/>
      <c r="LA277" s="946"/>
      <c r="LB277" s="946"/>
      <c r="LC277" s="946"/>
      <c r="LD277" s="946"/>
      <c r="LE277" s="946"/>
      <c r="LF277" s="946"/>
      <c r="LG277" s="946"/>
      <c r="LH277" s="946"/>
      <c r="LI277" s="946"/>
      <c r="LJ277" s="946"/>
      <c r="LK277" s="946"/>
      <c r="LL277" s="946"/>
      <c r="LM277" s="946"/>
      <c r="LN277" s="946"/>
      <c r="LO277" s="946"/>
      <c r="LP277" s="946"/>
    </row>
    <row r="278" spans="1:328" s="1007" customFormat="1" ht="44.25" customHeight="1" x14ac:dyDescent="0.2">
      <c r="A278" s="971"/>
      <c r="B278" s="972"/>
      <c r="C278" s="973"/>
      <c r="D278" s="972"/>
      <c r="E278" s="972"/>
      <c r="F278" s="973"/>
      <c r="G278" s="979"/>
      <c r="H278" s="972"/>
      <c r="I278" s="973"/>
      <c r="J278" s="4518"/>
      <c r="K278" s="4521"/>
      <c r="L278" s="4524"/>
      <c r="M278" s="4524"/>
      <c r="N278" s="4524"/>
      <c r="O278" s="4524"/>
      <c r="P278" s="4528"/>
      <c r="Q278" s="4521"/>
      <c r="R278" s="4531"/>
      <c r="S278" s="4534"/>
      <c r="T278" s="4521"/>
      <c r="U278" s="4521"/>
      <c r="V278" s="980" t="s">
        <v>1125</v>
      </c>
      <c r="W278" s="2300">
        <v>53800000</v>
      </c>
      <c r="X278" s="1809">
        <v>32275000</v>
      </c>
      <c r="Y278" s="1809">
        <v>25910000</v>
      </c>
      <c r="Z278" s="977">
        <v>61</v>
      </c>
      <c r="AA278" s="1062" t="s">
        <v>975</v>
      </c>
      <c r="AB278" s="4524"/>
      <c r="AC278" s="4638"/>
      <c r="AD278" s="4524">
        <v>282326</v>
      </c>
      <c r="AE278" s="4638">
        <f t="shared" si="84"/>
        <v>160925.81999999998</v>
      </c>
      <c r="AF278" s="4524">
        <v>135912</v>
      </c>
      <c r="AG278" s="4638">
        <f t="shared" si="85"/>
        <v>77469.84</v>
      </c>
      <c r="AH278" s="4524">
        <v>45122</v>
      </c>
      <c r="AI278" s="4638">
        <f t="shared" si="86"/>
        <v>25719.539999999997</v>
      </c>
      <c r="AJ278" s="4524">
        <v>307101</v>
      </c>
      <c r="AK278" s="4638">
        <v>175047.56999999998</v>
      </c>
      <c r="AL278" s="4524">
        <v>86875</v>
      </c>
      <c r="AM278" s="4638">
        <v>49518.749999999993</v>
      </c>
      <c r="AN278" s="4524">
        <v>2145</v>
      </c>
      <c r="AO278" s="4638">
        <f t="shared" si="87"/>
        <v>1222.6499999999999</v>
      </c>
      <c r="AP278" s="4524">
        <v>12718</v>
      </c>
      <c r="AQ278" s="4638">
        <f t="shared" si="88"/>
        <v>7249.2599999999993</v>
      </c>
      <c r="AR278" s="4524">
        <v>26</v>
      </c>
      <c r="AS278" s="4638">
        <f t="shared" si="89"/>
        <v>14.819999999999999</v>
      </c>
      <c r="AT278" s="4524">
        <v>37</v>
      </c>
      <c r="AU278" s="4638">
        <f t="shared" si="90"/>
        <v>21.09</v>
      </c>
      <c r="AV278" s="4524" t="s">
        <v>767</v>
      </c>
      <c r="AW278" s="4638" t="s">
        <v>767</v>
      </c>
      <c r="AX278" s="4524" t="s">
        <v>767</v>
      </c>
      <c r="AY278" s="4638" t="s">
        <v>767</v>
      </c>
      <c r="AZ278" s="4524">
        <v>53164</v>
      </c>
      <c r="BA278" s="4638">
        <f t="shared" si="91"/>
        <v>30303.479999999996</v>
      </c>
      <c r="BB278" s="4524">
        <v>16982</v>
      </c>
      <c r="BC278" s="4638">
        <f t="shared" si="92"/>
        <v>9679.74</v>
      </c>
      <c r="BD278" s="4524">
        <v>60013</v>
      </c>
      <c r="BE278" s="4638">
        <f t="shared" si="93"/>
        <v>34207.409999999996</v>
      </c>
      <c r="BF278" s="4524">
        <v>575010</v>
      </c>
      <c r="BG278" s="4638">
        <f t="shared" si="94"/>
        <v>327755.69999999995</v>
      </c>
      <c r="BH278" s="4543"/>
      <c r="BI278" s="4543"/>
      <c r="BJ278" s="4543"/>
      <c r="BK278" s="3185"/>
      <c r="BL278" s="4543"/>
      <c r="BM278" s="4543"/>
      <c r="BN278" s="4554"/>
      <c r="BO278" s="4554"/>
      <c r="BP278" s="4554"/>
      <c r="BQ278" s="4554"/>
      <c r="BR278" s="4557"/>
      <c r="BS278" s="946"/>
      <c r="BT278" s="946"/>
      <c r="BU278" s="946"/>
      <c r="BV278" s="946"/>
      <c r="BW278" s="946"/>
      <c r="BX278" s="946"/>
      <c r="BY278" s="946"/>
      <c r="BZ278" s="946"/>
      <c r="CA278" s="946"/>
      <c r="CB278" s="946"/>
      <c r="CC278" s="946"/>
      <c r="CD278" s="946"/>
      <c r="CE278" s="946"/>
      <c r="CF278" s="946"/>
      <c r="CG278" s="946"/>
      <c r="CH278" s="946"/>
      <c r="CI278" s="946"/>
      <c r="CJ278" s="946"/>
      <c r="CK278" s="946"/>
      <c r="CL278" s="946"/>
      <c r="CM278" s="946"/>
      <c r="CN278" s="946"/>
      <c r="CO278" s="946"/>
      <c r="CP278" s="946"/>
      <c r="CQ278" s="946"/>
      <c r="CR278" s="946"/>
      <c r="CS278" s="946"/>
      <c r="CT278" s="946"/>
      <c r="CU278" s="946"/>
      <c r="CV278" s="946"/>
      <c r="CW278" s="946"/>
      <c r="CX278" s="946"/>
      <c r="CY278" s="946"/>
      <c r="CZ278" s="946"/>
      <c r="DA278" s="946"/>
      <c r="DB278" s="946"/>
      <c r="DC278" s="946"/>
      <c r="DD278" s="946"/>
      <c r="DE278" s="946"/>
      <c r="DF278" s="946"/>
      <c r="DG278" s="946"/>
      <c r="DH278" s="946"/>
      <c r="DI278" s="946"/>
      <c r="DJ278" s="946"/>
      <c r="DK278" s="946"/>
      <c r="DL278" s="946"/>
      <c r="DM278" s="946"/>
      <c r="DN278" s="946"/>
      <c r="DO278" s="946"/>
      <c r="DP278" s="946"/>
      <c r="DQ278" s="946"/>
      <c r="DR278" s="946"/>
      <c r="DS278" s="946"/>
      <c r="DT278" s="946"/>
      <c r="DU278" s="946"/>
      <c r="DV278" s="946"/>
      <c r="DW278" s="946"/>
      <c r="DX278" s="946"/>
      <c r="DY278" s="946"/>
      <c r="DZ278" s="946"/>
      <c r="EA278" s="946"/>
      <c r="EB278" s="946"/>
      <c r="EC278" s="946"/>
      <c r="ED278" s="946"/>
      <c r="EE278" s="946"/>
      <c r="EF278" s="946"/>
      <c r="EG278" s="946"/>
      <c r="EH278" s="946"/>
      <c r="EI278" s="946"/>
      <c r="EJ278" s="946"/>
      <c r="EK278" s="946"/>
      <c r="EL278" s="946"/>
      <c r="EM278" s="946"/>
      <c r="EN278" s="946"/>
      <c r="EO278" s="946"/>
      <c r="EP278" s="946"/>
      <c r="EQ278" s="946"/>
      <c r="ER278" s="946"/>
      <c r="ES278" s="946"/>
      <c r="ET278" s="946"/>
      <c r="EU278" s="946"/>
      <c r="EV278" s="946"/>
      <c r="EW278" s="946"/>
      <c r="EX278" s="946"/>
      <c r="EY278" s="946"/>
      <c r="EZ278" s="946"/>
      <c r="FA278" s="946"/>
      <c r="FB278" s="946"/>
      <c r="FC278" s="946"/>
      <c r="FD278" s="946"/>
      <c r="FE278" s="946"/>
      <c r="FF278" s="946"/>
      <c r="FG278" s="946"/>
      <c r="FH278" s="946"/>
      <c r="FI278" s="946"/>
      <c r="FJ278" s="946"/>
      <c r="FK278" s="946"/>
      <c r="FL278" s="946"/>
      <c r="FM278" s="946"/>
      <c r="FN278" s="946"/>
      <c r="FO278" s="946"/>
      <c r="FP278" s="946"/>
      <c r="FQ278" s="946"/>
      <c r="FR278" s="946"/>
      <c r="FS278" s="946"/>
      <c r="FT278" s="946"/>
      <c r="FU278" s="946"/>
      <c r="FV278" s="946"/>
      <c r="FW278" s="946"/>
      <c r="FX278" s="946"/>
      <c r="FY278" s="946"/>
      <c r="FZ278" s="946"/>
      <c r="GA278" s="946"/>
      <c r="GB278" s="946"/>
      <c r="GC278" s="946"/>
      <c r="GD278" s="946"/>
      <c r="GE278" s="946"/>
      <c r="GF278" s="946"/>
      <c r="GG278" s="946"/>
      <c r="GH278" s="946"/>
      <c r="GI278" s="946"/>
      <c r="GJ278" s="946"/>
      <c r="GK278" s="946"/>
      <c r="GL278" s="946"/>
      <c r="GM278" s="946"/>
      <c r="GN278" s="946"/>
      <c r="GO278" s="946"/>
      <c r="GP278" s="946"/>
      <c r="GQ278" s="946"/>
      <c r="GR278" s="946"/>
      <c r="GS278" s="946"/>
      <c r="GT278" s="946"/>
      <c r="GU278" s="946"/>
      <c r="GV278" s="946"/>
      <c r="GW278" s="946"/>
      <c r="GX278" s="946"/>
      <c r="GY278" s="946"/>
      <c r="GZ278" s="946"/>
      <c r="HA278" s="946"/>
      <c r="HB278" s="946"/>
      <c r="HC278" s="946"/>
      <c r="HD278" s="946"/>
      <c r="HE278" s="946"/>
      <c r="HF278" s="946"/>
      <c r="HG278" s="946"/>
      <c r="HH278" s="946"/>
      <c r="HI278" s="946"/>
      <c r="HJ278" s="946"/>
      <c r="HK278" s="946"/>
      <c r="HL278" s="946"/>
      <c r="HM278" s="946"/>
      <c r="HN278" s="946"/>
      <c r="HO278" s="946"/>
      <c r="HP278" s="946"/>
      <c r="HQ278" s="946"/>
      <c r="HR278" s="946"/>
      <c r="HS278" s="946"/>
      <c r="HT278" s="946"/>
      <c r="HU278" s="946"/>
      <c r="HV278" s="946"/>
      <c r="HW278" s="946"/>
      <c r="HX278" s="946"/>
      <c r="HY278" s="946"/>
      <c r="HZ278" s="946"/>
      <c r="IA278" s="946"/>
      <c r="IB278" s="946"/>
      <c r="IC278" s="946"/>
      <c r="ID278" s="946"/>
      <c r="IE278" s="946"/>
      <c r="IF278" s="946"/>
      <c r="IG278" s="946"/>
      <c r="IH278" s="946"/>
      <c r="II278" s="946"/>
      <c r="IJ278" s="946"/>
      <c r="IK278" s="946"/>
      <c r="IL278" s="946"/>
      <c r="IM278" s="946"/>
      <c r="IN278" s="946"/>
      <c r="IO278" s="946"/>
      <c r="IP278" s="946"/>
      <c r="IQ278" s="946"/>
      <c r="IR278" s="946"/>
      <c r="IS278" s="946"/>
      <c r="IT278" s="946"/>
      <c r="IU278" s="946"/>
      <c r="IV278" s="946"/>
      <c r="IW278" s="946"/>
      <c r="IX278" s="946"/>
      <c r="IY278" s="946"/>
      <c r="IZ278" s="946"/>
      <c r="JA278" s="946"/>
      <c r="JB278" s="946"/>
      <c r="JC278" s="946"/>
      <c r="JD278" s="946"/>
      <c r="JE278" s="946"/>
      <c r="JF278" s="946"/>
      <c r="JG278" s="946"/>
      <c r="JH278" s="946"/>
      <c r="JI278" s="946"/>
      <c r="JJ278" s="946"/>
      <c r="JK278" s="946"/>
      <c r="JL278" s="946"/>
      <c r="JM278" s="946"/>
      <c r="JN278" s="946"/>
      <c r="JO278" s="946"/>
      <c r="JP278" s="946"/>
      <c r="JQ278" s="946"/>
      <c r="JR278" s="946"/>
      <c r="JS278" s="946"/>
      <c r="JT278" s="946"/>
      <c r="JU278" s="946"/>
      <c r="JV278" s="946"/>
      <c r="JW278" s="946"/>
      <c r="JX278" s="946"/>
      <c r="JY278" s="946"/>
      <c r="JZ278" s="946"/>
      <c r="KA278" s="946"/>
      <c r="KB278" s="946"/>
      <c r="KC278" s="946"/>
      <c r="KD278" s="946"/>
      <c r="KE278" s="946"/>
      <c r="KF278" s="946"/>
      <c r="KG278" s="946"/>
      <c r="KH278" s="946"/>
      <c r="KI278" s="946"/>
      <c r="KJ278" s="946"/>
      <c r="KK278" s="946"/>
      <c r="KL278" s="946"/>
      <c r="KM278" s="946"/>
      <c r="KN278" s="946"/>
      <c r="KO278" s="946"/>
      <c r="KP278" s="946"/>
      <c r="KQ278" s="946"/>
      <c r="KR278" s="946"/>
      <c r="KS278" s="946"/>
      <c r="KT278" s="946"/>
      <c r="KU278" s="946"/>
      <c r="KV278" s="946"/>
      <c r="KW278" s="946"/>
      <c r="KX278" s="946"/>
      <c r="KY278" s="946"/>
      <c r="KZ278" s="946"/>
      <c r="LA278" s="946"/>
      <c r="LB278" s="946"/>
      <c r="LC278" s="946"/>
      <c r="LD278" s="946"/>
      <c r="LE278" s="946"/>
      <c r="LF278" s="946"/>
      <c r="LG278" s="946"/>
      <c r="LH278" s="946"/>
      <c r="LI278" s="946"/>
      <c r="LJ278" s="946"/>
      <c r="LK278" s="946"/>
      <c r="LL278" s="946"/>
      <c r="LM278" s="946"/>
      <c r="LN278" s="946"/>
      <c r="LO278" s="946"/>
      <c r="LP278" s="946"/>
    </row>
    <row r="279" spans="1:328" s="1007" customFormat="1" ht="32.25" customHeight="1" x14ac:dyDescent="0.2">
      <c r="A279" s="971"/>
      <c r="B279" s="972"/>
      <c r="C279" s="973"/>
      <c r="D279" s="972"/>
      <c r="E279" s="972"/>
      <c r="F279" s="973"/>
      <c r="G279" s="979"/>
      <c r="H279" s="972"/>
      <c r="I279" s="973"/>
      <c r="J279" s="4518"/>
      <c r="K279" s="4521"/>
      <c r="L279" s="4524"/>
      <c r="M279" s="4524"/>
      <c r="N279" s="4524"/>
      <c r="O279" s="4524"/>
      <c r="P279" s="4528"/>
      <c r="Q279" s="4521"/>
      <c r="R279" s="4531"/>
      <c r="S279" s="4534"/>
      <c r="T279" s="4521"/>
      <c r="U279" s="4521"/>
      <c r="V279" s="4551" t="s">
        <v>1126</v>
      </c>
      <c r="W279" s="2608">
        <f>30000000+18924714</f>
        <v>48924714</v>
      </c>
      <c r="X279" s="1809">
        <v>30000000</v>
      </c>
      <c r="Y279" s="1809">
        <v>25910000</v>
      </c>
      <c r="Z279" s="1009">
        <v>61</v>
      </c>
      <c r="AA279" s="1062" t="s">
        <v>975</v>
      </c>
      <c r="AB279" s="4524"/>
      <c r="AC279" s="4638"/>
      <c r="AD279" s="4524">
        <v>282326</v>
      </c>
      <c r="AE279" s="4638">
        <f t="shared" si="84"/>
        <v>160925.81999999998</v>
      </c>
      <c r="AF279" s="4524">
        <v>135912</v>
      </c>
      <c r="AG279" s="4638">
        <f t="shared" si="85"/>
        <v>77469.84</v>
      </c>
      <c r="AH279" s="4524">
        <v>45122</v>
      </c>
      <c r="AI279" s="4638">
        <f t="shared" si="86"/>
        <v>25719.539999999997</v>
      </c>
      <c r="AJ279" s="4524">
        <v>307101</v>
      </c>
      <c r="AK279" s="4638">
        <v>175047.56999999998</v>
      </c>
      <c r="AL279" s="4524">
        <v>86875</v>
      </c>
      <c r="AM279" s="4638">
        <v>49518.749999999993</v>
      </c>
      <c r="AN279" s="4524">
        <v>2145</v>
      </c>
      <c r="AO279" s="4638">
        <f t="shared" si="87"/>
        <v>1222.6499999999999</v>
      </c>
      <c r="AP279" s="4524">
        <v>12718</v>
      </c>
      <c r="AQ279" s="4638">
        <f t="shared" si="88"/>
        <v>7249.2599999999993</v>
      </c>
      <c r="AR279" s="4524">
        <v>26</v>
      </c>
      <c r="AS279" s="4638">
        <f t="shared" si="89"/>
        <v>14.819999999999999</v>
      </c>
      <c r="AT279" s="4524">
        <v>37</v>
      </c>
      <c r="AU279" s="4638">
        <f t="shared" si="90"/>
        <v>21.09</v>
      </c>
      <c r="AV279" s="4524" t="s">
        <v>767</v>
      </c>
      <c r="AW279" s="4638" t="s">
        <v>767</v>
      </c>
      <c r="AX279" s="4524" t="s">
        <v>767</v>
      </c>
      <c r="AY279" s="4638" t="s">
        <v>767</v>
      </c>
      <c r="AZ279" s="4524">
        <v>53164</v>
      </c>
      <c r="BA279" s="4638">
        <f t="shared" si="91"/>
        <v>30303.479999999996</v>
      </c>
      <c r="BB279" s="4524">
        <v>16982</v>
      </c>
      <c r="BC279" s="4638">
        <f t="shared" si="92"/>
        <v>9679.74</v>
      </c>
      <c r="BD279" s="4524">
        <v>60013</v>
      </c>
      <c r="BE279" s="4638">
        <f t="shared" si="93"/>
        <v>34207.409999999996</v>
      </c>
      <c r="BF279" s="4524">
        <v>575010</v>
      </c>
      <c r="BG279" s="4638">
        <f t="shared" si="94"/>
        <v>327755.69999999995</v>
      </c>
      <c r="BH279" s="4543"/>
      <c r="BI279" s="4543"/>
      <c r="BJ279" s="4543"/>
      <c r="BK279" s="3185"/>
      <c r="BL279" s="4543"/>
      <c r="BM279" s="4543"/>
      <c r="BN279" s="4554"/>
      <c r="BO279" s="4554"/>
      <c r="BP279" s="4554"/>
      <c r="BQ279" s="4554"/>
      <c r="BR279" s="4557"/>
      <c r="BS279" s="946"/>
      <c r="BT279" s="946"/>
      <c r="BU279" s="946"/>
      <c r="BV279" s="946"/>
      <c r="BW279" s="946"/>
      <c r="BX279" s="946"/>
      <c r="BY279" s="946"/>
      <c r="BZ279" s="946"/>
      <c r="CA279" s="946"/>
      <c r="CB279" s="946"/>
      <c r="CC279" s="946"/>
      <c r="CD279" s="946"/>
      <c r="CE279" s="946"/>
      <c r="CF279" s="946"/>
      <c r="CG279" s="946"/>
      <c r="CH279" s="946"/>
      <c r="CI279" s="946"/>
      <c r="CJ279" s="946"/>
      <c r="CK279" s="946"/>
      <c r="CL279" s="946"/>
      <c r="CM279" s="946"/>
      <c r="CN279" s="946"/>
      <c r="CO279" s="946"/>
      <c r="CP279" s="946"/>
      <c r="CQ279" s="946"/>
      <c r="CR279" s="946"/>
      <c r="CS279" s="946"/>
      <c r="CT279" s="946"/>
      <c r="CU279" s="946"/>
      <c r="CV279" s="946"/>
      <c r="CW279" s="946"/>
      <c r="CX279" s="946"/>
      <c r="CY279" s="946"/>
      <c r="CZ279" s="946"/>
      <c r="DA279" s="946"/>
      <c r="DB279" s="946"/>
      <c r="DC279" s="946"/>
      <c r="DD279" s="946"/>
      <c r="DE279" s="946"/>
      <c r="DF279" s="946"/>
      <c r="DG279" s="946"/>
      <c r="DH279" s="946"/>
      <c r="DI279" s="946"/>
      <c r="DJ279" s="946"/>
      <c r="DK279" s="946"/>
      <c r="DL279" s="946"/>
      <c r="DM279" s="946"/>
      <c r="DN279" s="946"/>
      <c r="DO279" s="946"/>
      <c r="DP279" s="946"/>
      <c r="DQ279" s="946"/>
      <c r="DR279" s="946"/>
      <c r="DS279" s="946"/>
      <c r="DT279" s="946"/>
      <c r="DU279" s="946"/>
      <c r="DV279" s="946"/>
      <c r="DW279" s="946"/>
      <c r="DX279" s="946"/>
      <c r="DY279" s="946"/>
      <c r="DZ279" s="946"/>
      <c r="EA279" s="946"/>
      <c r="EB279" s="946"/>
      <c r="EC279" s="946"/>
      <c r="ED279" s="946"/>
      <c r="EE279" s="946"/>
      <c r="EF279" s="946"/>
      <c r="EG279" s="946"/>
      <c r="EH279" s="946"/>
      <c r="EI279" s="946"/>
      <c r="EJ279" s="946"/>
      <c r="EK279" s="946"/>
      <c r="EL279" s="946"/>
      <c r="EM279" s="946"/>
      <c r="EN279" s="946"/>
      <c r="EO279" s="946"/>
      <c r="EP279" s="946"/>
      <c r="EQ279" s="946"/>
      <c r="ER279" s="946"/>
      <c r="ES279" s="946"/>
      <c r="ET279" s="946"/>
      <c r="EU279" s="946"/>
      <c r="EV279" s="946"/>
      <c r="EW279" s="946"/>
      <c r="EX279" s="946"/>
      <c r="EY279" s="946"/>
      <c r="EZ279" s="946"/>
      <c r="FA279" s="946"/>
      <c r="FB279" s="946"/>
      <c r="FC279" s="946"/>
      <c r="FD279" s="946"/>
      <c r="FE279" s="946"/>
      <c r="FF279" s="946"/>
      <c r="FG279" s="946"/>
      <c r="FH279" s="946"/>
      <c r="FI279" s="946"/>
      <c r="FJ279" s="946"/>
      <c r="FK279" s="946"/>
      <c r="FL279" s="946"/>
      <c r="FM279" s="946"/>
      <c r="FN279" s="946"/>
      <c r="FO279" s="946"/>
      <c r="FP279" s="946"/>
      <c r="FQ279" s="946"/>
      <c r="FR279" s="946"/>
      <c r="FS279" s="946"/>
      <c r="FT279" s="946"/>
      <c r="FU279" s="946"/>
      <c r="FV279" s="946"/>
      <c r="FW279" s="946"/>
      <c r="FX279" s="946"/>
      <c r="FY279" s="946"/>
      <c r="FZ279" s="946"/>
      <c r="GA279" s="946"/>
      <c r="GB279" s="946"/>
      <c r="GC279" s="946"/>
      <c r="GD279" s="946"/>
      <c r="GE279" s="946"/>
      <c r="GF279" s="946"/>
      <c r="GG279" s="946"/>
      <c r="GH279" s="946"/>
      <c r="GI279" s="946"/>
      <c r="GJ279" s="946"/>
      <c r="GK279" s="946"/>
      <c r="GL279" s="946"/>
      <c r="GM279" s="946"/>
      <c r="GN279" s="946"/>
      <c r="GO279" s="946"/>
      <c r="GP279" s="946"/>
      <c r="GQ279" s="946"/>
      <c r="GR279" s="946"/>
      <c r="GS279" s="946"/>
      <c r="GT279" s="946"/>
      <c r="GU279" s="946"/>
      <c r="GV279" s="946"/>
      <c r="GW279" s="946"/>
      <c r="GX279" s="946"/>
      <c r="GY279" s="946"/>
      <c r="GZ279" s="946"/>
      <c r="HA279" s="946"/>
      <c r="HB279" s="946"/>
      <c r="HC279" s="946"/>
      <c r="HD279" s="946"/>
      <c r="HE279" s="946"/>
      <c r="HF279" s="946"/>
      <c r="HG279" s="946"/>
      <c r="HH279" s="946"/>
      <c r="HI279" s="946"/>
      <c r="HJ279" s="946"/>
      <c r="HK279" s="946"/>
      <c r="HL279" s="946"/>
      <c r="HM279" s="946"/>
      <c r="HN279" s="946"/>
      <c r="HO279" s="946"/>
      <c r="HP279" s="946"/>
      <c r="HQ279" s="946"/>
      <c r="HR279" s="946"/>
      <c r="HS279" s="946"/>
      <c r="HT279" s="946"/>
      <c r="HU279" s="946"/>
      <c r="HV279" s="946"/>
      <c r="HW279" s="946"/>
      <c r="HX279" s="946"/>
      <c r="HY279" s="946"/>
      <c r="HZ279" s="946"/>
      <c r="IA279" s="946"/>
      <c r="IB279" s="946"/>
      <c r="IC279" s="946"/>
      <c r="ID279" s="946"/>
      <c r="IE279" s="946"/>
      <c r="IF279" s="946"/>
      <c r="IG279" s="946"/>
      <c r="IH279" s="946"/>
      <c r="II279" s="946"/>
      <c r="IJ279" s="946"/>
      <c r="IK279" s="946"/>
      <c r="IL279" s="946"/>
      <c r="IM279" s="946"/>
      <c r="IN279" s="946"/>
      <c r="IO279" s="946"/>
      <c r="IP279" s="946"/>
      <c r="IQ279" s="946"/>
      <c r="IR279" s="946"/>
      <c r="IS279" s="946"/>
      <c r="IT279" s="946"/>
      <c r="IU279" s="946"/>
      <c r="IV279" s="946"/>
      <c r="IW279" s="946"/>
      <c r="IX279" s="946"/>
      <c r="IY279" s="946"/>
      <c r="IZ279" s="946"/>
      <c r="JA279" s="946"/>
      <c r="JB279" s="946"/>
      <c r="JC279" s="946"/>
      <c r="JD279" s="946"/>
      <c r="JE279" s="946"/>
      <c r="JF279" s="946"/>
      <c r="JG279" s="946"/>
      <c r="JH279" s="946"/>
      <c r="JI279" s="946"/>
      <c r="JJ279" s="946"/>
      <c r="JK279" s="946"/>
      <c r="JL279" s="946"/>
      <c r="JM279" s="946"/>
      <c r="JN279" s="946"/>
      <c r="JO279" s="946"/>
      <c r="JP279" s="946"/>
      <c r="JQ279" s="946"/>
      <c r="JR279" s="946"/>
      <c r="JS279" s="946"/>
      <c r="JT279" s="946"/>
      <c r="JU279" s="946"/>
      <c r="JV279" s="946"/>
      <c r="JW279" s="946"/>
      <c r="JX279" s="946"/>
      <c r="JY279" s="946"/>
      <c r="JZ279" s="946"/>
      <c r="KA279" s="946"/>
      <c r="KB279" s="946"/>
      <c r="KC279" s="946"/>
      <c r="KD279" s="946"/>
      <c r="KE279" s="946"/>
      <c r="KF279" s="946"/>
      <c r="KG279" s="946"/>
      <c r="KH279" s="946"/>
      <c r="KI279" s="946"/>
      <c r="KJ279" s="946"/>
      <c r="KK279" s="946"/>
      <c r="KL279" s="946"/>
      <c r="KM279" s="946"/>
      <c r="KN279" s="946"/>
      <c r="KO279" s="946"/>
      <c r="KP279" s="946"/>
      <c r="KQ279" s="946"/>
      <c r="KR279" s="946"/>
      <c r="KS279" s="946"/>
      <c r="KT279" s="946"/>
      <c r="KU279" s="946"/>
      <c r="KV279" s="946"/>
      <c r="KW279" s="946"/>
      <c r="KX279" s="946"/>
      <c r="KY279" s="946"/>
      <c r="KZ279" s="946"/>
      <c r="LA279" s="946"/>
      <c r="LB279" s="946"/>
      <c r="LC279" s="946"/>
      <c r="LD279" s="946"/>
      <c r="LE279" s="946"/>
      <c r="LF279" s="946"/>
      <c r="LG279" s="946"/>
      <c r="LH279" s="946"/>
      <c r="LI279" s="946"/>
      <c r="LJ279" s="946"/>
      <c r="LK279" s="946"/>
      <c r="LL279" s="946"/>
      <c r="LM279" s="946"/>
      <c r="LN279" s="946"/>
      <c r="LO279" s="946"/>
      <c r="LP279" s="946"/>
    </row>
    <row r="280" spans="1:328" s="1007" customFormat="1" ht="32.25" customHeight="1" x14ac:dyDescent="0.2">
      <c r="A280" s="972"/>
      <c r="B280" s="972"/>
      <c r="C280" s="973"/>
      <c r="D280" s="972"/>
      <c r="E280" s="972"/>
      <c r="F280" s="973"/>
      <c r="G280" s="979"/>
      <c r="H280" s="972"/>
      <c r="I280" s="973"/>
      <c r="J280" s="4518"/>
      <c r="K280" s="4521"/>
      <c r="L280" s="4524"/>
      <c r="M280" s="4524"/>
      <c r="N280" s="4524"/>
      <c r="O280" s="4524"/>
      <c r="P280" s="4528"/>
      <c r="Q280" s="4521"/>
      <c r="R280" s="4531"/>
      <c r="S280" s="4534"/>
      <c r="T280" s="4521"/>
      <c r="U280" s="4521"/>
      <c r="V280" s="4631"/>
      <c r="W280" s="2608">
        <f>5915987+20000000</f>
        <v>25915987</v>
      </c>
      <c r="X280" s="2608">
        <v>0</v>
      </c>
      <c r="Y280" s="2608">
        <v>0</v>
      </c>
      <c r="Z280" s="1009">
        <v>98</v>
      </c>
      <c r="AA280" s="1062" t="s">
        <v>1048</v>
      </c>
      <c r="AB280" s="4524"/>
      <c r="AC280" s="4638"/>
      <c r="AD280" s="4524">
        <v>282326</v>
      </c>
      <c r="AE280" s="4638">
        <f t="shared" si="84"/>
        <v>160925.81999999998</v>
      </c>
      <c r="AF280" s="4524">
        <v>135912</v>
      </c>
      <c r="AG280" s="4638">
        <f t="shared" si="85"/>
        <v>77469.84</v>
      </c>
      <c r="AH280" s="4524">
        <v>45122</v>
      </c>
      <c r="AI280" s="4638">
        <f t="shared" si="86"/>
        <v>25719.539999999997</v>
      </c>
      <c r="AJ280" s="4524">
        <v>307101</v>
      </c>
      <c r="AK280" s="4638">
        <v>175047.56999999998</v>
      </c>
      <c r="AL280" s="4524">
        <v>86875</v>
      </c>
      <c r="AM280" s="4638">
        <v>49518.749999999993</v>
      </c>
      <c r="AN280" s="4524">
        <v>2145</v>
      </c>
      <c r="AO280" s="4638">
        <f t="shared" si="87"/>
        <v>1222.6499999999999</v>
      </c>
      <c r="AP280" s="4524">
        <v>12718</v>
      </c>
      <c r="AQ280" s="4638">
        <f t="shared" si="88"/>
        <v>7249.2599999999993</v>
      </c>
      <c r="AR280" s="4524">
        <v>26</v>
      </c>
      <c r="AS280" s="4638">
        <f t="shared" si="89"/>
        <v>14.819999999999999</v>
      </c>
      <c r="AT280" s="4524">
        <v>37</v>
      </c>
      <c r="AU280" s="4638">
        <f t="shared" si="90"/>
        <v>21.09</v>
      </c>
      <c r="AV280" s="4524" t="s">
        <v>767</v>
      </c>
      <c r="AW280" s="4638" t="s">
        <v>767</v>
      </c>
      <c r="AX280" s="4524" t="s">
        <v>767</v>
      </c>
      <c r="AY280" s="4638" t="s">
        <v>767</v>
      </c>
      <c r="AZ280" s="4524">
        <v>53164</v>
      </c>
      <c r="BA280" s="4638">
        <f t="shared" si="91"/>
        <v>30303.479999999996</v>
      </c>
      <c r="BB280" s="4524">
        <v>16982</v>
      </c>
      <c r="BC280" s="4638">
        <f t="shared" si="92"/>
        <v>9679.74</v>
      </c>
      <c r="BD280" s="4524">
        <v>60013</v>
      </c>
      <c r="BE280" s="4638">
        <f t="shared" si="93"/>
        <v>34207.409999999996</v>
      </c>
      <c r="BF280" s="4524">
        <v>575010</v>
      </c>
      <c r="BG280" s="4638">
        <f t="shared" si="94"/>
        <v>327755.69999999995</v>
      </c>
      <c r="BH280" s="4543"/>
      <c r="BI280" s="4543"/>
      <c r="BJ280" s="4543"/>
      <c r="BK280" s="3185"/>
      <c r="BL280" s="4543"/>
      <c r="BM280" s="4543"/>
      <c r="BN280" s="4554"/>
      <c r="BO280" s="4554"/>
      <c r="BP280" s="4554"/>
      <c r="BQ280" s="4554"/>
      <c r="BR280" s="4557"/>
      <c r="BS280" s="946"/>
      <c r="BT280" s="946"/>
      <c r="BU280" s="946"/>
      <c r="BV280" s="946"/>
      <c r="BW280" s="946"/>
      <c r="BX280" s="946"/>
      <c r="BY280" s="946"/>
      <c r="BZ280" s="946"/>
      <c r="CA280" s="946"/>
      <c r="CB280" s="946"/>
      <c r="CC280" s="946"/>
      <c r="CD280" s="946"/>
      <c r="CE280" s="946"/>
      <c r="CF280" s="946"/>
      <c r="CG280" s="946"/>
      <c r="CH280" s="946"/>
      <c r="CI280" s="946"/>
      <c r="CJ280" s="946"/>
      <c r="CK280" s="946"/>
      <c r="CL280" s="946"/>
      <c r="CM280" s="946"/>
      <c r="CN280" s="946"/>
      <c r="CO280" s="946"/>
      <c r="CP280" s="946"/>
      <c r="CQ280" s="946"/>
      <c r="CR280" s="946"/>
      <c r="CS280" s="946"/>
      <c r="CT280" s="946"/>
      <c r="CU280" s="946"/>
      <c r="CV280" s="946"/>
      <c r="CW280" s="946"/>
      <c r="CX280" s="946"/>
      <c r="CY280" s="946"/>
      <c r="CZ280" s="946"/>
      <c r="DA280" s="946"/>
      <c r="DB280" s="946"/>
      <c r="DC280" s="946"/>
      <c r="DD280" s="946"/>
      <c r="DE280" s="946"/>
      <c r="DF280" s="946"/>
      <c r="DG280" s="946"/>
      <c r="DH280" s="946"/>
      <c r="DI280" s="946"/>
      <c r="DJ280" s="946"/>
      <c r="DK280" s="946"/>
      <c r="DL280" s="946"/>
      <c r="DM280" s="946"/>
      <c r="DN280" s="946"/>
      <c r="DO280" s="946"/>
      <c r="DP280" s="946"/>
      <c r="DQ280" s="946"/>
      <c r="DR280" s="946"/>
      <c r="DS280" s="946"/>
      <c r="DT280" s="946"/>
      <c r="DU280" s="946"/>
      <c r="DV280" s="946"/>
      <c r="DW280" s="946"/>
      <c r="DX280" s="946"/>
      <c r="DY280" s="946"/>
      <c r="DZ280" s="946"/>
      <c r="EA280" s="946"/>
      <c r="EB280" s="946"/>
      <c r="EC280" s="946"/>
      <c r="ED280" s="946"/>
      <c r="EE280" s="946"/>
      <c r="EF280" s="946"/>
      <c r="EG280" s="946"/>
      <c r="EH280" s="946"/>
      <c r="EI280" s="946"/>
      <c r="EJ280" s="946"/>
      <c r="EK280" s="946"/>
      <c r="EL280" s="946"/>
      <c r="EM280" s="946"/>
      <c r="EN280" s="946"/>
      <c r="EO280" s="946"/>
      <c r="EP280" s="946"/>
      <c r="EQ280" s="946"/>
      <c r="ER280" s="946"/>
      <c r="ES280" s="946"/>
      <c r="ET280" s="946"/>
      <c r="EU280" s="946"/>
      <c r="EV280" s="946"/>
      <c r="EW280" s="946"/>
      <c r="EX280" s="946"/>
      <c r="EY280" s="946"/>
      <c r="EZ280" s="946"/>
      <c r="FA280" s="946"/>
      <c r="FB280" s="946"/>
      <c r="FC280" s="946"/>
      <c r="FD280" s="946"/>
      <c r="FE280" s="946"/>
      <c r="FF280" s="946"/>
      <c r="FG280" s="946"/>
      <c r="FH280" s="946"/>
      <c r="FI280" s="946"/>
      <c r="FJ280" s="946"/>
      <c r="FK280" s="946"/>
      <c r="FL280" s="946"/>
      <c r="FM280" s="946"/>
      <c r="FN280" s="946"/>
      <c r="FO280" s="946"/>
      <c r="FP280" s="946"/>
      <c r="FQ280" s="946"/>
      <c r="FR280" s="946"/>
      <c r="FS280" s="946"/>
      <c r="FT280" s="946"/>
      <c r="FU280" s="946"/>
      <c r="FV280" s="946"/>
      <c r="FW280" s="946"/>
      <c r="FX280" s="946"/>
      <c r="FY280" s="946"/>
      <c r="FZ280" s="946"/>
      <c r="GA280" s="946"/>
      <c r="GB280" s="946"/>
      <c r="GC280" s="946"/>
      <c r="GD280" s="946"/>
      <c r="GE280" s="946"/>
      <c r="GF280" s="946"/>
      <c r="GG280" s="946"/>
      <c r="GH280" s="946"/>
      <c r="GI280" s="946"/>
      <c r="GJ280" s="946"/>
      <c r="GK280" s="946"/>
      <c r="GL280" s="946"/>
      <c r="GM280" s="946"/>
      <c r="GN280" s="946"/>
      <c r="GO280" s="946"/>
      <c r="GP280" s="946"/>
      <c r="GQ280" s="946"/>
      <c r="GR280" s="946"/>
      <c r="GS280" s="946"/>
      <c r="GT280" s="946"/>
      <c r="GU280" s="946"/>
      <c r="GV280" s="946"/>
      <c r="GW280" s="946"/>
      <c r="GX280" s="946"/>
      <c r="GY280" s="946"/>
      <c r="GZ280" s="946"/>
      <c r="HA280" s="946"/>
      <c r="HB280" s="946"/>
      <c r="HC280" s="946"/>
      <c r="HD280" s="946"/>
      <c r="HE280" s="946"/>
      <c r="HF280" s="946"/>
      <c r="HG280" s="946"/>
      <c r="HH280" s="946"/>
      <c r="HI280" s="946"/>
      <c r="HJ280" s="946"/>
      <c r="HK280" s="946"/>
      <c r="HL280" s="946"/>
      <c r="HM280" s="946"/>
      <c r="HN280" s="946"/>
      <c r="HO280" s="946"/>
      <c r="HP280" s="946"/>
      <c r="HQ280" s="946"/>
      <c r="HR280" s="946"/>
      <c r="HS280" s="946"/>
      <c r="HT280" s="946"/>
      <c r="HU280" s="946"/>
      <c r="HV280" s="946"/>
      <c r="HW280" s="946"/>
      <c r="HX280" s="946"/>
      <c r="HY280" s="946"/>
      <c r="HZ280" s="946"/>
      <c r="IA280" s="946"/>
      <c r="IB280" s="946"/>
      <c r="IC280" s="946"/>
      <c r="ID280" s="946"/>
      <c r="IE280" s="946"/>
      <c r="IF280" s="946"/>
      <c r="IG280" s="946"/>
      <c r="IH280" s="946"/>
      <c r="II280" s="946"/>
      <c r="IJ280" s="946"/>
      <c r="IK280" s="946"/>
      <c r="IL280" s="946"/>
      <c r="IM280" s="946"/>
      <c r="IN280" s="946"/>
      <c r="IO280" s="946"/>
      <c r="IP280" s="946"/>
      <c r="IQ280" s="946"/>
      <c r="IR280" s="946"/>
      <c r="IS280" s="946"/>
      <c r="IT280" s="946"/>
      <c r="IU280" s="946"/>
      <c r="IV280" s="946"/>
      <c r="IW280" s="946"/>
      <c r="IX280" s="946"/>
      <c r="IY280" s="946"/>
      <c r="IZ280" s="946"/>
      <c r="JA280" s="946"/>
      <c r="JB280" s="946"/>
      <c r="JC280" s="946"/>
      <c r="JD280" s="946"/>
      <c r="JE280" s="946"/>
      <c r="JF280" s="946"/>
      <c r="JG280" s="946"/>
      <c r="JH280" s="946"/>
      <c r="JI280" s="946"/>
      <c r="JJ280" s="946"/>
      <c r="JK280" s="946"/>
      <c r="JL280" s="946"/>
      <c r="JM280" s="946"/>
      <c r="JN280" s="946"/>
      <c r="JO280" s="946"/>
      <c r="JP280" s="946"/>
      <c r="JQ280" s="946"/>
      <c r="JR280" s="946"/>
      <c r="JS280" s="946"/>
      <c r="JT280" s="946"/>
      <c r="JU280" s="946"/>
      <c r="JV280" s="946"/>
      <c r="JW280" s="946"/>
      <c r="JX280" s="946"/>
      <c r="JY280" s="946"/>
      <c r="JZ280" s="946"/>
      <c r="KA280" s="946"/>
      <c r="KB280" s="946"/>
      <c r="KC280" s="946"/>
      <c r="KD280" s="946"/>
      <c r="KE280" s="946"/>
      <c r="KF280" s="946"/>
      <c r="KG280" s="946"/>
      <c r="KH280" s="946"/>
      <c r="KI280" s="946"/>
      <c r="KJ280" s="946"/>
      <c r="KK280" s="946"/>
      <c r="KL280" s="946"/>
      <c r="KM280" s="946"/>
      <c r="KN280" s="946"/>
      <c r="KO280" s="946"/>
      <c r="KP280" s="946"/>
      <c r="KQ280" s="946"/>
      <c r="KR280" s="946"/>
      <c r="KS280" s="946"/>
      <c r="KT280" s="946"/>
      <c r="KU280" s="946"/>
      <c r="KV280" s="946"/>
      <c r="KW280" s="946"/>
      <c r="KX280" s="946"/>
      <c r="KY280" s="946"/>
      <c r="KZ280" s="946"/>
      <c r="LA280" s="946"/>
      <c r="LB280" s="946"/>
      <c r="LC280" s="946"/>
      <c r="LD280" s="946"/>
      <c r="LE280" s="946"/>
      <c r="LF280" s="946"/>
      <c r="LG280" s="946"/>
      <c r="LH280" s="946"/>
      <c r="LI280" s="946"/>
      <c r="LJ280" s="946"/>
      <c r="LK280" s="946"/>
      <c r="LL280" s="946"/>
      <c r="LM280" s="946"/>
      <c r="LN280" s="946"/>
      <c r="LO280" s="946"/>
      <c r="LP280" s="946"/>
    </row>
    <row r="281" spans="1:328" s="1007" customFormat="1" ht="49.5" customHeight="1" x14ac:dyDescent="0.2">
      <c r="A281" s="971"/>
      <c r="B281" s="972"/>
      <c r="C281" s="973"/>
      <c r="D281" s="972"/>
      <c r="E281" s="972"/>
      <c r="F281" s="973"/>
      <c r="G281" s="979"/>
      <c r="H281" s="972"/>
      <c r="I281" s="973"/>
      <c r="J281" s="4518"/>
      <c r="K281" s="4521"/>
      <c r="L281" s="4524"/>
      <c r="M281" s="4524"/>
      <c r="N281" s="4524"/>
      <c r="O281" s="4524"/>
      <c r="P281" s="4528"/>
      <c r="Q281" s="4521"/>
      <c r="R281" s="4531"/>
      <c r="S281" s="4534"/>
      <c r="T281" s="4521"/>
      <c r="U281" s="4521"/>
      <c r="V281" s="980" t="s">
        <v>1127</v>
      </c>
      <c r="W281" s="2608">
        <f>10000000+18924714</f>
        <v>28924714</v>
      </c>
      <c r="X281" s="1809">
        <v>20000000</v>
      </c>
      <c r="Y281" s="1809">
        <v>20000000</v>
      </c>
      <c r="Z281" s="1009">
        <v>61</v>
      </c>
      <c r="AA281" s="1062" t="s">
        <v>975</v>
      </c>
      <c r="AB281" s="4524"/>
      <c r="AC281" s="4638"/>
      <c r="AD281" s="4524">
        <v>282326</v>
      </c>
      <c r="AE281" s="4638">
        <f t="shared" si="84"/>
        <v>160925.81999999998</v>
      </c>
      <c r="AF281" s="4524">
        <v>135912</v>
      </c>
      <c r="AG281" s="4638">
        <f t="shared" si="85"/>
        <v>77469.84</v>
      </c>
      <c r="AH281" s="4524">
        <v>45122</v>
      </c>
      <c r="AI281" s="4638">
        <f t="shared" si="86"/>
        <v>25719.539999999997</v>
      </c>
      <c r="AJ281" s="4524">
        <v>307101</v>
      </c>
      <c r="AK281" s="4638">
        <v>175047.56999999998</v>
      </c>
      <c r="AL281" s="4524">
        <v>86875</v>
      </c>
      <c r="AM281" s="4638">
        <v>49518.749999999993</v>
      </c>
      <c r="AN281" s="4524">
        <v>2145</v>
      </c>
      <c r="AO281" s="4638">
        <f t="shared" si="87"/>
        <v>1222.6499999999999</v>
      </c>
      <c r="AP281" s="4524">
        <v>12718</v>
      </c>
      <c r="AQ281" s="4638">
        <f t="shared" si="88"/>
        <v>7249.2599999999993</v>
      </c>
      <c r="AR281" s="4524">
        <v>26</v>
      </c>
      <c r="AS281" s="4638">
        <f t="shared" si="89"/>
        <v>14.819999999999999</v>
      </c>
      <c r="AT281" s="4524">
        <v>37</v>
      </c>
      <c r="AU281" s="4638">
        <f t="shared" si="90"/>
        <v>21.09</v>
      </c>
      <c r="AV281" s="4524" t="s">
        <v>767</v>
      </c>
      <c r="AW281" s="4638" t="s">
        <v>767</v>
      </c>
      <c r="AX281" s="4524" t="s">
        <v>767</v>
      </c>
      <c r="AY281" s="4638" t="s">
        <v>767</v>
      </c>
      <c r="AZ281" s="4524">
        <v>53164</v>
      </c>
      <c r="BA281" s="4638">
        <f t="shared" si="91"/>
        <v>30303.479999999996</v>
      </c>
      <c r="BB281" s="4524">
        <v>16982</v>
      </c>
      <c r="BC281" s="4638">
        <f t="shared" si="92"/>
        <v>9679.74</v>
      </c>
      <c r="BD281" s="4524">
        <v>60013</v>
      </c>
      <c r="BE281" s="4638">
        <f t="shared" si="93"/>
        <v>34207.409999999996</v>
      </c>
      <c r="BF281" s="4524">
        <v>575010</v>
      </c>
      <c r="BG281" s="4638">
        <f t="shared" si="94"/>
        <v>327755.69999999995</v>
      </c>
      <c r="BH281" s="4543"/>
      <c r="BI281" s="4543"/>
      <c r="BJ281" s="4543"/>
      <c r="BK281" s="3185"/>
      <c r="BL281" s="4543"/>
      <c r="BM281" s="4543"/>
      <c r="BN281" s="4554"/>
      <c r="BO281" s="4554"/>
      <c r="BP281" s="4554"/>
      <c r="BQ281" s="4554"/>
      <c r="BR281" s="4557"/>
      <c r="BS281" s="946"/>
      <c r="BT281" s="946"/>
      <c r="BU281" s="946"/>
      <c r="BV281" s="946"/>
      <c r="BW281" s="946"/>
      <c r="BX281" s="946"/>
      <c r="BY281" s="946"/>
      <c r="BZ281" s="946"/>
      <c r="CA281" s="946"/>
      <c r="CB281" s="946"/>
      <c r="CC281" s="946"/>
      <c r="CD281" s="946"/>
      <c r="CE281" s="946"/>
      <c r="CF281" s="946"/>
      <c r="CG281" s="946"/>
      <c r="CH281" s="946"/>
      <c r="CI281" s="946"/>
      <c r="CJ281" s="946"/>
      <c r="CK281" s="946"/>
      <c r="CL281" s="946"/>
      <c r="CM281" s="946"/>
      <c r="CN281" s="946"/>
      <c r="CO281" s="946"/>
      <c r="CP281" s="946"/>
      <c r="CQ281" s="946"/>
      <c r="CR281" s="946"/>
      <c r="CS281" s="946"/>
      <c r="CT281" s="946"/>
      <c r="CU281" s="946"/>
      <c r="CV281" s="946"/>
      <c r="CW281" s="946"/>
      <c r="CX281" s="946"/>
      <c r="CY281" s="946"/>
      <c r="CZ281" s="946"/>
      <c r="DA281" s="946"/>
      <c r="DB281" s="946"/>
      <c r="DC281" s="946"/>
      <c r="DD281" s="946"/>
      <c r="DE281" s="946"/>
      <c r="DF281" s="946"/>
      <c r="DG281" s="946"/>
      <c r="DH281" s="946"/>
      <c r="DI281" s="946"/>
      <c r="DJ281" s="946"/>
      <c r="DK281" s="946"/>
      <c r="DL281" s="946"/>
      <c r="DM281" s="946"/>
      <c r="DN281" s="946"/>
      <c r="DO281" s="946"/>
      <c r="DP281" s="946"/>
      <c r="DQ281" s="946"/>
      <c r="DR281" s="946"/>
      <c r="DS281" s="946"/>
      <c r="DT281" s="946"/>
      <c r="DU281" s="946"/>
      <c r="DV281" s="946"/>
      <c r="DW281" s="946"/>
      <c r="DX281" s="946"/>
      <c r="DY281" s="946"/>
      <c r="DZ281" s="946"/>
      <c r="EA281" s="946"/>
      <c r="EB281" s="946"/>
      <c r="EC281" s="946"/>
      <c r="ED281" s="946"/>
      <c r="EE281" s="946"/>
      <c r="EF281" s="946"/>
      <c r="EG281" s="946"/>
      <c r="EH281" s="946"/>
      <c r="EI281" s="946"/>
      <c r="EJ281" s="946"/>
      <c r="EK281" s="946"/>
      <c r="EL281" s="946"/>
      <c r="EM281" s="946"/>
      <c r="EN281" s="946"/>
      <c r="EO281" s="946"/>
      <c r="EP281" s="946"/>
      <c r="EQ281" s="946"/>
      <c r="ER281" s="946"/>
      <c r="ES281" s="946"/>
      <c r="ET281" s="946"/>
      <c r="EU281" s="946"/>
      <c r="EV281" s="946"/>
      <c r="EW281" s="946"/>
      <c r="EX281" s="946"/>
      <c r="EY281" s="946"/>
      <c r="EZ281" s="946"/>
      <c r="FA281" s="946"/>
      <c r="FB281" s="946"/>
      <c r="FC281" s="946"/>
      <c r="FD281" s="946"/>
      <c r="FE281" s="946"/>
      <c r="FF281" s="946"/>
      <c r="FG281" s="946"/>
      <c r="FH281" s="946"/>
      <c r="FI281" s="946"/>
      <c r="FJ281" s="946"/>
      <c r="FK281" s="946"/>
      <c r="FL281" s="946"/>
      <c r="FM281" s="946"/>
      <c r="FN281" s="946"/>
      <c r="FO281" s="946"/>
      <c r="FP281" s="946"/>
      <c r="FQ281" s="946"/>
      <c r="FR281" s="946"/>
      <c r="FS281" s="946"/>
      <c r="FT281" s="946"/>
      <c r="FU281" s="946"/>
      <c r="FV281" s="946"/>
      <c r="FW281" s="946"/>
      <c r="FX281" s="946"/>
      <c r="FY281" s="946"/>
      <c r="FZ281" s="946"/>
      <c r="GA281" s="946"/>
      <c r="GB281" s="946"/>
      <c r="GC281" s="946"/>
      <c r="GD281" s="946"/>
      <c r="GE281" s="946"/>
      <c r="GF281" s="946"/>
      <c r="GG281" s="946"/>
      <c r="GH281" s="946"/>
      <c r="GI281" s="946"/>
      <c r="GJ281" s="946"/>
      <c r="GK281" s="946"/>
      <c r="GL281" s="946"/>
      <c r="GM281" s="946"/>
      <c r="GN281" s="946"/>
      <c r="GO281" s="946"/>
      <c r="GP281" s="946"/>
      <c r="GQ281" s="946"/>
      <c r="GR281" s="946"/>
      <c r="GS281" s="946"/>
      <c r="GT281" s="946"/>
      <c r="GU281" s="946"/>
      <c r="GV281" s="946"/>
      <c r="GW281" s="946"/>
      <c r="GX281" s="946"/>
      <c r="GY281" s="946"/>
      <c r="GZ281" s="946"/>
      <c r="HA281" s="946"/>
      <c r="HB281" s="946"/>
      <c r="HC281" s="946"/>
      <c r="HD281" s="946"/>
      <c r="HE281" s="946"/>
      <c r="HF281" s="946"/>
      <c r="HG281" s="946"/>
      <c r="HH281" s="946"/>
      <c r="HI281" s="946"/>
      <c r="HJ281" s="946"/>
      <c r="HK281" s="946"/>
      <c r="HL281" s="946"/>
      <c r="HM281" s="946"/>
      <c r="HN281" s="946"/>
      <c r="HO281" s="946"/>
      <c r="HP281" s="946"/>
      <c r="HQ281" s="946"/>
      <c r="HR281" s="946"/>
      <c r="HS281" s="946"/>
      <c r="HT281" s="946"/>
      <c r="HU281" s="946"/>
      <c r="HV281" s="946"/>
      <c r="HW281" s="946"/>
      <c r="HX281" s="946"/>
      <c r="HY281" s="946"/>
      <c r="HZ281" s="946"/>
      <c r="IA281" s="946"/>
      <c r="IB281" s="946"/>
      <c r="IC281" s="946"/>
      <c r="ID281" s="946"/>
      <c r="IE281" s="946"/>
      <c r="IF281" s="946"/>
      <c r="IG281" s="946"/>
      <c r="IH281" s="946"/>
      <c r="II281" s="946"/>
      <c r="IJ281" s="946"/>
      <c r="IK281" s="946"/>
      <c r="IL281" s="946"/>
      <c r="IM281" s="946"/>
      <c r="IN281" s="946"/>
      <c r="IO281" s="946"/>
      <c r="IP281" s="946"/>
      <c r="IQ281" s="946"/>
      <c r="IR281" s="946"/>
      <c r="IS281" s="946"/>
      <c r="IT281" s="946"/>
      <c r="IU281" s="946"/>
      <c r="IV281" s="946"/>
      <c r="IW281" s="946"/>
      <c r="IX281" s="946"/>
      <c r="IY281" s="946"/>
      <c r="IZ281" s="946"/>
      <c r="JA281" s="946"/>
      <c r="JB281" s="946"/>
      <c r="JC281" s="946"/>
      <c r="JD281" s="946"/>
      <c r="JE281" s="946"/>
      <c r="JF281" s="946"/>
      <c r="JG281" s="946"/>
      <c r="JH281" s="946"/>
      <c r="JI281" s="946"/>
      <c r="JJ281" s="946"/>
      <c r="JK281" s="946"/>
      <c r="JL281" s="946"/>
      <c r="JM281" s="946"/>
      <c r="JN281" s="946"/>
      <c r="JO281" s="946"/>
      <c r="JP281" s="946"/>
      <c r="JQ281" s="946"/>
      <c r="JR281" s="946"/>
      <c r="JS281" s="946"/>
      <c r="JT281" s="946"/>
      <c r="JU281" s="946"/>
      <c r="JV281" s="946"/>
      <c r="JW281" s="946"/>
      <c r="JX281" s="946"/>
      <c r="JY281" s="946"/>
      <c r="JZ281" s="946"/>
      <c r="KA281" s="946"/>
      <c r="KB281" s="946"/>
      <c r="KC281" s="946"/>
      <c r="KD281" s="946"/>
      <c r="KE281" s="946"/>
      <c r="KF281" s="946"/>
      <c r="KG281" s="946"/>
      <c r="KH281" s="946"/>
      <c r="KI281" s="946"/>
      <c r="KJ281" s="946"/>
      <c r="KK281" s="946"/>
      <c r="KL281" s="946"/>
      <c r="KM281" s="946"/>
      <c r="KN281" s="946"/>
      <c r="KO281" s="946"/>
      <c r="KP281" s="946"/>
      <c r="KQ281" s="946"/>
      <c r="KR281" s="946"/>
      <c r="KS281" s="946"/>
      <c r="KT281" s="946"/>
      <c r="KU281" s="946"/>
      <c r="KV281" s="946"/>
      <c r="KW281" s="946"/>
      <c r="KX281" s="946"/>
      <c r="KY281" s="946"/>
      <c r="KZ281" s="946"/>
      <c r="LA281" s="946"/>
      <c r="LB281" s="946"/>
      <c r="LC281" s="946"/>
      <c r="LD281" s="946"/>
      <c r="LE281" s="946"/>
      <c r="LF281" s="946"/>
      <c r="LG281" s="946"/>
      <c r="LH281" s="946"/>
      <c r="LI281" s="946"/>
      <c r="LJ281" s="946"/>
      <c r="LK281" s="946"/>
      <c r="LL281" s="946"/>
      <c r="LM281" s="946"/>
      <c r="LN281" s="946"/>
      <c r="LO281" s="946"/>
      <c r="LP281" s="946"/>
    </row>
    <row r="282" spans="1:328" s="1007" customFormat="1" ht="85.5" x14ac:dyDescent="0.2">
      <c r="A282" s="971"/>
      <c r="B282" s="972"/>
      <c r="C282" s="973"/>
      <c r="D282" s="981"/>
      <c r="E282" s="981"/>
      <c r="F282" s="982"/>
      <c r="G282" s="983"/>
      <c r="H282" s="981"/>
      <c r="I282" s="982"/>
      <c r="J282" s="4519"/>
      <c r="K282" s="4521"/>
      <c r="L282" s="4524"/>
      <c r="M282" s="4524"/>
      <c r="N282" s="4524"/>
      <c r="O282" s="4524"/>
      <c r="P282" s="4528"/>
      <c r="Q282" s="4521"/>
      <c r="R282" s="4531"/>
      <c r="S282" s="4534"/>
      <c r="T282" s="4521"/>
      <c r="U282" s="4521"/>
      <c r="V282" s="980" t="s">
        <v>1128</v>
      </c>
      <c r="W282" s="2608">
        <v>30000000</v>
      </c>
      <c r="X282" s="1809">
        <v>30000000</v>
      </c>
      <c r="Y282" s="1809">
        <v>25910000</v>
      </c>
      <c r="Z282" s="1009">
        <v>61</v>
      </c>
      <c r="AA282" s="1062" t="s">
        <v>975</v>
      </c>
      <c r="AB282" s="4524"/>
      <c r="AC282" s="4638"/>
      <c r="AD282" s="4524">
        <v>282326</v>
      </c>
      <c r="AE282" s="4638">
        <f t="shared" si="84"/>
        <v>160925.81999999998</v>
      </c>
      <c r="AF282" s="4524">
        <v>135912</v>
      </c>
      <c r="AG282" s="4638">
        <f t="shared" si="85"/>
        <v>77469.84</v>
      </c>
      <c r="AH282" s="4524">
        <v>45122</v>
      </c>
      <c r="AI282" s="4638">
        <f t="shared" si="86"/>
        <v>25719.539999999997</v>
      </c>
      <c r="AJ282" s="4524">
        <v>307101</v>
      </c>
      <c r="AK282" s="4638">
        <v>175047.56999999998</v>
      </c>
      <c r="AL282" s="4524">
        <v>86875</v>
      </c>
      <c r="AM282" s="4638">
        <v>49518.749999999993</v>
      </c>
      <c r="AN282" s="4524">
        <v>2145</v>
      </c>
      <c r="AO282" s="4638">
        <f t="shared" si="87"/>
        <v>1222.6499999999999</v>
      </c>
      <c r="AP282" s="4524">
        <v>12718</v>
      </c>
      <c r="AQ282" s="4638">
        <f t="shared" si="88"/>
        <v>7249.2599999999993</v>
      </c>
      <c r="AR282" s="4524">
        <v>26</v>
      </c>
      <c r="AS282" s="4638">
        <f t="shared" si="89"/>
        <v>14.819999999999999</v>
      </c>
      <c r="AT282" s="4524">
        <v>37</v>
      </c>
      <c r="AU282" s="4638">
        <f t="shared" si="90"/>
        <v>21.09</v>
      </c>
      <c r="AV282" s="4524" t="s">
        <v>767</v>
      </c>
      <c r="AW282" s="4638" t="s">
        <v>767</v>
      </c>
      <c r="AX282" s="4524" t="s">
        <v>767</v>
      </c>
      <c r="AY282" s="4638" t="s">
        <v>767</v>
      </c>
      <c r="AZ282" s="4524">
        <v>53164</v>
      </c>
      <c r="BA282" s="4638">
        <f t="shared" si="91"/>
        <v>30303.479999999996</v>
      </c>
      <c r="BB282" s="4524">
        <v>16982</v>
      </c>
      <c r="BC282" s="4638">
        <f t="shared" si="92"/>
        <v>9679.74</v>
      </c>
      <c r="BD282" s="4524">
        <v>60013</v>
      </c>
      <c r="BE282" s="4638">
        <f t="shared" si="93"/>
        <v>34207.409999999996</v>
      </c>
      <c r="BF282" s="4524">
        <v>575010</v>
      </c>
      <c r="BG282" s="4638">
        <f t="shared" si="94"/>
        <v>327755.69999999995</v>
      </c>
      <c r="BH282" s="4543"/>
      <c r="BI282" s="4543"/>
      <c r="BJ282" s="4543"/>
      <c r="BK282" s="3185"/>
      <c r="BL282" s="4543"/>
      <c r="BM282" s="4543"/>
      <c r="BN282" s="4554"/>
      <c r="BO282" s="4554"/>
      <c r="BP282" s="4554"/>
      <c r="BQ282" s="4554"/>
      <c r="BR282" s="4557"/>
      <c r="BS282" s="946"/>
      <c r="BT282" s="946"/>
      <c r="BU282" s="946"/>
      <c r="BV282" s="946"/>
      <c r="BW282" s="946"/>
      <c r="BX282" s="946"/>
      <c r="BY282" s="946"/>
      <c r="BZ282" s="946"/>
      <c r="CA282" s="946"/>
      <c r="CB282" s="946"/>
      <c r="CC282" s="946"/>
      <c r="CD282" s="946"/>
      <c r="CE282" s="946"/>
      <c r="CF282" s="946"/>
      <c r="CG282" s="946"/>
      <c r="CH282" s="946"/>
      <c r="CI282" s="946"/>
      <c r="CJ282" s="946"/>
      <c r="CK282" s="946"/>
      <c r="CL282" s="946"/>
      <c r="CM282" s="946"/>
      <c r="CN282" s="946"/>
      <c r="CO282" s="946"/>
      <c r="CP282" s="946"/>
      <c r="CQ282" s="946"/>
      <c r="CR282" s="946"/>
      <c r="CS282" s="946"/>
      <c r="CT282" s="946"/>
      <c r="CU282" s="946"/>
      <c r="CV282" s="946"/>
      <c r="CW282" s="946"/>
      <c r="CX282" s="946"/>
      <c r="CY282" s="946"/>
      <c r="CZ282" s="946"/>
      <c r="DA282" s="946"/>
      <c r="DB282" s="946"/>
      <c r="DC282" s="946"/>
      <c r="DD282" s="946"/>
      <c r="DE282" s="946"/>
      <c r="DF282" s="946"/>
      <c r="DG282" s="946"/>
      <c r="DH282" s="946"/>
      <c r="DI282" s="946"/>
      <c r="DJ282" s="946"/>
      <c r="DK282" s="946"/>
      <c r="DL282" s="946"/>
      <c r="DM282" s="946"/>
      <c r="DN282" s="946"/>
      <c r="DO282" s="946"/>
      <c r="DP282" s="946"/>
      <c r="DQ282" s="946"/>
      <c r="DR282" s="946"/>
      <c r="DS282" s="946"/>
      <c r="DT282" s="946"/>
      <c r="DU282" s="946"/>
      <c r="DV282" s="946"/>
      <c r="DW282" s="946"/>
      <c r="DX282" s="946"/>
      <c r="DY282" s="946"/>
      <c r="DZ282" s="946"/>
      <c r="EA282" s="946"/>
      <c r="EB282" s="946"/>
      <c r="EC282" s="946"/>
      <c r="ED282" s="946"/>
      <c r="EE282" s="946"/>
      <c r="EF282" s="946"/>
      <c r="EG282" s="946"/>
      <c r="EH282" s="946"/>
      <c r="EI282" s="946"/>
      <c r="EJ282" s="946"/>
      <c r="EK282" s="946"/>
      <c r="EL282" s="946"/>
      <c r="EM282" s="946"/>
      <c r="EN282" s="946"/>
      <c r="EO282" s="946"/>
      <c r="EP282" s="946"/>
      <c r="EQ282" s="946"/>
      <c r="ER282" s="946"/>
      <c r="ES282" s="946"/>
      <c r="ET282" s="946"/>
      <c r="EU282" s="946"/>
      <c r="EV282" s="946"/>
      <c r="EW282" s="946"/>
      <c r="EX282" s="946"/>
      <c r="EY282" s="946"/>
      <c r="EZ282" s="946"/>
      <c r="FA282" s="946"/>
      <c r="FB282" s="946"/>
      <c r="FC282" s="946"/>
      <c r="FD282" s="946"/>
      <c r="FE282" s="946"/>
      <c r="FF282" s="946"/>
      <c r="FG282" s="946"/>
      <c r="FH282" s="946"/>
      <c r="FI282" s="946"/>
      <c r="FJ282" s="946"/>
      <c r="FK282" s="946"/>
      <c r="FL282" s="946"/>
      <c r="FM282" s="946"/>
      <c r="FN282" s="946"/>
      <c r="FO282" s="946"/>
      <c r="FP282" s="946"/>
      <c r="FQ282" s="946"/>
      <c r="FR282" s="946"/>
      <c r="FS282" s="946"/>
      <c r="FT282" s="946"/>
      <c r="FU282" s="946"/>
      <c r="FV282" s="946"/>
      <c r="FW282" s="946"/>
      <c r="FX282" s="946"/>
      <c r="FY282" s="946"/>
      <c r="FZ282" s="946"/>
      <c r="GA282" s="946"/>
      <c r="GB282" s="946"/>
      <c r="GC282" s="946"/>
      <c r="GD282" s="946"/>
      <c r="GE282" s="946"/>
      <c r="GF282" s="946"/>
      <c r="GG282" s="946"/>
      <c r="GH282" s="946"/>
      <c r="GI282" s="946"/>
      <c r="GJ282" s="946"/>
      <c r="GK282" s="946"/>
      <c r="GL282" s="946"/>
      <c r="GM282" s="946"/>
      <c r="GN282" s="946"/>
      <c r="GO282" s="946"/>
      <c r="GP282" s="946"/>
      <c r="GQ282" s="946"/>
      <c r="GR282" s="946"/>
      <c r="GS282" s="946"/>
      <c r="GT282" s="946"/>
      <c r="GU282" s="946"/>
      <c r="GV282" s="946"/>
      <c r="GW282" s="946"/>
      <c r="GX282" s="946"/>
      <c r="GY282" s="946"/>
      <c r="GZ282" s="946"/>
      <c r="HA282" s="946"/>
      <c r="HB282" s="946"/>
      <c r="HC282" s="946"/>
      <c r="HD282" s="946"/>
      <c r="HE282" s="946"/>
      <c r="HF282" s="946"/>
      <c r="HG282" s="946"/>
      <c r="HH282" s="946"/>
      <c r="HI282" s="946"/>
      <c r="HJ282" s="946"/>
      <c r="HK282" s="946"/>
      <c r="HL282" s="946"/>
      <c r="HM282" s="946"/>
      <c r="HN282" s="946"/>
      <c r="HO282" s="946"/>
      <c r="HP282" s="946"/>
      <c r="HQ282" s="946"/>
      <c r="HR282" s="946"/>
      <c r="HS282" s="946"/>
      <c r="HT282" s="946"/>
      <c r="HU282" s="946"/>
      <c r="HV282" s="946"/>
      <c r="HW282" s="946"/>
      <c r="HX282" s="946"/>
      <c r="HY282" s="946"/>
      <c r="HZ282" s="946"/>
      <c r="IA282" s="946"/>
      <c r="IB282" s="946"/>
      <c r="IC282" s="946"/>
      <c r="ID282" s="946"/>
      <c r="IE282" s="946"/>
      <c r="IF282" s="946"/>
      <c r="IG282" s="946"/>
      <c r="IH282" s="946"/>
      <c r="II282" s="946"/>
      <c r="IJ282" s="946"/>
      <c r="IK282" s="946"/>
      <c r="IL282" s="946"/>
      <c r="IM282" s="946"/>
      <c r="IN282" s="946"/>
      <c r="IO282" s="946"/>
      <c r="IP282" s="946"/>
      <c r="IQ282" s="946"/>
      <c r="IR282" s="946"/>
      <c r="IS282" s="946"/>
      <c r="IT282" s="946"/>
      <c r="IU282" s="946"/>
      <c r="IV282" s="946"/>
      <c r="IW282" s="946"/>
      <c r="IX282" s="946"/>
      <c r="IY282" s="946"/>
      <c r="IZ282" s="946"/>
      <c r="JA282" s="946"/>
      <c r="JB282" s="946"/>
      <c r="JC282" s="946"/>
      <c r="JD282" s="946"/>
      <c r="JE282" s="946"/>
      <c r="JF282" s="946"/>
      <c r="JG282" s="946"/>
      <c r="JH282" s="946"/>
      <c r="JI282" s="946"/>
      <c r="JJ282" s="946"/>
      <c r="JK282" s="946"/>
      <c r="JL282" s="946"/>
      <c r="JM282" s="946"/>
      <c r="JN282" s="946"/>
      <c r="JO282" s="946"/>
      <c r="JP282" s="946"/>
      <c r="JQ282" s="946"/>
      <c r="JR282" s="946"/>
      <c r="JS282" s="946"/>
      <c r="JT282" s="946"/>
      <c r="JU282" s="946"/>
      <c r="JV282" s="946"/>
      <c r="JW282" s="946"/>
      <c r="JX282" s="946"/>
      <c r="JY282" s="946"/>
      <c r="JZ282" s="946"/>
      <c r="KA282" s="946"/>
      <c r="KB282" s="946"/>
      <c r="KC282" s="946"/>
      <c r="KD282" s="946"/>
      <c r="KE282" s="946"/>
      <c r="KF282" s="946"/>
      <c r="KG282" s="946"/>
      <c r="KH282" s="946"/>
      <c r="KI282" s="946"/>
      <c r="KJ282" s="946"/>
      <c r="KK282" s="946"/>
      <c r="KL282" s="946"/>
      <c r="KM282" s="946"/>
      <c r="KN282" s="946"/>
      <c r="KO282" s="946"/>
      <c r="KP282" s="946"/>
      <c r="KQ282" s="946"/>
      <c r="KR282" s="946"/>
      <c r="KS282" s="946"/>
      <c r="KT282" s="946"/>
      <c r="KU282" s="946"/>
      <c r="KV282" s="946"/>
      <c r="KW282" s="946"/>
      <c r="KX282" s="946"/>
      <c r="KY282" s="946"/>
      <c r="KZ282" s="946"/>
      <c r="LA282" s="946"/>
      <c r="LB282" s="946"/>
      <c r="LC282" s="946"/>
      <c r="LD282" s="946"/>
      <c r="LE282" s="946"/>
      <c r="LF282" s="946"/>
      <c r="LG282" s="946"/>
      <c r="LH282" s="946"/>
      <c r="LI282" s="946"/>
      <c r="LJ282" s="946"/>
      <c r="LK282" s="946"/>
      <c r="LL282" s="946"/>
      <c r="LM282" s="946"/>
      <c r="LN282" s="946"/>
      <c r="LO282" s="946"/>
      <c r="LP282" s="946"/>
    </row>
    <row r="283" spans="1:328" ht="15" x14ac:dyDescent="0.2">
      <c r="A283" s="957"/>
      <c r="C283" s="984"/>
      <c r="D283" s="1067">
        <v>13</v>
      </c>
      <c r="E283" s="1068" t="s">
        <v>1129</v>
      </c>
      <c r="F283" s="1068"/>
      <c r="G283" s="1069"/>
      <c r="H283" s="1069"/>
      <c r="I283" s="1069"/>
      <c r="J283" s="1069"/>
      <c r="K283" s="1070"/>
      <c r="L283" s="1069"/>
      <c r="M283" s="1069"/>
      <c r="N283" s="1069"/>
      <c r="O283" s="1071"/>
      <c r="P283" s="1072"/>
      <c r="Q283" s="1070"/>
      <c r="R283" s="1069"/>
      <c r="S283" s="1073"/>
      <c r="T283" s="1069"/>
      <c r="U283" s="1070"/>
      <c r="V283" s="1070"/>
      <c r="W283" s="2616"/>
      <c r="X283" s="2616"/>
      <c r="Y283" s="2616"/>
      <c r="Z283" s="1074"/>
      <c r="AA283" s="1071"/>
      <c r="AB283" s="1071"/>
      <c r="AC283" s="1071"/>
      <c r="AD283" s="1071"/>
      <c r="AE283" s="1071"/>
      <c r="AF283" s="1071"/>
      <c r="AG283" s="1071"/>
      <c r="AH283" s="1071"/>
      <c r="AI283" s="1071"/>
      <c r="AJ283" s="1071"/>
      <c r="AK283" s="1071"/>
      <c r="AL283" s="1071"/>
      <c r="AM283" s="1071"/>
      <c r="AN283" s="1071"/>
      <c r="AO283" s="1071"/>
      <c r="AP283" s="1071"/>
      <c r="AQ283" s="1071"/>
      <c r="AR283" s="1071"/>
      <c r="AS283" s="1071"/>
      <c r="AT283" s="1071"/>
      <c r="AU283" s="1071"/>
      <c r="AV283" s="1071"/>
      <c r="AW283" s="1071"/>
      <c r="AX283" s="1071"/>
      <c r="AY283" s="1071"/>
      <c r="AZ283" s="1071"/>
      <c r="BA283" s="1071"/>
      <c r="BB283" s="1071"/>
      <c r="BC283" s="1071"/>
      <c r="BD283" s="1075"/>
      <c r="BE283" s="1075"/>
      <c r="BF283" s="1071"/>
      <c r="BG283" s="1071"/>
      <c r="BH283" s="1071"/>
      <c r="BI283" s="1071"/>
      <c r="BJ283" s="1071"/>
      <c r="BK283" s="1076"/>
      <c r="BL283" s="1071"/>
      <c r="BM283" s="1071"/>
      <c r="BN283" s="1069"/>
      <c r="BO283" s="1069"/>
      <c r="BP283" s="1069"/>
      <c r="BQ283" s="1069"/>
      <c r="BR283" s="1077"/>
    </row>
    <row r="284" spans="1:328" ht="15" customHeight="1" x14ac:dyDescent="0.2">
      <c r="A284" s="957"/>
      <c r="B284" s="958"/>
      <c r="C284" s="959"/>
      <c r="D284" s="4667"/>
      <c r="E284" s="4668"/>
      <c r="F284" s="4668"/>
      <c r="G284" s="991">
        <v>47</v>
      </c>
      <c r="H284" s="963" t="s">
        <v>1130</v>
      </c>
      <c r="I284" s="963"/>
      <c r="J284" s="963"/>
      <c r="K284" s="964"/>
      <c r="L284" s="963"/>
      <c r="M284" s="963"/>
      <c r="N284" s="963"/>
      <c r="O284" s="965"/>
      <c r="P284" s="992"/>
      <c r="Q284" s="964"/>
      <c r="R284" s="963"/>
      <c r="S284" s="993"/>
      <c r="T284" s="963"/>
      <c r="U284" s="964"/>
      <c r="V284" s="964"/>
      <c r="W284" s="2607"/>
      <c r="X284" s="2607"/>
      <c r="Y284" s="2607"/>
      <c r="Z284" s="994"/>
      <c r="AA284" s="965"/>
      <c r="AB284" s="965"/>
      <c r="AC284" s="965"/>
      <c r="AD284" s="965"/>
      <c r="AE284" s="965"/>
      <c r="AF284" s="965"/>
      <c r="AG284" s="965"/>
      <c r="AH284" s="965"/>
      <c r="AI284" s="965"/>
      <c r="AJ284" s="965"/>
      <c r="AK284" s="965"/>
      <c r="AL284" s="965"/>
      <c r="AM284" s="965"/>
      <c r="AN284" s="965"/>
      <c r="AO284" s="965"/>
      <c r="AP284" s="965"/>
      <c r="AQ284" s="965"/>
      <c r="AR284" s="965"/>
      <c r="AS284" s="965"/>
      <c r="AT284" s="965"/>
      <c r="AU284" s="965"/>
      <c r="AV284" s="965"/>
      <c r="AW284" s="965"/>
      <c r="AX284" s="965"/>
      <c r="AY284" s="965"/>
      <c r="AZ284" s="965"/>
      <c r="BA284" s="965"/>
      <c r="BB284" s="965"/>
      <c r="BC284" s="965"/>
      <c r="BD284" s="965"/>
      <c r="BE284" s="965"/>
      <c r="BF284" s="965"/>
      <c r="BG284" s="965"/>
      <c r="BH284" s="965"/>
      <c r="BI284" s="965"/>
      <c r="BJ284" s="965"/>
      <c r="BK284" s="1049"/>
      <c r="BL284" s="965"/>
      <c r="BM284" s="965"/>
      <c r="BN284" s="963"/>
      <c r="BO284" s="963"/>
      <c r="BP284" s="963"/>
      <c r="BQ284" s="963"/>
      <c r="BR284" s="970"/>
    </row>
    <row r="285" spans="1:328" ht="48" customHeight="1" x14ac:dyDescent="0.2">
      <c r="A285" s="957"/>
      <c r="B285" s="958"/>
      <c r="C285" s="959"/>
      <c r="D285" s="4669"/>
      <c r="E285" s="4670"/>
      <c r="F285" s="4670"/>
      <c r="G285" s="4526"/>
      <c r="H285" s="4526"/>
      <c r="I285" s="4526"/>
      <c r="J285" s="4517">
        <v>163</v>
      </c>
      <c r="K285" s="4673" t="s">
        <v>1131</v>
      </c>
      <c r="L285" s="4526" t="s">
        <v>759</v>
      </c>
      <c r="M285" s="4526">
        <v>12</v>
      </c>
      <c r="N285" s="4526">
        <v>7</v>
      </c>
      <c r="O285" s="4658" t="s">
        <v>1132</v>
      </c>
      <c r="P285" s="4660" t="s">
        <v>1133</v>
      </c>
      <c r="Q285" s="4661" t="s">
        <v>1134</v>
      </c>
      <c r="R285" s="4662">
        <f>(W285+W286)/S285</f>
        <v>1.415969296187247E-3</v>
      </c>
      <c r="S285" s="4663">
        <f>SUM(W285:W295)</f>
        <v>21751884086</v>
      </c>
      <c r="T285" s="4675" t="s">
        <v>1135</v>
      </c>
      <c r="U285" s="4520" t="s">
        <v>1136</v>
      </c>
      <c r="V285" s="1078" t="s">
        <v>1137</v>
      </c>
      <c r="W285" s="2595">
        <v>15400000</v>
      </c>
      <c r="X285" s="1809">
        <v>14270500</v>
      </c>
      <c r="Y285" s="1809">
        <v>11080500</v>
      </c>
      <c r="Z285" s="1079">
        <v>20</v>
      </c>
      <c r="AA285" s="1080" t="s">
        <v>1138</v>
      </c>
      <c r="AB285" s="4523">
        <v>292684</v>
      </c>
      <c r="AC285" s="4637">
        <f>SUM(AB285*0.12)</f>
        <v>35122.080000000002</v>
      </c>
      <c r="AD285" s="4523">
        <v>282326</v>
      </c>
      <c r="AE285" s="4637">
        <f t="shared" ref="AE285:AE295" si="95">SUM(AD285*0.12)</f>
        <v>33879.119999999995</v>
      </c>
      <c r="AF285" s="4523">
        <v>135912</v>
      </c>
      <c r="AG285" s="4637">
        <f t="shared" ref="AG285:AG295" si="96">SUM(AF285*0.12)</f>
        <v>16309.439999999999</v>
      </c>
      <c r="AH285" s="4523">
        <v>45122</v>
      </c>
      <c r="AI285" s="4637">
        <f t="shared" ref="AI285:AI295" si="97">SUM(AH285*0.12)</f>
        <v>5414.6399999999994</v>
      </c>
      <c r="AJ285" s="4523">
        <v>307101</v>
      </c>
      <c r="AK285" s="4637">
        <v>36852.119999999995</v>
      </c>
      <c r="AL285" s="4523">
        <v>86875</v>
      </c>
      <c r="AM285" s="4637">
        <v>10425</v>
      </c>
      <c r="AN285" s="4523">
        <v>2145</v>
      </c>
      <c r="AO285" s="4637">
        <f t="shared" ref="AO285:AO295" si="98">SUM(AN285*0.12)</f>
        <v>257.39999999999998</v>
      </c>
      <c r="AP285" s="4523">
        <v>12718</v>
      </c>
      <c r="AQ285" s="4637">
        <f t="shared" ref="AQ285:AQ295" si="99">SUM(AP285*0.12)</f>
        <v>1526.1599999999999</v>
      </c>
      <c r="AR285" s="4523">
        <v>26</v>
      </c>
      <c r="AS285" s="4637">
        <f t="shared" ref="AS285:AS295" si="100">SUM(AR285*0.12)</f>
        <v>3.12</v>
      </c>
      <c r="AT285" s="4523">
        <v>37</v>
      </c>
      <c r="AU285" s="4637">
        <f t="shared" ref="AU285:AU295" si="101">SUM(AT285*0.12)</f>
        <v>4.4399999999999995</v>
      </c>
      <c r="AV285" s="4523" t="s">
        <v>767</v>
      </c>
      <c r="AW285" s="4637" t="s">
        <v>767</v>
      </c>
      <c r="AX285" s="4523" t="s">
        <v>767</v>
      </c>
      <c r="AY285" s="4637" t="s">
        <v>767</v>
      </c>
      <c r="AZ285" s="4523">
        <v>53164</v>
      </c>
      <c r="BA285" s="4637">
        <f t="shared" ref="BA285:BA295" si="102">SUM(AZ285*0.12)</f>
        <v>6379.6799999999994</v>
      </c>
      <c r="BB285" s="4523">
        <v>16982</v>
      </c>
      <c r="BC285" s="4637">
        <f t="shared" ref="BC285:BC295" si="103">SUM(BB285*0.12)</f>
        <v>2037.84</v>
      </c>
      <c r="BD285" s="4523">
        <v>60013</v>
      </c>
      <c r="BE285" s="4637">
        <f t="shared" ref="BE285:BE295" si="104">SUM(BD285*0.12)</f>
        <v>7201.5599999999995</v>
      </c>
      <c r="BF285" s="4523">
        <v>575010</v>
      </c>
      <c r="BG285" s="4637">
        <f t="shared" ref="BG285:BG295" si="105">SUM(BF285*0.12)</f>
        <v>69001.2</v>
      </c>
      <c r="BH285" s="4538">
        <v>8</v>
      </c>
      <c r="BI285" s="4686">
        <f>SUM(X285:X295)</f>
        <v>7501083653</v>
      </c>
      <c r="BJ285" s="4686">
        <f>SUM(Y285:Y295)</f>
        <v>7494703653</v>
      </c>
      <c r="BK285" s="3322">
        <f>+BJ285/BI285</f>
        <v>0.99914945622590834</v>
      </c>
      <c r="BL285" s="4538" t="s">
        <v>1139</v>
      </c>
      <c r="BM285" s="4538" t="s">
        <v>1140</v>
      </c>
      <c r="BN285" s="4656">
        <v>43467</v>
      </c>
      <c r="BO285" s="4553">
        <v>43830</v>
      </c>
      <c r="BP285" s="4656">
        <v>43830</v>
      </c>
      <c r="BQ285" s="4553">
        <v>43830</v>
      </c>
      <c r="BR285" s="4556" t="s">
        <v>770</v>
      </c>
    </row>
    <row r="286" spans="1:328" ht="63.75" customHeight="1" x14ac:dyDescent="0.2">
      <c r="A286" s="957"/>
      <c r="B286" s="958"/>
      <c r="C286" s="959"/>
      <c r="D286" s="4669"/>
      <c r="E286" s="4670"/>
      <c r="F286" s="4670"/>
      <c r="G286" s="4523"/>
      <c r="H286" s="4523"/>
      <c r="I286" s="4523"/>
      <c r="J286" s="4519"/>
      <c r="K286" s="4674"/>
      <c r="L286" s="4526"/>
      <c r="M286" s="4526"/>
      <c r="N286" s="4526"/>
      <c r="O286" s="4659"/>
      <c r="P286" s="4660"/>
      <c r="Q286" s="4661"/>
      <c r="R286" s="4662"/>
      <c r="S286" s="4663"/>
      <c r="T286" s="4676"/>
      <c r="U286" s="4522"/>
      <c r="V286" s="1078" t="s">
        <v>1141</v>
      </c>
      <c r="W286" s="2595">
        <v>15400000</v>
      </c>
      <c r="X286" s="1809">
        <v>14270500</v>
      </c>
      <c r="Y286" s="1809">
        <v>11080500</v>
      </c>
      <c r="Z286" s="1079">
        <v>20</v>
      </c>
      <c r="AA286" s="1080" t="s">
        <v>1138</v>
      </c>
      <c r="AB286" s="4524"/>
      <c r="AC286" s="4638"/>
      <c r="AD286" s="4524">
        <v>282326</v>
      </c>
      <c r="AE286" s="4638">
        <f t="shared" si="95"/>
        <v>33879.119999999995</v>
      </c>
      <c r="AF286" s="4524">
        <v>135912</v>
      </c>
      <c r="AG286" s="4638">
        <f t="shared" si="96"/>
        <v>16309.439999999999</v>
      </c>
      <c r="AH286" s="4524">
        <v>45122</v>
      </c>
      <c r="AI286" s="4638">
        <f t="shared" si="97"/>
        <v>5414.6399999999994</v>
      </c>
      <c r="AJ286" s="4524">
        <v>307101</v>
      </c>
      <c r="AK286" s="4638">
        <v>36852.119999999995</v>
      </c>
      <c r="AL286" s="4524">
        <v>86875</v>
      </c>
      <c r="AM286" s="4638">
        <v>10425</v>
      </c>
      <c r="AN286" s="4524">
        <v>2145</v>
      </c>
      <c r="AO286" s="4638">
        <f t="shared" si="98"/>
        <v>257.39999999999998</v>
      </c>
      <c r="AP286" s="4524">
        <v>12718</v>
      </c>
      <c r="AQ286" s="4638">
        <f t="shared" si="99"/>
        <v>1526.1599999999999</v>
      </c>
      <c r="AR286" s="4524">
        <v>26</v>
      </c>
      <c r="AS286" s="4638">
        <f t="shared" si="100"/>
        <v>3.12</v>
      </c>
      <c r="AT286" s="4524">
        <v>37</v>
      </c>
      <c r="AU286" s="4638">
        <f t="shared" si="101"/>
        <v>4.4399999999999995</v>
      </c>
      <c r="AV286" s="4524" t="s">
        <v>767</v>
      </c>
      <c r="AW286" s="4638" t="s">
        <v>767</v>
      </c>
      <c r="AX286" s="4524" t="s">
        <v>767</v>
      </c>
      <c r="AY286" s="4638" t="s">
        <v>767</v>
      </c>
      <c r="AZ286" s="4524">
        <v>53164</v>
      </c>
      <c r="BA286" s="4638">
        <f t="shared" si="102"/>
        <v>6379.6799999999994</v>
      </c>
      <c r="BB286" s="4524">
        <v>16982</v>
      </c>
      <c r="BC286" s="4638">
        <f t="shared" si="103"/>
        <v>2037.84</v>
      </c>
      <c r="BD286" s="4524">
        <v>60013</v>
      </c>
      <c r="BE286" s="4638">
        <f t="shared" si="104"/>
        <v>7201.5599999999995</v>
      </c>
      <c r="BF286" s="4524">
        <v>575010</v>
      </c>
      <c r="BG286" s="4638">
        <f t="shared" si="105"/>
        <v>69001.2</v>
      </c>
      <c r="BH286" s="4539"/>
      <c r="BI286" s="4539"/>
      <c r="BJ286" s="4539"/>
      <c r="BK286" s="3323"/>
      <c r="BL286" s="4539"/>
      <c r="BM286" s="4539"/>
      <c r="BN286" s="4656"/>
      <c r="BO286" s="4554"/>
      <c r="BP286" s="4656"/>
      <c r="BQ286" s="4554"/>
      <c r="BR286" s="4557"/>
    </row>
    <row r="287" spans="1:328" ht="35.1" customHeight="1" x14ac:dyDescent="0.2">
      <c r="A287" s="957"/>
      <c r="B287" s="958"/>
      <c r="C287" s="959"/>
      <c r="D287" s="4669"/>
      <c r="E287" s="4670"/>
      <c r="F287" s="4670"/>
      <c r="G287" s="1081">
        <v>48</v>
      </c>
      <c r="H287" s="1082" t="s">
        <v>1142</v>
      </c>
      <c r="I287" s="1082"/>
      <c r="J287" s="1083"/>
      <c r="K287" s="1084"/>
      <c r="L287" s="963"/>
      <c r="M287" s="963"/>
      <c r="N287" s="963"/>
      <c r="O287" s="965"/>
      <c r="P287" s="4660"/>
      <c r="Q287" s="4661"/>
      <c r="R287" s="1085"/>
      <c r="S287" s="4663"/>
      <c r="T287" s="4676"/>
      <c r="U287" s="1084"/>
      <c r="V287" s="1084"/>
      <c r="W287" s="2607"/>
      <c r="X287" s="2607"/>
      <c r="Y287" s="2607"/>
      <c r="Z287" s="966"/>
      <c r="AA287" s="965"/>
      <c r="AB287" s="4524"/>
      <c r="AC287" s="4638"/>
      <c r="AD287" s="4524">
        <v>282326</v>
      </c>
      <c r="AE287" s="4638">
        <f t="shared" si="95"/>
        <v>33879.119999999995</v>
      </c>
      <c r="AF287" s="4524">
        <v>135912</v>
      </c>
      <c r="AG287" s="4638">
        <f t="shared" si="96"/>
        <v>16309.439999999999</v>
      </c>
      <c r="AH287" s="4524">
        <v>45122</v>
      </c>
      <c r="AI287" s="4638">
        <f t="shared" si="97"/>
        <v>5414.6399999999994</v>
      </c>
      <c r="AJ287" s="4524">
        <v>307101</v>
      </c>
      <c r="AK287" s="4638">
        <v>36852.119999999995</v>
      </c>
      <c r="AL287" s="4524">
        <v>86875</v>
      </c>
      <c r="AM287" s="4638">
        <v>10425</v>
      </c>
      <c r="AN287" s="4524">
        <v>2145</v>
      </c>
      <c r="AO287" s="4638">
        <f t="shared" si="98"/>
        <v>257.39999999999998</v>
      </c>
      <c r="AP287" s="4524">
        <v>12718</v>
      </c>
      <c r="AQ287" s="4638">
        <f t="shared" si="99"/>
        <v>1526.1599999999999</v>
      </c>
      <c r="AR287" s="4524">
        <v>26</v>
      </c>
      <c r="AS287" s="4638">
        <f t="shared" si="100"/>
        <v>3.12</v>
      </c>
      <c r="AT287" s="4524">
        <v>37</v>
      </c>
      <c r="AU287" s="4638">
        <f t="shared" si="101"/>
        <v>4.4399999999999995</v>
      </c>
      <c r="AV287" s="4524" t="s">
        <v>767</v>
      </c>
      <c r="AW287" s="4638" t="s">
        <v>767</v>
      </c>
      <c r="AX287" s="4524" t="s">
        <v>767</v>
      </c>
      <c r="AY287" s="4638" t="s">
        <v>767</v>
      </c>
      <c r="AZ287" s="4524">
        <v>53164</v>
      </c>
      <c r="BA287" s="4638">
        <f t="shared" si="102"/>
        <v>6379.6799999999994</v>
      </c>
      <c r="BB287" s="4524">
        <v>16982</v>
      </c>
      <c r="BC287" s="4638">
        <f t="shared" si="103"/>
        <v>2037.84</v>
      </c>
      <c r="BD287" s="4524">
        <v>60013</v>
      </c>
      <c r="BE287" s="4638">
        <f t="shared" si="104"/>
        <v>7201.5599999999995</v>
      </c>
      <c r="BF287" s="4524">
        <v>575010</v>
      </c>
      <c r="BG287" s="4638">
        <f t="shared" si="105"/>
        <v>69001.2</v>
      </c>
      <c r="BH287" s="4539"/>
      <c r="BI287" s="4539"/>
      <c r="BJ287" s="4539"/>
      <c r="BK287" s="3323"/>
      <c r="BL287" s="4539"/>
      <c r="BM287" s="4539"/>
      <c r="BN287" s="4656"/>
      <c r="BO287" s="4554"/>
      <c r="BP287" s="4656"/>
      <c r="BQ287" s="4554"/>
      <c r="BR287" s="4557"/>
    </row>
    <row r="288" spans="1:328" ht="35.1" customHeight="1" x14ac:dyDescent="0.2">
      <c r="A288" s="957"/>
      <c r="B288" s="958"/>
      <c r="C288" s="959"/>
      <c r="D288" s="4669"/>
      <c r="E288" s="4670"/>
      <c r="F288" s="4670"/>
      <c r="G288" s="4681"/>
      <c r="H288" s="4681"/>
      <c r="I288" s="4681"/>
      <c r="J288" s="4614">
        <v>164</v>
      </c>
      <c r="K288" s="4584" t="s">
        <v>1143</v>
      </c>
      <c r="L288" s="4683" t="s">
        <v>759</v>
      </c>
      <c r="M288" s="4526">
        <v>12</v>
      </c>
      <c r="N288" s="4526">
        <v>5</v>
      </c>
      <c r="O288" s="4640" t="s">
        <v>1144</v>
      </c>
      <c r="P288" s="4660"/>
      <c r="Q288" s="4661"/>
      <c r="R288" s="4664">
        <f>(W288+W290+W289)/S285</f>
        <v>0.99522799957973263</v>
      </c>
      <c r="S288" s="4663"/>
      <c r="T288" s="4676"/>
      <c r="U288" s="4584" t="s">
        <v>1145</v>
      </c>
      <c r="V288" s="4678" t="s">
        <v>1146</v>
      </c>
      <c r="W288" s="2617">
        <f>21153943161-78204383+314128486</f>
        <v>21389867264</v>
      </c>
      <c r="X288" s="1809">
        <v>7451557653</v>
      </c>
      <c r="Y288" s="1809">
        <v>7451557653</v>
      </c>
      <c r="Z288" s="1086">
        <v>154</v>
      </c>
      <c r="AA288" s="1087" t="s">
        <v>1147</v>
      </c>
      <c r="AB288" s="4524"/>
      <c r="AC288" s="4638"/>
      <c r="AD288" s="4524">
        <v>282326</v>
      </c>
      <c r="AE288" s="4638">
        <f t="shared" si="95"/>
        <v>33879.119999999995</v>
      </c>
      <c r="AF288" s="4524">
        <v>135912</v>
      </c>
      <c r="AG288" s="4638">
        <f t="shared" si="96"/>
        <v>16309.439999999999</v>
      </c>
      <c r="AH288" s="4524">
        <v>45122</v>
      </c>
      <c r="AI288" s="4638">
        <f t="shared" si="97"/>
        <v>5414.6399999999994</v>
      </c>
      <c r="AJ288" s="4524">
        <v>307101</v>
      </c>
      <c r="AK288" s="4638">
        <v>36852.119999999995</v>
      </c>
      <c r="AL288" s="4524">
        <v>86875</v>
      </c>
      <c r="AM288" s="4638">
        <v>10425</v>
      </c>
      <c r="AN288" s="4524">
        <v>2145</v>
      </c>
      <c r="AO288" s="4638">
        <f t="shared" si="98"/>
        <v>257.39999999999998</v>
      </c>
      <c r="AP288" s="4524">
        <v>12718</v>
      </c>
      <c r="AQ288" s="4638">
        <f t="shared" si="99"/>
        <v>1526.1599999999999</v>
      </c>
      <c r="AR288" s="4524">
        <v>26</v>
      </c>
      <c r="AS288" s="4638">
        <f t="shared" si="100"/>
        <v>3.12</v>
      </c>
      <c r="AT288" s="4524">
        <v>37</v>
      </c>
      <c r="AU288" s="4638">
        <f t="shared" si="101"/>
        <v>4.4399999999999995</v>
      </c>
      <c r="AV288" s="4524" t="s">
        <v>767</v>
      </c>
      <c r="AW288" s="4638" t="s">
        <v>767</v>
      </c>
      <c r="AX288" s="4524" t="s">
        <v>767</v>
      </c>
      <c r="AY288" s="4638" t="s">
        <v>767</v>
      </c>
      <c r="AZ288" s="4524">
        <v>53164</v>
      </c>
      <c r="BA288" s="4638">
        <f t="shared" si="102"/>
        <v>6379.6799999999994</v>
      </c>
      <c r="BB288" s="4524">
        <v>16982</v>
      </c>
      <c r="BC288" s="4638">
        <f t="shared" si="103"/>
        <v>2037.84</v>
      </c>
      <c r="BD288" s="4524">
        <v>60013</v>
      </c>
      <c r="BE288" s="4638">
        <f t="shared" si="104"/>
        <v>7201.5599999999995</v>
      </c>
      <c r="BF288" s="4524">
        <v>575010</v>
      </c>
      <c r="BG288" s="4638">
        <f t="shared" si="105"/>
        <v>69001.2</v>
      </c>
      <c r="BH288" s="4539"/>
      <c r="BI288" s="4539"/>
      <c r="BJ288" s="4539"/>
      <c r="BK288" s="3323"/>
      <c r="BL288" s="4539"/>
      <c r="BM288" s="4539"/>
      <c r="BN288" s="4656"/>
      <c r="BO288" s="4554"/>
      <c r="BP288" s="4656"/>
      <c r="BQ288" s="4554"/>
      <c r="BR288" s="4557"/>
    </row>
    <row r="289" spans="1:199" ht="35.1" customHeight="1" x14ac:dyDescent="0.2">
      <c r="A289" s="957"/>
      <c r="B289" s="958"/>
      <c r="C289" s="959"/>
      <c r="D289" s="4669"/>
      <c r="E289" s="4670"/>
      <c r="F289" s="4670"/>
      <c r="G289" s="4681"/>
      <c r="H289" s="4681"/>
      <c r="I289" s="4681"/>
      <c r="J289" s="4682"/>
      <c r="K289" s="4584"/>
      <c r="L289" s="4684"/>
      <c r="M289" s="4526"/>
      <c r="N289" s="4526"/>
      <c r="O289" s="4641"/>
      <c r="P289" s="4660"/>
      <c r="Q289" s="4661"/>
      <c r="R289" s="4665"/>
      <c r="S289" s="4663"/>
      <c r="T289" s="4676"/>
      <c r="U289" s="4584"/>
      <c r="V289" s="4678"/>
      <c r="W289" s="2617">
        <v>78204383</v>
      </c>
      <c r="X289" s="2618">
        <v>0</v>
      </c>
      <c r="Y289" s="2618">
        <v>0</v>
      </c>
      <c r="Z289" s="1086">
        <v>154</v>
      </c>
      <c r="AA289" s="1087" t="s">
        <v>1148</v>
      </c>
      <c r="AB289" s="4524"/>
      <c r="AC289" s="4638"/>
      <c r="AD289" s="4524">
        <v>282326</v>
      </c>
      <c r="AE289" s="4638">
        <f t="shared" si="95"/>
        <v>33879.119999999995</v>
      </c>
      <c r="AF289" s="4524">
        <v>135912</v>
      </c>
      <c r="AG289" s="4638">
        <f t="shared" si="96"/>
        <v>16309.439999999999</v>
      </c>
      <c r="AH289" s="4524">
        <v>45122</v>
      </c>
      <c r="AI289" s="4638">
        <f t="shared" si="97"/>
        <v>5414.6399999999994</v>
      </c>
      <c r="AJ289" s="4524">
        <v>307101</v>
      </c>
      <c r="AK289" s="4638">
        <v>36852.119999999995</v>
      </c>
      <c r="AL289" s="4524">
        <v>86875</v>
      </c>
      <c r="AM289" s="4638">
        <v>10425</v>
      </c>
      <c r="AN289" s="4524">
        <v>2145</v>
      </c>
      <c r="AO289" s="4638">
        <f t="shared" si="98"/>
        <v>257.39999999999998</v>
      </c>
      <c r="AP289" s="4524">
        <v>12718</v>
      </c>
      <c r="AQ289" s="4638">
        <f t="shared" si="99"/>
        <v>1526.1599999999999</v>
      </c>
      <c r="AR289" s="4524">
        <v>26</v>
      </c>
      <c r="AS289" s="4638">
        <f t="shared" si="100"/>
        <v>3.12</v>
      </c>
      <c r="AT289" s="4524">
        <v>37</v>
      </c>
      <c r="AU289" s="4638">
        <f t="shared" si="101"/>
        <v>4.4399999999999995</v>
      </c>
      <c r="AV289" s="4524" t="s">
        <v>767</v>
      </c>
      <c r="AW289" s="4638" t="s">
        <v>767</v>
      </c>
      <c r="AX289" s="4524" t="s">
        <v>767</v>
      </c>
      <c r="AY289" s="4638" t="s">
        <v>767</v>
      </c>
      <c r="AZ289" s="4524">
        <v>53164</v>
      </c>
      <c r="BA289" s="4638">
        <f t="shared" si="102"/>
        <v>6379.6799999999994</v>
      </c>
      <c r="BB289" s="4524">
        <v>16982</v>
      </c>
      <c r="BC289" s="4638">
        <f t="shared" si="103"/>
        <v>2037.84</v>
      </c>
      <c r="BD289" s="4524">
        <v>60013</v>
      </c>
      <c r="BE289" s="4638">
        <f t="shared" si="104"/>
        <v>7201.5599999999995</v>
      </c>
      <c r="BF289" s="4524">
        <v>575010</v>
      </c>
      <c r="BG289" s="4638">
        <f t="shared" si="105"/>
        <v>69001.2</v>
      </c>
      <c r="BH289" s="4539"/>
      <c r="BI289" s="4539"/>
      <c r="BJ289" s="4539"/>
      <c r="BK289" s="3323"/>
      <c r="BL289" s="4539"/>
      <c r="BM289" s="4539"/>
      <c r="BN289" s="4656"/>
      <c r="BO289" s="4554"/>
      <c r="BP289" s="4656"/>
      <c r="BQ289" s="4554"/>
      <c r="BR289" s="4557"/>
    </row>
    <row r="290" spans="1:199" ht="48.75" customHeight="1" x14ac:dyDescent="0.2">
      <c r="A290" s="957"/>
      <c r="B290" s="958"/>
      <c r="C290" s="959"/>
      <c r="D290" s="4669"/>
      <c r="E290" s="4670"/>
      <c r="F290" s="4670"/>
      <c r="G290" s="4681"/>
      <c r="H290" s="4681"/>
      <c r="I290" s="4681"/>
      <c r="J290" s="4615"/>
      <c r="K290" s="4584"/>
      <c r="L290" s="4685"/>
      <c r="M290" s="4526"/>
      <c r="N290" s="4526"/>
      <c r="O290" s="4642"/>
      <c r="P290" s="4660"/>
      <c r="Q290" s="4661"/>
      <c r="R290" s="4666"/>
      <c r="S290" s="4663"/>
      <c r="T290" s="4676"/>
      <c r="U290" s="4584"/>
      <c r="V290" s="4678"/>
      <c r="W290" s="2617">
        <v>180012439</v>
      </c>
      <c r="X290" s="2618">
        <v>0</v>
      </c>
      <c r="Y290" s="2618">
        <v>0</v>
      </c>
      <c r="Z290" s="1086">
        <v>148</v>
      </c>
      <c r="AA290" s="1087" t="s">
        <v>1149</v>
      </c>
      <c r="AB290" s="4524"/>
      <c r="AC290" s="4638"/>
      <c r="AD290" s="4524">
        <v>282326</v>
      </c>
      <c r="AE290" s="4638">
        <f t="shared" si="95"/>
        <v>33879.119999999995</v>
      </c>
      <c r="AF290" s="4524">
        <v>135912</v>
      </c>
      <c r="AG290" s="4638">
        <f t="shared" si="96"/>
        <v>16309.439999999999</v>
      </c>
      <c r="AH290" s="4524">
        <v>45122</v>
      </c>
      <c r="AI290" s="4638">
        <f t="shared" si="97"/>
        <v>5414.6399999999994</v>
      </c>
      <c r="AJ290" s="4524">
        <v>307101</v>
      </c>
      <c r="AK290" s="4638">
        <v>36852.119999999995</v>
      </c>
      <c r="AL290" s="4524">
        <v>86875</v>
      </c>
      <c r="AM290" s="4638">
        <v>10425</v>
      </c>
      <c r="AN290" s="4524">
        <v>2145</v>
      </c>
      <c r="AO290" s="4638">
        <f t="shared" si="98"/>
        <v>257.39999999999998</v>
      </c>
      <c r="AP290" s="4524">
        <v>12718</v>
      </c>
      <c r="AQ290" s="4638">
        <f t="shared" si="99"/>
        <v>1526.1599999999999</v>
      </c>
      <c r="AR290" s="4524">
        <v>26</v>
      </c>
      <c r="AS290" s="4638">
        <f t="shared" si="100"/>
        <v>3.12</v>
      </c>
      <c r="AT290" s="4524">
        <v>37</v>
      </c>
      <c r="AU290" s="4638">
        <f t="shared" si="101"/>
        <v>4.4399999999999995</v>
      </c>
      <c r="AV290" s="4524" t="s">
        <v>767</v>
      </c>
      <c r="AW290" s="4638" t="s">
        <v>767</v>
      </c>
      <c r="AX290" s="4524" t="s">
        <v>767</v>
      </c>
      <c r="AY290" s="4638" t="s">
        <v>767</v>
      </c>
      <c r="AZ290" s="4524">
        <v>53164</v>
      </c>
      <c r="BA290" s="4638">
        <f t="shared" si="102"/>
        <v>6379.6799999999994</v>
      </c>
      <c r="BB290" s="4524">
        <v>16982</v>
      </c>
      <c r="BC290" s="4638">
        <f t="shared" si="103"/>
        <v>2037.84</v>
      </c>
      <c r="BD290" s="4524">
        <v>60013</v>
      </c>
      <c r="BE290" s="4638">
        <f t="shared" si="104"/>
        <v>7201.5599999999995</v>
      </c>
      <c r="BF290" s="4524">
        <v>575010</v>
      </c>
      <c r="BG290" s="4638">
        <f t="shared" si="105"/>
        <v>69001.2</v>
      </c>
      <c r="BH290" s="4539"/>
      <c r="BI290" s="4539"/>
      <c r="BJ290" s="4539"/>
      <c r="BK290" s="3323"/>
      <c r="BL290" s="4539"/>
      <c r="BM290" s="4539"/>
      <c r="BN290" s="4656"/>
      <c r="BO290" s="4554"/>
      <c r="BP290" s="4656"/>
      <c r="BQ290" s="4554"/>
      <c r="BR290" s="4557"/>
    </row>
    <row r="291" spans="1:199" ht="35.1" customHeight="1" x14ac:dyDescent="0.2">
      <c r="A291" s="957"/>
      <c r="B291" s="958"/>
      <c r="C291" s="959"/>
      <c r="D291" s="4669"/>
      <c r="E291" s="4670"/>
      <c r="F291" s="4670"/>
      <c r="G291" s="1088">
        <v>49</v>
      </c>
      <c r="H291" s="1089" t="s">
        <v>1150</v>
      </c>
      <c r="I291" s="1089"/>
      <c r="J291" s="1089"/>
      <c r="K291" s="1090"/>
      <c r="L291" s="963"/>
      <c r="M291" s="963"/>
      <c r="N291" s="963"/>
      <c r="O291" s="965"/>
      <c r="P291" s="4660"/>
      <c r="Q291" s="4661"/>
      <c r="R291" s="1085"/>
      <c r="S291" s="4663"/>
      <c r="T291" s="4676"/>
      <c r="U291" s="1091"/>
      <c r="V291" s="1090"/>
      <c r="W291" s="2607"/>
      <c r="X291" s="2607"/>
      <c r="Y291" s="2607"/>
      <c r="Z291" s="966"/>
      <c r="AA291" s="966"/>
      <c r="AB291" s="4524"/>
      <c r="AC291" s="4638"/>
      <c r="AD291" s="4524">
        <v>282326</v>
      </c>
      <c r="AE291" s="4638">
        <f t="shared" si="95"/>
        <v>33879.119999999995</v>
      </c>
      <c r="AF291" s="4524">
        <v>135912</v>
      </c>
      <c r="AG291" s="4638">
        <f t="shared" si="96"/>
        <v>16309.439999999999</v>
      </c>
      <c r="AH291" s="4524">
        <v>45122</v>
      </c>
      <c r="AI291" s="4638">
        <f t="shared" si="97"/>
        <v>5414.6399999999994</v>
      </c>
      <c r="AJ291" s="4524">
        <v>307101</v>
      </c>
      <c r="AK291" s="4638">
        <v>36852.119999999995</v>
      </c>
      <c r="AL291" s="4524">
        <v>86875</v>
      </c>
      <c r="AM291" s="4638">
        <v>10425</v>
      </c>
      <c r="AN291" s="4524">
        <v>2145</v>
      </c>
      <c r="AO291" s="4638">
        <f t="shared" si="98"/>
        <v>257.39999999999998</v>
      </c>
      <c r="AP291" s="4524">
        <v>12718</v>
      </c>
      <c r="AQ291" s="4638">
        <f t="shared" si="99"/>
        <v>1526.1599999999999</v>
      </c>
      <c r="AR291" s="4524">
        <v>26</v>
      </c>
      <c r="AS291" s="4638">
        <f t="shared" si="100"/>
        <v>3.12</v>
      </c>
      <c r="AT291" s="4524">
        <v>37</v>
      </c>
      <c r="AU291" s="4638">
        <f t="shared" si="101"/>
        <v>4.4399999999999995</v>
      </c>
      <c r="AV291" s="4524" t="s">
        <v>767</v>
      </c>
      <c r="AW291" s="4638" t="s">
        <v>767</v>
      </c>
      <c r="AX291" s="4524" t="s">
        <v>767</v>
      </c>
      <c r="AY291" s="4638" t="s">
        <v>767</v>
      </c>
      <c r="AZ291" s="4524">
        <v>53164</v>
      </c>
      <c r="BA291" s="4638">
        <f t="shared" si="102"/>
        <v>6379.6799999999994</v>
      </c>
      <c r="BB291" s="4524">
        <v>16982</v>
      </c>
      <c r="BC291" s="4638">
        <f t="shared" si="103"/>
        <v>2037.84</v>
      </c>
      <c r="BD291" s="4524">
        <v>60013</v>
      </c>
      <c r="BE291" s="4638">
        <f t="shared" si="104"/>
        <v>7201.5599999999995</v>
      </c>
      <c r="BF291" s="4524">
        <v>575010</v>
      </c>
      <c r="BG291" s="4638">
        <f t="shared" si="105"/>
        <v>69001.2</v>
      </c>
      <c r="BH291" s="4539"/>
      <c r="BI291" s="4539"/>
      <c r="BJ291" s="4539"/>
      <c r="BK291" s="3323"/>
      <c r="BL291" s="4539"/>
      <c r="BM291" s="4539"/>
      <c r="BN291" s="4656"/>
      <c r="BO291" s="4554"/>
      <c r="BP291" s="4656"/>
      <c r="BQ291" s="4554"/>
      <c r="BR291" s="4557"/>
    </row>
    <row r="292" spans="1:199" ht="35.25" customHeight="1" x14ac:dyDescent="0.2">
      <c r="A292" s="957"/>
      <c r="B292" s="958"/>
      <c r="C292" s="959"/>
      <c r="D292" s="4669"/>
      <c r="E292" s="4670"/>
      <c r="F292" s="4670"/>
      <c r="G292" s="4526"/>
      <c r="H292" s="4526"/>
      <c r="I292" s="4526"/>
      <c r="J292" s="4517">
        <v>165</v>
      </c>
      <c r="K292" s="4589" t="s">
        <v>1151</v>
      </c>
      <c r="L292" s="4526" t="s">
        <v>759</v>
      </c>
      <c r="M292" s="4526">
        <v>12</v>
      </c>
      <c r="N292" s="4526">
        <v>6</v>
      </c>
      <c r="O292" s="4526" t="s">
        <v>1152</v>
      </c>
      <c r="P292" s="4660"/>
      <c r="Q292" s="4661"/>
      <c r="R292" s="4662">
        <f>SUM(W292:W295)/S285</f>
        <v>3.3560311240801634E-3</v>
      </c>
      <c r="S292" s="4663"/>
      <c r="T292" s="4676"/>
      <c r="U292" s="4584" t="s">
        <v>1153</v>
      </c>
      <c r="V292" s="4679" t="s">
        <v>1154</v>
      </c>
      <c r="W292" s="2608">
        <v>10500000</v>
      </c>
      <c r="X292" s="1809">
        <v>10492500</v>
      </c>
      <c r="Y292" s="1809">
        <v>10492500</v>
      </c>
      <c r="Z292" s="1092">
        <v>20</v>
      </c>
      <c r="AA292" s="1062" t="s">
        <v>1138</v>
      </c>
      <c r="AB292" s="4524"/>
      <c r="AC292" s="4638"/>
      <c r="AD292" s="4524">
        <v>282326</v>
      </c>
      <c r="AE292" s="4638">
        <f t="shared" si="95"/>
        <v>33879.119999999995</v>
      </c>
      <c r="AF292" s="4524">
        <v>135912</v>
      </c>
      <c r="AG292" s="4638">
        <f t="shared" si="96"/>
        <v>16309.439999999999</v>
      </c>
      <c r="AH292" s="4524">
        <v>45122</v>
      </c>
      <c r="AI292" s="4638">
        <f t="shared" si="97"/>
        <v>5414.6399999999994</v>
      </c>
      <c r="AJ292" s="4524">
        <v>307101</v>
      </c>
      <c r="AK292" s="4638">
        <v>36852.119999999995</v>
      </c>
      <c r="AL292" s="4524">
        <v>86875</v>
      </c>
      <c r="AM292" s="4638">
        <v>10425</v>
      </c>
      <c r="AN292" s="4524">
        <v>2145</v>
      </c>
      <c r="AO292" s="4638">
        <f t="shared" si="98"/>
        <v>257.39999999999998</v>
      </c>
      <c r="AP292" s="4524">
        <v>12718</v>
      </c>
      <c r="AQ292" s="4638">
        <f t="shared" si="99"/>
        <v>1526.1599999999999</v>
      </c>
      <c r="AR292" s="4524">
        <v>26</v>
      </c>
      <c r="AS292" s="4638">
        <f t="shared" si="100"/>
        <v>3.12</v>
      </c>
      <c r="AT292" s="4524">
        <v>37</v>
      </c>
      <c r="AU292" s="4638">
        <f t="shared" si="101"/>
        <v>4.4399999999999995</v>
      </c>
      <c r="AV292" s="4524" t="s">
        <v>767</v>
      </c>
      <c r="AW292" s="4638" t="s">
        <v>767</v>
      </c>
      <c r="AX292" s="4524" t="s">
        <v>767</v>
      </c>
      <c r="AY292" s="4638" t="s">
        <v>767</v>
      </c>
      <c r="AZ292" s="4524">
        <v>53164</v>
      </c>
      <c r="BA292" s="4638">
        <f t="shared" si="102"/>
        <v>6379.6799999999994</v>
      </c>
      <c r="BB292" s="4524">
        <v>16982</v>
      </c>
      <c r="BC292" s="4638">
        <f t="shared" si="103"/>
        <v>2037.84</v>
      </c>
      <c r="BD292" s="4524">
        <v>60013</v>
      </c>
      <c r="BE292" s="4638">
        <f t="shared" si="104"/>
        <v>7201.5599999999995</v>
      </c>
      <c r="BF292" s="4524">
        <v>575010</v>
      </c>
      <c r="BG292" s="4638">
        <f t="shared" si="105"/>
        <v>69001.2</v>
      </c>
      <c r="BH292" s="4539"/>
      <c r="BI292" s="4539"/>
      <c r="BJ292" s="4539"/>
      <c r="BK292" s="3323"/>
      <c r="BL292" s="4539"/>
      <c r="BM292" s="4539"/>
      <c r="BN292" s="4656"/>
      <c r="BO292" s="4554"/>
      <c r="BP292" s="4656"/>
      <c r="BQ292" s="4554"/>
      <c r="BR292" s="4557"/>
    </row>
    <row r="293" spans="1:199" ht="30" customHeight="1" x14ac:dyDescent="0.2">
      <c r="A293" s="957"/>
      <c r="B293" s="958"/>
      <c r="C293" s="959"/>
      <c r="D293" s="4669"/>
      <c r="E293" s="4670"/>
      <c r="F293" s="4670"/>
      <c r="G293" s="4526"/>
      <c r="H293" s="4526"/>
      <c r="I293" s="4526"/>
      <c r="J293" s="4518"/>
      <c r="K293" s="4589"/>
      <c r="L293" s="4526"/>
      <c r="M293" s="4526"/>
      <c r="N293" s="4526"/>
      <c r="O293" s="4526"/>
      <c r="P293" s="4660"/>
      <c r="Q293" s="4661"/>
      <c r="R293" s="4662"/>
      <c r="S293" s="4663"/>
      <c r="T293" s="4676"/>
      <c r="U293" s="4584"/>
      <c r="V293" s="4680"/>
      <c r="W293" s="2595">
        <v>26000000</v>
      </c>
      <c r="X293" s="2595">
        <v>0</v>
      </c>
      <c r="Y293" s="2595">
        <v>0</v>
      </c>
      <c r="Z293" s="1092">
        <v>96</v>
      </c>
      <c r="AA293" s="1062" t="s">
        <v>1155</v>
      </c>
      <c r="AB293" s="4524"/>
      <c r="AC293" s="4638"/>
      <c r="AD293" s="4524">
        <v>282326</v>
      </c>
      <c r="AE293" s="4638">
        <f t="shared" si="95"/>
        <v>33879.119999999995</v>
      </c>
      <c r="AF293" s="4524">
        <v>135912</v>
      </c>
      <c r="AG293" s="4638">
        <f t="shared" si="96"/>
        <v>16309.439999999999</v>
      </c>
      <c r="AH293" s="4524">
        <v>45122</v>
      </c>
      <c r="AI293" s="4638">
        <f t="shared" si="97"/>
        <v>5414.6399999999994</v>
      </c>
      <c r="AJ293" s="4524">
        <v>307101</v>
      </c>
      <c r="AK293" s="4638">
        <v>36852.119999999995</v>
      </c>
      <c r="AL293" s="4524">
        <v>86875</v>
      </c>
      <c r="AM293" s="4638">
        <v>10425</v>
      </c>
      <c r="AN293" s="4524">
        <v>2145</v>
      </c>
      <c r="AO293" s="4638">
        <f t="shared" si="98"/>
        <v>257.39999999999998</v>
      </c>
      <c r="AP293" s="4524">
        <v>12718</v>
      </c>
      <c r="AQ293" s="4638">
        <f t="shared" si="99"/>
        <v>1526.1599999999999</v>
      </c>
      <c r="AR293" s="4524">
        <v>26</v>
      </c>
      <c r="AS293" s="4638">
        <f t="shared" si="100"/>
        <v>3.12</v>
      </c>
      <c r="AT293" s="4524">
        <v>37</v>
      </c>
      <c r="AU293" s="4638">
        <f t="shared" si="101"/>
        <v>4.4399999999999995</v>
      </c>
      <c r="AV293" s="4524" t="s">
        <v>767</v>
      </c>
      <c r="AW293" s="4638" t="s">
        <v>767</v>
      </c>
      <c r="AX293" s="4524" t="s">
        <v>767</v>
      </c>
      <c r="AY293" s="4638" t="s">
        <v>767</v>
      </c>
      <c r="AZ293" s="4524">
        <v>53164</v>
      </c>
      <c r="BA293" s="4638">
        <f t="shared" si="102"/>
        <v>6379.6799999999994</v>
      </c>
      <c r="BB293" s="4524">
        <v>16982</v>
      </c>
      <c r="BC293" s="4638">
        <f t="shared" si="103"/>
        <v>2037.84</v>
      </c>
      <c r="BD293" s="4524">
        <v>60013</v>
      </c>
      <c r="BE293" s="4638">
        <f t="shared" si="104"/>
        <v>7201.5599999999995</v>
      </c>
      <c r="BF293" s="4524">
        <v>575010</v>
      </c>
      <c r="BG293" s="4638">
        <f t="shared" si="105"/>
        <v>69001.2</v>
      </c>
      <c r="BH293" s="4539"/>
      <c r="BI293" s="4539"/>
      <c r="BJ293" s="4539"/>
      <c r="BK293" s="3323"/>
      <c r="BL293" s="4539"/>
      <c r="BM293" s="4539"/>
      <c r="BN293" s="4656"/>
      <c r="BO293" s="4554"/>
      <c r="BP293" s="4656"/>
      <c r="BQ293" s="4554"/>
      <c r="BR293" s="4557"/>
    </row>
    <row r="294" spans="1:199" ht="33.75" customHeight="1" x14ac:dyDescent="0.2">
      <c r="A294" s="957"/>
      <c r="B294" s="958"/>
      <c r="C294" s="959"/>
      <c r="D294" s="4669"/>
      <c r="E294" s="4670"/>
      <c r="F294" s="4670"/>
      <c r="G294" s="4526"/>
      <c r="H294" s="4526"/>
      <c r="I294" s="4526"/>
      <c r="J294" s="4518"/>
      <c r="K294" s="4589"/>
      <c r="L294" s="4526"/>
      <c r="M294" s="4526"/>
      <c r="N294" s="4526"/>
      <c r="O294" s="4526"/>
      <c r="P294" s="4660"/>
      <c r="Q294" s="4661"/>
      <c r="R294" s="4662"/>
      <c r="S294" s="4663"/>
      <c r="T294" s="4676"/>
      <c r="U294" s="4584"/>
      <c r="V294" s="4679" t="s">
        <v>1156</v>
      </c>
      <c r="W294" s="2595">
        <v>10500000</v>
      </c>
      <c r="X294" s="1809">
        <v>10492500</v>
      </c>
      <c r="Y294" s="1809">
        <v>10492500</v>
      </c>
      <c r="Z294" s="1092">
        <v>20</v>
      </c>
      <c r="AA294" s="1062" t="s">
        <v>1138</v>
      </c>
      <c r="AB294" s="4524"/>
      <c r="AC294" s="4638"/>
      <c r="AD294" s="4524">
        <v>282326</v>
      </c>
      <c r="AE294" s="4638">
        <f t="shared" si="95"/>
        <v>33879.119999999995</v>
      </c>
      <c r="AF294" s="4524">
        <v>135912</v>
      </c>
      <c r="AG294" s="4638">
        <f t="shared" si="96"/>
        <v>16309.439999999999</v>
      </c>
      <c r="AH294" s="4524">
        <v>45122</v>
      </c>
      <c r="AI294" s="4638">
        <f t="shared" si="97"/>
        <v>5414.6399999999994</v>
      </c>
      <c r="AJ294" s="4524">
        <v>307101</v>
      </c>
      <c r="AK294" s="4638">
        <v>36852.119999999995</v>
      </c>
      <c r="AL294" s="4524">
        <v>86875</v>
      </c>
      <c r="AM294" s="4638">
        <v>10425</v>
      </c>
      <c r="AN294" s="4524">
        <v>2145</v>
      </c>
      <c r="AO294" s="4638">
        <f t="shared" si="98"/>
        <v>257.39999999999998</v>
      </c>
      <c r="AP294" s="4524">
        <v>12718</v>
      </c>
      <c r="AQ294" s="4638">
        <f t="shared" si="99"/>
        <v>1526.1599999999999</v>
      </c>
      <c r="AR294" s="4524">
        <v>26</v>
      </c>
      <c r="AS294" s="4638">
        <f t="shared" si="100"/>
        <v>3.12</v>
      </c>
      <c r="AT294" s="4524">
        <v>37</v>
      </c>
      <c r="AU294" s="4638">
        <f t="shared" si="101"/>
        <v>4.4399999999999995</v>
      </c>
      <c r="AV294" s="4524" t="s">
        <v>767</v>
      </c>
      <c r="AW294" s="4638" t="s">
        <v>767</v>
      </c>
      <c r="AX294" s="4524" t="s">
        <v>767</v>
      </c>
      <c r="AY294" s="4638" t="s">
        <v>767</v>
      </c>
      <c r="AZ294" s="4524">
        <v>53164</v>
      </c>
      <c r="BA294" s="4638">
        <f t="shared" si="102"/>
        <v>6379.6799999999994</v>
      </c>
      <c r="BB294" s="4524">
        <v>16982</v>
      </c>
      <c r="BC294" s="4638">
        <f t="shared" si="103"/>
        <v>2037.84</v>
      </c>
      <c r="BD294" s="4524">
        <v>60013</v>
      </c>
      <c r="BE294" s="4638">
        <f t="shared" si="104"/>
        <v>7201.5599999999995</v>
      </c>
      <c r="BF294" s="4524">
        <v>575010</v>
      </c>
      <c r="BG294" s="4638">
        <f t="shared" si="105"/>
        <v>69001.2</v>
      </c>
      <c r="BH294" s="4539"/>
      <c r="BI294" s="4539"/>
      <c r="BJ294" s="4539"/>
      <c r="BK294" s="3323"/>
      <c r="BL294" s="4539"/>
      <c r="BM294" s="4539"/>
      <c r="BN294" s="4656"/>
      <c r="BO294" s="4554"/>
      <c r="BP294" s="4656"/>
      <c r="BQ294" s="4554"/>
      <c r="BR294" s="4557"/>
    </row>
    <row r="295" spans="1:199" ht="39.75" customHeight="1" x14ac:dyDescent="0.2">
      <c r="A295" s="957"/>
      <c r="B295" s="958"/>
      <c r="C295" s="959"/>
      <c r="D295" s="4671"/>
      <c r="E295" s="4672"/>
      <c r="F295" s="4672"/>
      <c r="G295" s="4526"/>
      <c r="H295" s="4526"/>
      <c r="I295" s="4526"/>
      <c r="J295" s="4519"/>
      <c r="K295" s="4589"/>
      <c r="L295" s="4526"/>
      <c r="M295" s="4526"/>
      <c r="N295" s="4526"/>
      <c r="O295" s="4526"/>
      <c r="P295" s="4660"/>
      <c r="Q295" s="4661"/>
      <c r="R295" s="4662"/>
      <c r="S295" s="4663"/>
      <c r="T295" s="4677"/>
      <c r="U295" s="4584"/>
      <c r="V295" s="4680"/>
      <c r="W295" s="2595">
        <v>26000000</v>
      </c>
      <c r="X295" s="2595">
        <v>0</v>
      </c>
      <c r="Y295" s="2595">
        <v>0</v>
      </c>
      <c r="Z295" s="1092">
        <v>96</v>
      </c>
      <c r="AA295" s="1062" t="s">
        <v>1155</v>
      </c>
      <c r="AB295" s="4525"/>
      <c r="AC295" s="4639"/>
      <c r="AD295" s="4525">
        <v>282326</v>
      </c>
      <c r="AE295" s="4639">
        <f t="shared" si="95"/>
        <v>33879.119999999995</v>
      </c>
      <c r="AF295" s="4525">
        <v>135912</v>
      </c>
      <c r="AG295" s="4639">
        <f t="shared" si="96"/>
        <v>16309.439999999999</v>
      </c>
      <c r="AH295" s="4525">
        <v>45122</v>
      </c>
      <c r="AI295" s="4639">
        <f t="shared" si="97"/>
        <v>5414.6399999999994</v>
      </c>
      <c r="AJ295" s="4525">
        <v>307101</v>
      </c>
      <c r="AK295" s="4639">
        <v>36852.119999999995</v>
      </c>
      <c r="AL295" s="4525">
        <v>86875</v>
      </c>
      <c r="AM295" s="4639">
        <v>10425</v>
      </c>
      <c r="AN295" s="4525">
        <v>2145</v>
      </c>
      <c r="AO295" s="4639">
        <f t="shared" si="98"/>
        <v>257.39999999999998</v>
      </c>
      <c r="AP295" s="4525">
        <v>12718</v>
      </c>
      <c r="AQ295" s="4639">
        <f t="shared" si="99"/>
        <v>1526.1599999999999</v>
      </c>
      <c r="AR295" s="4525">
        <v>26</v>
      </c>
      <c r="AS295" s="4639">
        <f t="shared" si="100"/>
        <v>3.12</v>
      </c>
      <c r="AT295" s="4525">
        <v>37</v>
      </c>
      <c r="AU295" s="4639">
        <f t="shared" si="101"/>
        <v>4.4399999999999995</v>
      </c>
      <c r="AV295" s="4525" t="s">
        <v>767</v>
      </c>
      <c r="AW295" s="4639" t="s">
        <v>767</v>
      </c>
      <c r="AX295" s="4525" t="s">
        <v>767</v>
      </c>
      <c r="AY295" s="4639" t="s">
        <v>767</v>
      </c>
      <c r="AZ295" s="4525">
        <v>53164</v>
      </c>
      <c r="BA295" s="4639">
        <f t="shared" si="102"/>
        <v>6379.6799999999994</v>
      </c>
      <c r="BB295" s="4525">
        <v>16982</v>
      </c>
      <c r="BC295" s="4639">
        <f t="shared" si="103"/>
        <v>2037.84</v>
      </c>
      <c r="BD295" s="4525">
        <v>60013</v>
      </c>
      <c r="BE295" s="4639">
        <f t="shared" si="104"/>
        <v>7201.5599999999995</v>
      </c>
      <c r="BF295" s="4525">
        <v>575010</v>
      </c>
      <c r="BG295" s="4639">
        <f t="shared" si="105"/>
        <v>69001.2</v>
      </c>
      <c r="BH295" s="4540"/>
      <c r="BI295" s="4540"/>
      <c r="BJ295" s="4540"/>
      <c r="BK295" s="3324"/>
      <c r="BL295" s="4540"/>
      <c r="BM295" s="4540"/>
      <c r="BN295" s="4656"/>
      <c r="BO295" s="4555"/>
      <c r="BP295" s="4656"/>
      <c r="BQ295" s="4555"/>
      <c r="BR295" s="4558"/>
    </row>
    <row r="296" spans="1:199" ht="36" customHeight="1" x14ac:dyDescent="0.2">
      <c r="A296" s="957"/>
      <c r="C296" s="984"/>
      <c r="D296" s="1093">
        <v>14</v>
      </c>
      <c r="E296" s="948" t="s">
        <v>1157</v>
      </c>
      <c r="F296" s="948"/>
      <c r="G296" s="949"/>
      <c r="H296" s="949"/>
      <c r="I296" s="949"/>
      <c r="J296" s="949"/>
      <c r="K296" s="950"/>
      <c r="L296" s="949"/>
      <c r="M296" s="949"/>
      <c r="N296" s="949"/>
      <c r="O296" s="951"/>
      <c r="P296" s="988"/>
      <c r="Q296" s="950"/>
      <c r="R296" s="949"/>
      <c r="S296" s="989"/>
      <c r="T296" s="949"/>
      <c r="U296" s="1070"/>
      <c r="V296" s="950"/>
      <c r="W296" s="2619"/>
      <c r="X296" s="2619"/>
      <c r="Y296" s="2619"/>
      <c r="Z296" s="990"/>
      <c r="AA296" s="951"/>
      <c r="AB296" s="951"/>
      <c r="AC296" s="951"/>
      <c r="AD296" s="951"/>
      <c r="AE296" s="951"/>
      <c r="AF296" s="951"/>
      <c r="AG296" s="951"/>
      <c r="AH296" s="951"/>
      <c r="AI296" s="951"/>
      <c r="AJ296" s="951"/>
      <c r="AK296" s="951"/>
      <c r="AL296" s="951"/>
      <c r="AM296" s="951"/>
      <c r="AN296" s="951"/>
      <c r="AO296" s="951"/>
      <c r="AP296" s="951"/>
      <c r="AQ296" s="951"/>
      <c r="AR296" s="951"/>
      <c r="AS296" s="951"/>
      <c r="AT296" s="951"/>
      <c r="AU296" s="951"/>
      <c r="AV296" s="951"/>
      <c r="AW296" s="951"/>
      <c r="AX296" s="951"/>
      <c r="AY296" s="951"/>
      <c r="AZ296" s="951"/>
      <c r="BA296" s="951"/>
      <c r="BB296" s="951"/>
      <c r="BC296" s="951"/>
      <c r="BD296" s="951"/>
      <c r="BE296" s="951"/>
      <c r="BF296" s="951"/>
      <c r="BG296" s="951"/>
      <c r="BH296" s="951"/>
      <c r="BI296" s="951"/>
      <c r="BJ296" s="951"/>
      <c r="BK296" s="951"/>
      <c r="BL296" s="951"/>
      <c r="BM296" s="951"/>
      <c r="BN296" s="949"/>
      <c r="BO296" s="949"/>
      <c r="BP296" s="949"/>
      <c r="BQ296" s="949"/>
      <c r="BR296" s="956"/>
    </row>
    <row r="297" spans="1:199" ht="36" customHeight="1" x14ac:dyDescent="0.2">
      <c r="A297" s="957"/>
      <c r="B297" s="958"/>
      <c r="C297" s="959"/>
      <c r="D297" s="960"/>
      <c r="E297" s="960"/>
      <c r="F297" s="961"/>
      <c r="G297" s="1094">
        <v>50</v>
      </c>
      <c r="H297" s="1083" t="s">
        <v>1158</v>
      </c>
      <c r="I297" s="1083"/>
      <c r="J297" s="1083"/>
      <c r="K297" s="1084"/>
      <c r="L297" s="1083"/>
      <c r="M297" s="1083"/>
      <c r="N297" s="1083"/>
      <c r="O297" s="1011"/>
      <c r="P297" s="1095"/>
      <c r="Q297" s="1084"/>
      <c r="R297" s="1083"/>
      <c r="S297" s="1096"/>
      <c r="T297" s="1083"/>
      <c r="U297" s="1084"/>
      <c r="V297" s="1084"/>
      <c r="W297" s="2620"/>
      <c r="X297" s="2620"/>
      <c r="Y297" s="2620"/>
      <c r="Z297" s="1050"/>
      <c r="AA297" s="1011"/>
      <c r="AB297" s="1011"/>
      <c r="AC297" s="1011"/>
      <c r="AD297" s="1011"/>
      <c r="AE297" s="1011"/>
      <c r="AF297" s="1011"/>
      <c r="AG297" s="1011"/>
      <c r="AH297" s="1011"/>
      <c r="AI297" s="1011"/>
      <c r="AJ297" s="1011"/>
      <c r="AK297" s="1011"/>
      <c r="AL297" s="1011"/>
      <c r="AM297" s="1011"/>
      <c r="AN297" s="1011"/>
      <c r="AO297" s="1011"/>
      <c r="AP297" s="1011"/>
      <c r="AQ297" s="1011"/>
      <c r="AR297" s="1011"/>
      <c r="AS297" s="1011"/>
      <c r="AT297" s="1011"/>
      <c r="AU297" s="1011"/>
      <c r="AV297" s="1011"/>
      <c r="AW297" s="1011"/>
      <c r="AX297" s="1011"/>
      <c r="AY297" s="1011"/>
      <c r="AZ297" s="1011"/>
      <c r="BA297" s="1011"/>
      <c r="BB297" s="1011"/>
      <c r="BC297" s="1011"/>
      <c r="BD297" s="1011"/>
      <c r="BE297" s="1011"/>
      <c r="BF297" s="1011"/>
      <c r="BG297" s="1011"/>
      <c r="BH297" s="1011"/>
      <c r="BI297" s="1011"/>
      <c r="BJ297" s="1011"/>
      <c r="BK297" s="1011"/>
      <c r="BL297" s="1011"/>
      <c r="BM297" s="1011"/>
      <c r="BN297" s="1083"/>
      <c r="BO297" s="1083"/>
      <c r="BP297" s="1083"/>
      <c r="BQ297" s="1083"/>
      <c r="BR297" s="1097"/>
    </row>
    <row r="298" spans="1:199" s="1102" customFormat="1" ht="105.75" customHeight="1" x14ac:dyDescent="0.2">
      <c r="A298" s="957"/>
      <c r="B298" s="958"/>
      <c r="C298" s="959"/>
      <c r="D298" s="958"/>
      <c r="E298" s="958"/>
      <c r="F298" s="959"/>
      <c r="G298" s="960"/>
      <c r="H298" s="960"/>
      <c r="I298" s="961"/>
      <c r="J298" s="1021">
        <v>166</v>
      </c>
      <c r="K298" s="1098" t="s">
        <v>1159</v>
      </c>
      <c r="L298" s="1041" t="s">
        <v>759</v>
      </c>
      <c r="M298" s="1099">
        <v>1</v>
      </c>
      <c r="N298" s="1018">
        <v>0.4</v>
      </c>
      <c r="O298" s="4523" t="s">
        <v>1160</v>
      </c>
      <c r="P298" s="4687" t="s">
        <v>1161</v>
      </c>
      <c r="Q298" s="4520" t="s">
        <v>1162</v>
      </c>
      <c r="R298" s="1100">
        <v>0</v>
      </c>
      <c r="S298" s="4533">
        <f>SUM(W299:W313)</f>
        <v>16115096017</v>
      </c>
      <c r="T298" s="4520" t="s">
        <v>1163</v>
      </c>
      <c r="U298" s="1064" t="s">
        <v>1164</v>
      </c>
      <c r="V298" s="1078" t="s">
        <v>1165</v>
      </c>
      <c r="W298" s="2596">
        <v>0</v>
      </c>
      <c r="X298" s="2596">
        <v>0</v>
      </c>
      <c r="Y298" s="2596">
        <v>0</v>
      </c>
      <c r="Z298" s="1101"/>
      <c r="AA298" s="1008"/>
      <c r="AB298" s="4523">
        <v>292684</v>
      </c>
      <c r="AC298" s="4637">
        <f>SUM(AB298*0.37)</f>
        <v>108293.08</v>
      </c>
      <c r="AD298" s="4523">
        <v>282326</v>
      </c>
      <c r="AE298" s="4637">
        <f t="shared" ref="AE298:AE313" si="106">SUM(AD298*0.37)</f>
        <v>104460.62</v>
      </c>
      <c r="AF298" s="4523">
        <v>135912</v>
      </c>
      <c r="AG298" s="4637">
        <f t="shared" ref="AG298:AG313" si="107">SUM(AF298*0.37)</f>
        <v>50287.44</v>
      </c>
      <c r="AH298" s="4523">
        <v>45122</v>
      </c>
      <c r="AI298" s="4637">
        <f t="shared" ref="AI298:AI313" si="108">SUM(AH298*0.37)</f>
        <v>16695.14</v>
      </c>
      <c r="AJ298" s="4523">
        <v>307101</v>
      </c>
      <c r="AK298" s="4637">
        <v>113627.37</v>
      </c>
      <c r="AL298" s="4523">
        <v>86875</v>
      </c>
      <c r="AM298" s="4637">
        <v>32143.75</v>
      </c>
      <c r="AN298" s="4523">
        <v>2145</v>
      </c>
      <c r="AO298" s="4637">
        <f t="shared" ref="AO298:AO313" si="109">SUM(AN298*0.37)</f>
        <v>793.65</v>
      </c>
      <c r="AP298" s="4523">
        <v>12718</v>
      </c>
      <c r="AQ298" s="4637">
        <f t="shared" ref="AQ298:AQ313" si="110">SUM(AP298*0.37)</f>
        <v>4705.66</v>
      </c>
      <c r="AR298" s="4523">
        <v>26</v>
      </c>
      <c r="AS298" s="4637">
        <f t="shared" ref="AS298:AS313" si="111">SUM(AR298*0.37)</f>
        <v>9.6199999999999992</v>
      </c>
      <c r="AT298" s="4523">
        <v>37</v>
      </c>
      <c r="AU298" s="4637">
        <f t="shared" ref="AU298:AU313" si="112">SUM(AT298*0.37)</f>
        <v>13.69</v>
      </c>
      <c r="AV298" s="4523" t="s">
        <v>767</v>
      </c>
      <c r="AW298" s="4637" t="s">
        <v>767</v>
      </c>
      <c r="AX298" s="4523" t="s">
        <v>767</v>
      </c>
      <c r="AY298" s="4637" t="s">
        <v>767</v>
      </c>
      <c r="AZ298" s="4523">
        <v>53164</v>
      </c>
      <c r="BA298" s="4637">
        <f t="shared" ref="BA298:BA313" si="113">SUM(AZ298*0.37)</f>
        <v>19670.68</v>
      </c>
      <c r="BB298" s="4523">
        <v>16982</v>
      </c>
      <c r="BC298" s="4637">
        <f t="shared" ref="BC298:BC313" si="114">SUM(BB298*0.37)</f>
        <v>6283.34</v>
      </c>
      <c r="BD298" s="4523">
        <v>60013</v>
      </c>
      <c r="BE298" s="4637">
        <f t="shared" ref="BE298:BE313" si="115">SUM(BD298*0.37)</f>
        <v>22204.81</v>
      </c>
      <c r="BF298" s="4523">
        <v>575010</v>
      </c>
      <c r="BG298" s="4637">
        <f t="shared" ref="BG298:BG313" si="116">SUM(BF298*0.37)</f>
        <v>212753.7</v>
      </c>
      <c r="BH298" s="4542">
        <v>52</v>
      </c>
      <c r="BI298" s="4575">
        <f>SUM(X298:X313)</f>
        <v>10415704606</v>
      </c>
      <c r="BJ298" s="4575">
        <f>SUM(Y298:Y313)</f>
        <v>2338009086</v>
      </c>
      <c r="BK298" s="3184">
        <f>+BJ298/BI298</f>
        <v>0.22446960378015929</v>
      </c>
      <c r="BL298" s="4542" t="s">
        <v>1166</v>
      </c>
      <c r="BM298" s="4542" t="s">
        <v>1140</v>
      </c>
      <c r="BN298" s="4553">
        <v>43467</v>
      </c>
      <c r="BO298" s="4553">
        <v>43830</v>
      </c>
      <c r="BP298" s="4553">
        <v>43830</v>
      </c>
      <c r="BQ298" s="4553">
        <v>43830</v>
      </c>
      <c r="BR298" s="4556" t="s">
        <v>770</v>
      </c>
      <c r="BS298" s="946"/>
      <c r="BT298" s="946"/>
      <c r="BU298" s="946"/>
      <c r="BV298" s="946"/>
      <c r="BW298" s="946"/>
      <c r="BX298" s="946"/>
      <c r="BY298" s="946"/>
      <c r="BZ298" s="946"/>
      <c r="CA298" s="946"/>
      <c r="CB298" s="946"/>
      <c r="CC298" s="946"/>
      <c r="CD298" s="946"/>
      <c r="CE298" s="946"/>
      <c r="CF298" s="946"/>
      <c r="CG298" s="946"/>
      <c r="CH298" s="946"/>
      <c r="CI298" s="946"/>
      <c r="CJ298" s="946"/>
      <c r="CK298" s="946"/>
      <c r="CL298" s="946"/>
      <c r="CM298" s="946"/>
      <c r="CN298" s="946"/>
      <c r="CO298" s="946"/>
      <c r="CP298" s="946"/>
      <c r="CQ298" s="946"/>
      <c r="CR298" s="946"/>
      <c r="CS298" s="946"/>
      <c r="CT298" s="946"/>
      <c r="CU298" s="946"/>
      <c r="CV298" s="946"/>
      <c r="CW298" s="946"/>
      <c r="CX298" s="946"/>
      <c r="CY298" s="946"/>
      <c r="CZ298" s="946"/>
      <c r="DA298" s="946"/>
      <c r="DB298" s="946"/>
      <c r="DC298" s="946"/>
      <c r="DD298" s="946"/>
      <c r="DE298" s="946"/>
      <c r="DF298" s="946"/>
      <c r="DG298" s="946"/>
      <c r="DH298" s="946"/>
      <c r="DI298" s="946"/>
      <c r="DJ298" s="946"/>
      <c r="DK298" s="946"/>
      <c r="DL298" s="946"/>
      <c r="DM298" s="946"/>
      <c r="DN298" s="946"/>
      <c r="DO298" s="946"/>
      <c r="DP298" s="946"/>
      <c r="DQ298" s="946"/>
      <c r="DR298" s="946"/>
      <c r="DS298" s="946"/>
      <c r="DT298" s="946"/>
      <c r="DU298" s="946"/>
      <c r="DV298" s="946"/>
      <c r="DW298" s="946"/>
      <c r="DX298" s="946"/>
      <c r="DY298" s="946"/>
      <c r="DZ298" s="946"/>
      <c r="EA298" s="946"/>
      <c r="EB298" s="946"/>
      <c r="EC298" s="946"/>
      <c r="ED298" s="946"/>
      <c r="EE298" s="946"/>
      <c r="EF298" s="946"/>
      <c r="EG298" s="946"/>
      <c r="EH298" s="946"/>
      <c r="EI298" s="946"/>
      <c r="EJ298" s="946"/>
      <c r="EK298" s="946"/>
      <c r="EL298" s="946"/>
      <c r="EM298" s="946"/>
      <c r="EN298" s="946"/>
      <c r="EO298" s="946"/>
      <c r="EP298" s="946"/>
      <c r="EQ298" s="946"/>
      <c r="ER298" s="946"/>
      <c r="ES298" s="946"/>
      <c r="ET298" s="946"/>
      <c r="EU298" s="946"/>
      <c r="EV298" s="946"/>
      <c r="EW298" s="946"/>
      <c r="EX298" s="946"/>
      <c r="EY298" s="946"/>
      <c r="EZ298" s="946"/>
      <c r="FA298" s="946"/>
      <c r="FB298" s="946"/>
      <c r="FC298" s="946"/>
      <c r="FD298" s="946"/>
      <c r="FE298" s="946"/>
      <c r="FF298" s="946"/>
      <c r="FG298" s="946"/>
      <c r="FH298" s="946"/>
      <c r="FI298" s="946"/>
      <c r="FJ298" s="946"/>
      <c r="FK298" s="946"/>
      <c r="FL298" s="946"/>
      <c r="FM298" s="946"/>
      <c r="FN298" s="946"/>
      <c r="FO298" s="946"/>
      <c r="FP298" s="946"/>
      <c r="FQ298" s="946"/>
      <c r="FR298" s="946"/>
      <c r="FS298" s="946"/>
      <c r="FT298" s="946"/>
      <c r="FU298" s="946"/>
      <c r="FV298" s="946"/>
      <c r="FW298" s="946"/>
      <c r="FX298" s="946"/>
      <c r="FY298" s="946"/>
      <c r="FZ298" s="946"/>
      <c r="GA298" s="946"/>
      <c r="GB298" s="946"/>
      <c r="GC298" s="946"/>
      <c r="GD298" s="946"/>
      <c r="GE298" s="946"/>
      <c r="GF298" s="946"/>
      <c r="GG298" s="946"/>
      <c r="GH298" s="946"/>
      <c r="GI298" s="946"/>
      <c r="GJ298" s="946"/>
      <c r="GK298" s="946"/>
      <c r="GL298" s="946"/>
      <c r="GM298" s="946"/>
      <c r="GN298" s="946"/>
      <c r="GO298" s="946"/>
      <c r="GP298" s="946"/>
      <c r="GQ298" s="946"/>
    </row>
    <row r="299" spans="1:199" s="1104" customFormat="1" ht="54" customHeight="1" x14ac:dyDescent="0.2">
      <c r="A299" s="957"/>
      <c r="B299" s="958"/>
      <c r="C299" s="959"/>
      <c r="D299" s="958"/>
      <c r="E299" s="958"/>
      <c r="F299" s="959"/>
      <c r="G299" s="958"/>
      <c r="H299" s="958"/>
      <c r="I299" s="959"/>
      <c r="J299" s="4517">
        <v>167</v>
      </c>
      <c r="K299" s="4517" t="s">
        <v>1167</v>
      </c>
      <c r="L299" s="4523" t="s">
        <v>759</v>
      </c>
      <c r="M299" s="4693">
        <v>15</v>
      </c>
      <c r="N299" s="4696">
        <v>14</v>
      </c>
      <c r="O299" s="4524"/>
      <c r="P299" s="4688"/>
      <c r="Q299" s="4521"/>
      <c r="R299" s="4530">
        <v>1</v>
      </c>
      <c r="S299" s="4534"/>
      <c r="T299" s="4521"/>
      <c r="U299" s="4523" t="s">
        <v>1168</v>
      </c>
      <c r="V299" s="4689" t="s">
        <v>1169</v>
      </c>
      <c r="W299" s="2621">
        <f>1097554095+290726109+155203905</f>
        <v>1543484109</v>
      </c>
      <c r="X299" s="1809">
        <v>1535946738</v>
      </c>
      <c r="Y299" s="1809">
        <v>693323562</v>
      </c>
      <c r="Z299" s="1103">
        <v>110</v>
      </c>
      <c r="AA299" s="1005" t="s">
        <v>1170</v>
      </c>
      <c r="AB299" s="4524"/>
      <c r="AC299" s="4638"/>
      <c r="AD299" s="4524">
        <v>282326</v>
      </c>
      <c r="AE299" s="4638">
        <f t="shared" si="106"/>
        <v>104460.62</v>
      </c>
      <c r="AF299" s="4524">
        <v>135912</v>
      </c>
      <c r="AG299" s="4638">
        <f t="shared" si="107"/>
        <v>50287.44</v>
      </c>
      <c r="AH299" s="4524">
        <v>45122</v>
      </c>
      <c r="AI299" s="4638">
        <f t="shared" si="108"/>
        <v>16695.14</v>
      </c>
      <c r="AJ299" s="4524">
        <v>307101</v>
      </c>
      <c r="AK299" s="4638">
        <v>113627.37</v>
      </c>
      <c r="AL299" s="4524">
        <v>86875</v>
      </c>
      <c r="AM299" s="4638">
        <v>32143.75</v>
      </c>
      <c r="AN299" s="4524">
        <v>2145</v>
      </c>
      <c r="AO299" s="4638">
        <f t="shared" si="109"/>
        <v>793.65</v>
      </c>
      <c r="AP299" s="4524">
        <v>12718</v>
      </c>
      <c r="AQ299" s="4638">
        <f t="shared" si="110"/>
        <v>4705.66</v>
      </c>
      <c r="AR299" s="4524">
        <v>26</v>
      </c>
      <c r="AS299" s="4638">
        <f t="shared" si="111"/>
        <v>9.6199999999999992</v>
      </c>
      <c r="AT299" s="4524">
        <v>37</v>
      </c>
      <c r="AU299" s="4638">
        <f t="shared" si="112"/>
        <v>13.69</v>
      </c>
      <c r="AV299" s="4524" t="s">
        <v>767</v>
      </c>
      <c r="AW299" s="4638" t="s">
        <v>767</v>
      </c>
      <c r="AX299" s="4524" t="s">
        <v>767</v>
      </c>
      <c r="AY299" s="4638" t="s">
        <v>767</v>
      </c>
      <c r="AZ299" s="4524">
        <v>53164</v>
      </c>
      <c r="BA299" s="4638">
        <f t="shared" si="113"/>
        <v>19670.68</v>
      </c>
      <c r="BB299" s="4524">
        <v>16982</v>
      </c>
      <c r="BC299" s="4638">
        <f t="shared" si="114"/>
        <v>6283.34</v>
      </c>
      <c r="BD299" s="4524">
        <v>60013</v>
      </c>
      <c r="BE299" s="4638">
        <f t="shared" si="115"/>
        <v>22204.81</v>
      </c>
      <c r="BF299" s="4524">
        <v>575010</v>
      </c>
      <c r="BG299" s="4638">
        <f t="shared" si="116"/>
        <v>212753.7</v>
      </c>
      <c r="BH299" s="4543"/>
      <c r="BI299" s="4543"/>
      <c r="BJ299" s="4543"/>
      <c r="BK299" s="3185"/>
      <c r="BL299" s="4543"/>
      <c r="BM299" s="4543"/>
      <c r="BN299" s="4554"/>
      <c r="BO299" s="4554"/>
      <c r="BP299" s="4554"/>
      <c r="BQ299" s="4554"/>
      <c r="BR299" s="4557"/>
      <c r="BS299" s="946"/>
      <c r="BT299" s="946"/>
      <c r="BU299" s="946"/>
      <c r="BV299" s="946"/>
      <c r="BW299" s="946"/>
      <c r="BX299" s="946"/>
      <c r="BY299" s="946"/>
      <c r="BZ299" s="946"/>
      <c r="CA299" s="946"/>
      <c r="CB299" s="946"/>
      <c r="CC299" s="946"/>
      <c r="CD299" s="946"/>
      <c r="CE299" s="946"/>
      <c r="CF299" s="946"/>
      <c r="CG299" s="946"/>
      <c r="CH299" s="946"/>
      <c r="CI299" s="946"/>
      <c r="CJ299" s="946"/>
      <c r="CK299" s="946"/>
      <c r="CL299" s="946"/>
      <c r="CM299" s="946"/>
      <c r="CN299" s="946"/>
      <c r="CO299" s="946"/>
      <c r="CP299" s="946"/>
      <c r="CQ299" s="946"/>
      <c r="CR299" s="946"/>
      <c r="CS299" s="946"/>
      <c r="CT299" s="946"/>
      <c r="CU299" s="946"/>
      <c r="CV299" s="946"/>
      <c r="CW299" s="946"/>
      <c r="CX299" s="946"/>
      <c r="CY299" s="946"/>
      <c r="CZ299" s="946"/>
      <c r="DA299" s="946"/>
      <c r="DB299" s="946"/>
      <c r="DC299" s="946"/>
      <c r="DD299" s="946"/>
      <c r="DE299" s="946"/>
      <c r="DF299" s="946"/>
      <c r="DG299" s="946"/>
      <c r="DH299" s="946"/>
      <c r="DI299" s="946"/>
      <c r="DJ299" s="946"/>
      <c r="DK299" s="946"/>
      <c r="DL299" s="946"/>
      <c r="DM299" s="946"/>
      <c r="DN299" s="946"/>
      <c r="DO299" s="946"/>
      <c r="DP299" s="946"/>
      <c r="DQ299" s="946"/>
      <c r="DR299" s="946"/>
      <c r="DS299" s="946"/>
      <c r="DT299" s="946"/>
      <c r="DU299" s="946"/>
      <c r="DV299" s="946"/>
      <c r="DW299" s="946"/>
      <c r="DX299" s="946"/>
      <c r="DY299" s="946"/>
      <c r="DZ299" s="946"/>
      <c r="EA299" s="946"/>
      <c r="EB299" s="946"/>
      <c r="EC299" s="946"/>
      <c r="ED299" s="946"/>
      <c r="EE299" s="946"/>
      <c r="EF299" s="946"/>
      <c r="EG299" s="946"/>
      <c r="EH299" s="946"/>
      <c r="EI299" s="946"/>
      <c r="EJ299" s="946"/>
      <c r="EK299" s="946"/>
      <c r="EL299" s="946"/>
      <c r="EM299" s="946"/>
      <c r="EN299" s="946"/>
      <c r="EO299" s="946"/>
      <c r="EP299" s="946"/>
      <c r="EQ299" s="946"/>
      <c r="ER299" s="946"/>
      <c r="ES299" s="946"/>
      <c r="ET299" s="946"/>
      <c r="EU299" s="946"/>
      <c r="EV299" s="946"/>
      <c r="EW299" s="946"/>
      <c r="EX299" s="946"/>
      <c r="EY299" s="946"/>
      <c r="EZ299" s="946"/>
      <c r="FA299" s="946"/>
      <c r="FB299" s="946"/>
      <c r="FC299" s="946"/>
      <c r="FD299" s="946"/>
      <c r="FE299" s="946"/>
      <c r="FF299" s="946"/>
      <c r="FG299" s="946"/>
      <c r="FH299" s="946"/>
      <c r="FI299" s="946"/>
      <c r="FJ299" s="946"/>
      <c r="FK299" s="946"/>
      <c r="FL299" s="946"/>
      <c r="FM299" s="946"/>
      <c r="FN299" s="946"/>
      <c r="FO299" s="946"/>
      <c r="FP299" s="946"/>
      <c r="FQ299" s="946"/>
      <c r="FR299" s="946"/>
      <c r="FS299" s="946"/>
      <c r="FT299" s="946"/>
      <c r="FU299" s="946"/>
      <c r="FV299" s="946"/>
      <c r="FW299" s="946"/>
      <c r="FX299" s="946"/>
      <c r="FY299" s="946"/>
      <c r="FZ299" s="946"/>
      <c r="GA299" s="946"/>
      <c r="GB299" s="946"/>
      <c r="GC299" s="946"/>
      <c r="GD299" s="946"/>
      <c r="GE299" s="946"/>
      <c r="GF299" s="946"/>
      <c r="GG299" s="946"/>
      <c r="GH299" s="946"/>
      <c r="GI299" s="946"/>
      <c r="GJ299" s="946"/>
      <c r="GK299" s="946"/>
      <c r="GL299" s="946"/>
      <c r="GM299" s="946"/>
      <c r="GN299" s="946"/>
      <c r="GO299" s="946"/>
      <c r="GP299" s="946"/>
      <c r="GQ299" s="946"/>
    </row>
    <row r="300" spans="1:199" s="1104" customFormat="1" ht="45" customHeight="1" x14ac:dyDescent="0.2">
      <c r="A300" s="957"/>
      <c r="B300" s="958"/>
      <c r="C300" s="959"/>
      <c r="D300" s="958"/>
      <c r="E300" s="958"/>
      <c r="F300" s="959"/>
      <c r="G300" s="958"/>
      <c r="H300" s="958"/>
      <c r="I300" s="959"/>
      <c r="J300" s="4518"/>
      <c r="K300" s="4518"/>
      <c r="L300" s="4524"/>
      <c r="M300" s="4694"/>
      <c r="N300" s="4696"/>
      <c r="O300" s="4524"/>
      <c r="P300" s="4688"/>
      <c r="Q300" s="4521"/>
      <c r="R300" s="4531"/>
      <c r="S300" s="4534"/>
      <c r="T300" s="4521"/>
      <c r="U300" s="4524"/>
      <c r="V300" s="4690"/>
      <c r="W300" s="2621">
        <f>3195802120-81073317</f>
        <v>3114728803</v>
      </c>
      <c r="X300" s="1809">
        <v>171893405</v>
      </c>
      <c r="Y300" s="1809">
        <v>171893405</v>
      </c>
      <c r="Z300" s="1103">
        <v>58</v>
      </c>
      <c r="AA300" s="1005" t="s">
        <v>1171</v>
      </c>
      <c r="AB300" s="4524"/>
      <c r="AC300" s="4638"/>
      <c r="AD300" s="4524">
        <v>282326</v>
      </c>
      <c r="AE300" s="4638">
        <f t="shared" si="106"/>
        <v>104460.62</v>
      </c>
      <c r="AF300" s="4524">
        <v>135912</v>
      </c>
      <c r="AG300" s="4638">
        <f t="shared" si="107"/>
        <v>50287.44</v>
      </c>
      <c r="AH300" s="4524">
        <v>45122</v>
      </c>
      <c r="AI300" s="4638">
        <f t="shared" si="108"/>
        <v>16695.14</v>
      </c>
      <c r="AJ300" s="4524">
        <v>307101</v>
      </c>
      <c r="AK300" s="4638">
        <v>113627.37</v>
      </c>
      <c r="AL300" s="4524">
        <v>86875</v>
      </c>
      <c r="AM300" s="4638">
        <v>32143.75</v>
      </c>
      <c r="AN300" s="4524">
        <v>2145</v>
      </c>
      <c r="AO300" s="4638">
        <f t="shared" si="109"/>
        <v>793.65</v>
      </c>
      <c r="AP300" s="4524">
        <v>12718</v>
      </c>
      <c r="AQ300" s="4638">
        <f t="shared" si="110"/>
        <v>4705.66</v>
      </c>
      <c r="AR300" s="4524">
        <v>26</v>
      </c>
      <c r="AS300" s="4638">
        <f t="shared" si="111"/>
        <v>9.6199999999999992</v>
      </c>
      <c r="AT300" s="4524">
        <v>37</v>
      </c>
      <c r="AU300" s="4638">
        <f t="shared" si="112"/>
        <v>13.69</v>
      </c>
      <c r="AV300" s="4524" t="s">
        <v>767</v>
      </c>
      <c r="AW300" s="4638" t="s">
        <v>767</v>
      </c>
      <c r="AX300" s="4524" t="s">
        <v>767</v>
      </c>
      <c r="AY300" s="4638" t="s">
        <v>767</v>
      </c>
      <c r="AZ300" s="4524">
        <v>53164</v>
      </c>
      <c r="BA300" s="4638">
        <f t="shared" si="113"/>
        <v>19670.68</v>
      </c>
      <c r="BB300" s="4524">
        <v>16982</v>
      </c>
      <c r="BC300" s="4638">
        <f t="shared" si="114"/>
        <v>6283.34</v>
      </c>
      <c r="BD300" s="4524">
        <v>60013</v>
      </c>
      <c r="BE300" s="4638">
        <f t="shared" si="115"/>
        <v>22204.81</v>
      </c>
      <c r="BF300" s="4524">
        <v>575010</v>
      </c>
      <c r="BG300" s="4638">
        <f t="shared" si="116"/>
        <v>212753.7</v>
      </c>
      <c r="BH300" s="4543"/>
      <c r="BI300" s="4543"/>
      <c r="BJ300" s="4543"/>
      <c r="BK300" s="3185"/>
      <c r="BL300" s="4543"/>
      <c r="BM300" s="4543"/>
      <c r="BN300" s="4554"/>
      <c r="BO300" s="4554"/>
      <c r="BP300" s="4554"/>
      <c r="BQ300" s="4554"/>
      <c r="BR300" s="4557"/>
      <c r="BS300" s="946"/>
      <c r="BT300" s="946"/>
      <c r="BU300" s="946"/>
      <c r="BV300" s="946"/>
      <c r="BW300" s="946"/>
      <c r="BX300" s="946"/>
      <c r="BY300" s="946"/>
      <c r="BZ300" s="946"/>
      <c r="CA300" s="946"/>
      <c r="CB300" s="946"/>
      <c r="CC300" s="946"/>
      <c r="CD300" s="946"/>
      <c r="CE300" s="946"/>
      <c r="CF300" s="946"/>
      <c r="CG300" s="946"/>
      <c r="CH300" s="946"/>
      <c r="CI300" s="946"/>
      <c r="CJ300" s="946"/>
      <c r="CK300" s="946"/>
      <c r="CL300" s="946"/>
      <c r="CM300" s="946"/>
      <c r="CN300" s="946"/>
      <c r="CO300" s="946"/>
      <c r="CP300" s="946"/>
      <c r="CQ300" s="946"/>
      <c r="CR300" s="946"/>
      <c r="CS300" s="946"/>
      <c r="CT300" s="946"/>
      <c r="CU300" s="946"/>
      <c r="CV300" s="946"/>
      <c r="CW300" s="946"/>
      <c r="CX300" s="946"/>
      <c r="CY300" s="946"/>
      <c r="CZ300" s="946"/>
      <c r="DA300" s="946"/>
      <c r="DB300" s="946"/>
      <c r="DC300" s="946"/>
      <c r="DD300" s="946"/>
      <c r="DE300" s="946"/>
      <c r="DF300" s="946"/>
      <c r="DG300" s="946"/>
      <c r="DH300" s="946"/>
      <c r="DI300" s="946"/>
      <c r="DJ300" s="946"/>
      <c r="DK300" s="946"/>
      <c r="DL300" s="946"/>
      <c r="DM300" s="946"/>
      <c r="DN300" s="946"/>
      <c r="DO300" s="946"/>
      <c r="DP300" s="946"/>
      <c r="DQ300" s="946"/>
      <c r="DR300" s="946"/>
      <c r="DS300" s="946"/>
      <c r="DT300" s="946"/>
      <c r="DU300" s="946"/>
      <c r="DV300" s="946"/>
      <c r="DW300" s="946"/>
      <c r="DX300" s="946"/>
      <c r="DY300" s="946"/>
      <c r="DZ300" s="946"/>
      <c r="EA300" s="946"/>
      <c r="EB300" s="946"/>
      <c r="EC300" s="946"/>
      <c r="ED300" s="946"/>
      <c r="EE300" s="946"/>
      <c r="EF300" s="946"/>
      <c r="EG300" s="946"/>
      <c r="EH300" s="946"/>
      <c r="EI300" s="946"/>
      <c r="EJ300" s="946"/>
      <c r="EK300" s="946"/>
      <c r="EL300" s="946"/>
      <c r="EM300" s="946"/>
      <c r="EN300" s="946"/>
      <c r="EO300" s="946"/>
      <c r="EP300" s="946"/>
      <c r="EQ300" s="946"/>
      <c r="ER300" s="946"/>
      <c r="ES300" s="946"/>
      <c r="ET300" s="946"/>
      <c r="EU300" s="946"/>
      <c r="EV300" s="946"/>
      <c r="EW300" s="946"/>
      <c r="EX300" s="946"/>
      <c r="EY300" s="946"/>
      <c r="EZ300" s="946"/>
      <c r="FA300" s="946"/>
      <c r="FB300" s="946"/>
      <c r="FC300" s="946"/>
      <c r="FD300" s="946"/>
      <c r="FE300" s="946"/>
      <c r="FF300" s="946"/>
      <c r="FG300" s="946"/>
      <c r="FH300" s="946"/>
      <c r="FI300" s="946"/>
      <c r="FJ300" s="946"/>
      <c r="FK300" s="946"/>
      <c r="FL300" s="946"/>
      <c r="FM300" s="946"/>
      <c r="FN300" s="946"/>
      <c r="FO300" s="946"/>
      <c r="FP300" s="946"/>
      <c r="FQ300" s="946"/>
      <c r="FR300" s="946"/>
      <c r="FS300" s="946"/>
      <c r="FT300" s="946"/>
      <c r="FU300" s="946"/>
      <c r="FV300" s="946"/>
      <c r="FW300" s="946"/>
      <c r="FX300" s="946"/>
      <c r="FY300" s="946"/>
      <c r="FZ300" s="946"/>
      <c r="GA300" s="946"/>
      <c r="GB300" s="946"/>
      <c r="GC300" s="946"/>
      <c r="GD300" s="946"/>
      <c r="GE300" s="946"/>
      <c r="GF300" s="946"/>
      <c r="GG300" s="946"/>
      <c r="GH300" s="946"/>
      <c r="GI300" s="946"/>
      <c r="GJ300" s="946"/>
      <c r="GK300" s="946"/>
      <c r="GL300" s="946"/>
      <c r="GM300" s="946"/>
      <c r="GN300" s="946"/>
      <c r="GO300" s="946"/>
      <c r="GP300" s="946"/>
      <c r="GQ300" s="946"/>
    </row>
    <row r="301" spans="1:199" s="1104" customFormat="1" ht="45" customHeight="1" x14ac:dyDescent="0.2">
      <c r="A301" s="957"/>
      <c r="B301" s="958"/>
      <c r="C301" s="959"/>
      <c r="D301" s="958"/>
      <c r="E301" s="958"/>
      <c r="F301" s="959"/>
      <c r="G301" s="958"/>
      <c r="H301" s="958"/>
      <c r="I301" s="959"/>
      <c r="J301" s="4518"/>
      <c r="K301" s="4518"/>
      <c r="L301" s="4524"/>
      <c r="M301" s="4694"/>
      <c r="N301" s="4696"/>
      <c r="O301" s="4524"/>
      <c r="P301" s="4688"/>
      <c r="Q301" s="4521"/>
      <c r="R301" s="4531"/>
      <c r="S301" s="4534"/>
      <c r="T301" s="4521"/>
      <c r="U301" s="4524"/>
      <c r="V301" s="4690"/>
      <c r="W301" s="2621">
        <v>81073317</v>
      </c>
      <c r="X301" s="1809">
        <v>4410000</v>
      </c>
      <c r="Y301" s="1809">
        <v>4410000</v>
      </c>
      <c r="Z301" s="1103">
        <v>58</v>
      </c>
      <c r="AA301" s="1005" t="s">
        <v>1172</v>
      </c>
      <c r="AB301" s="4524"/>
      <c r="AC301" s="4638"/>
      <c r="AD301" s="4524">
        <v>282326</v>
      </c>
      <c r="AE301" s="4638">
        <f t="shared" si="106"/>
        <v>104460.62</v>
      </c>
      <c r="AF301" s="4524">
        <v>135912</v>
      </c>
      <c r="AG301" s="4638">
        <f t="shared" si="107"/>
        <v>50287.44</v>
      </c>
      <c r="AH301" s="4524">
        <v>45122</v>
      </c>
      <c r="AI301" s="4638">
        <f t="shared" si="108"/>
        <v>16695.14</v>
      </c>
      <c r="AJ301" s="4524">
        <v>307101</v>
      </c>
      <c r="AK301" s="4638">
        <v>113627.37</v>
      </c>
      <c r="AL301" s="4524">
        <v>86875</v>
      </c>
      <c r="AM301" s="4638">
        <v>32143.75</v>
      </c>
      <c r="AN301" s="4524">
        <v>2145</v>
      </c>
      <c r="AO301" s="4638">
        <f t="shared" si="109"/>
        <v>793.65</v>
      </c>
      <c r="AP301" s="4524">
        <v>12718</v>
      </c>
      <c r="AQ301" s="4638">
        <f t="shared" si="110"/>
        <v>4705.66</v>
      </c>
      <c r="AR301" s="4524">
        <v>26</v>
      </c>
      <c r="AS301" s="4638">
        <f t="shared" si="111"/>
        <v>9.6199999999999992</v>
      </c>
      <c r="AT301" s="4524">
        <v>37</v>
      </c>
      <c r="AU301" s="4638">
        <f t="shared" si="112"/>
        <v>13.69</v>
      </c>
      <c r="AV301" s="4524" t="s">
        <v>767</v>
      </c>
      <c r="AW301" s="4638" t="s">
        <v>767</v>
      </c>
      <c r="AX301" s="4524" t="s">
        <v>767</v>
      </c>
      <c r="AY301" s="4638" t="s">
        <v>767</v>
      </c>
      <c r="AZ301" s="4524">
        <v>53164</v>
      </c>
      <c r="BA301" s="4638">
        <f t="shared" si="113"/>
        <v>19670.68</v>
      </c>
      <c r="BB301" s="4524">
        <v>16982</v>
      </c>
      <c r="BC301" s="4638">
        <f t="shared" si="114"/>
        <v>6283.34</v>
      </c>
      <c r="BD301" s="4524">
        <v>60013</v>
      </c>
      <c r="BE301" s="4638">
        <f t="shared" si="115"/>
        <v>22204.81</v>
      </c>
      <c r="BF301" s="4524">
        <v>575010</v>
      </c>
      <c r="BG301" s="4638">
        <f t="shared" si="116"/>
        <v>212753.7</v>
      </c>
      <c r="BH301" s="4543"/>
      <c r="BI301" s="4543"/>
      <c r="BJ301" s="4543"/>
      <c r="BK301" s="3185"/>
      <c r="BL301" s="4543"/>
      <c r="BM301" s="4543"/>
      <c r="BN301" s="4554"/>
      <c r="BO301" s="4554"/>
      <c r="BP301" s="4554"/>
      <c r="BQ301" s="4554"/>
      <c r="BR301" s="4557"/>
      <c r="BS301" s="946"/>
      <c r="BT301" s="946"/>
      <c r="BU301" s="946"/>
      <c r="BV301" s="946"/>
      <c r="BW301" s="946"/>
      <c r="BX301" s="946"/>
      <c r="BY301" s="946"/>
      <c r="BZ301" s="946"/>
      <c r="CA301" s="946"/>
      <c r="CB301" s="946"/>
      <c r="CC301" s="946"/>
      <c r="CD301" s="946"/>
      <c r="CE301" s="946"/>
      <c r="CF301" s="946"/>
      <c r="CG301" s="946"/>
      <c r="CH301" s="946"/>
      <c r="CI301" s="946"/>
      <c r="CJ301" s="946"/>
      <c r="CK301" s="946"/>
      <c r="CL301" s="946"/>
      <c r="CM301" s="946"/>
      <c r="CN301" s="946"/>
      <c r="CO301" s="946"/>
      <c r="CP301" s="946"/>
      <c r="CQ301" s="946"/>
      <c r="CR301" s="946"/>
      <c r="CS301" s="946"/>
      <c r="CT301" s="946"/>
      <c r="CU301" s="946"/>
      <c r="CV301" s="946"/>
      <c r="CW301" s="946"/>
      <c r="CX301" s="946"/>
      <c r="CY301" s="946"/>
      <c r="CZ301" s="946"/>
      <c r="DA301" s="946"/>
      <c r="DB301" s="946"/>
      <c r="DC301" s="946"/>
      <c r="DD301" s="946"/>
      <c r="DE301" s="946"/>
      <c r="DF301" s="946"/>
      <c r="DG301" s="946"/>
      <c r="DH301" s="946"/>
      <c r="DI301" s="946"/>
      <c r="DJ301" s="946"/>
      <c r="DK301" s="946"/>
      <c r="DL301" s="946"/>
      <c r="DM301" s="946"/>
      <c r="DN301" s="946"/>
      <c r="DO301" s="946"/>
      <c r="DP301" s="946"/>
      <c r="DQ301" s="946"/>
      <c r="DR301" s="946"/>
      <c r="DS301" s="946"/>
      <c r="DT301" s="946"/>
      <c r="DU301" s="946"/>
      <c r="DV301" s="946"/>
      <c r="DW301" s="946"/>
      <c r="DX301" s="946"/>
      <c r="DY301" s="946"/>
      <c r="DZ301" s="946"/>
      <c r="EA301" s="946"/>
      <c r="EB301" s="946"/>
      <c r="EC301" s="946"/>
      <c r="ED301" s="946"/>
      <c r="EE301" s="946"/>
      <c r="EF301" s="946"/>
      <c r="EG301" s="946"/>
      <c r="EH301" s="946"/>
      <c r="EI301" s="946"/>
      <c r="EJ301" s="946"/>
      <c r="EK301" s="946"/>
      <c r="EL301" s="946"/>
      <c r="EM301" s="946"/>
      <c r="EN301" s="946"/>
      <c r="EO301" s="946"/>
      <c r="EP301" s="946"/>
      <c r="EQ301" s="946"/>
      <c r="ER301" s="946"/>
      <c r="ES301" s="946"/>
      <c r="ET301" s="946"/>
      <c r="EU301" s="946"/>
      <c r="EV301" s="946"/>
      <c r="EW301" s="946"/>
      <c r="EX301" s="946"/>
      <c r="EY301" s="946"/>
      <c r="EZ301" s="946"/>
      <c r="FA301" s="946"/>
      <c r="FB301" s="946"/>
      <c r="FC301" s="946"/>
      <c r="FD301" s="946"/>
      <c r="FE301" s="946"/>
      <c r="FF301" s="946"/>
      <c r="FG301" s="946"/>
      <c r="FH301" s="946"/>
      <c r="FI301" s="946"/>
      <c r="FJ301" s="946"/>
      <c r="FK301" s="946"/>
      <c r="FL301" s="946"/>
      <c r="FM301" s="946"/>
      <c r="FN301" s="946"/>
      <c r="FO301" s="946"/>
      <c r="FP301" s="946"/>
      <c r="FQ301" s="946"/>
      <c r="FR301" s="946"/>
      <c r="FS301" s="946"/>
      <c r="FT301" s="946"/>
      <c r="FU301" s="946"/>
      <c r="FV301" s="946"/>
      <c r="FW301" s="946"/>
      <c r="FX301" s="946"/>
      <c r="FY301" s="946"/>
      <c r="FZ301" s="946"/>
      <c r="GA301" s="946"/>
      <c r="GB301" s="946"/>
      <c r="GC301" s="946"/>
      <c r="GD301" s="946"/>
      <c r="GE301" s="946"/>
      <c r="GF301" s="946"/>
      <c r="GG301" s="946"/>
      <c r="GH301" s="946"/>
      <c r="GI301" s="946"/>
      <c r="GJ301" s="946"/>
      <c r="GK301" s="946"/>
      <c r="GL301" s="946"/>
      <c r="GM301" s="946"/>
      <c r="GN301" s="946"/>
      <c r="GO301" s="946"/>
      <c r="GP301" s="946"/>
      <c r="GQ301" s="946"/>
    </row>
    <row r="302" spans="1:199" s="1104" customFormat="1" ht="45" customHeight="1" x14ac:dyDescent="0.2">
      <c r="A302" s="957"/>
      <c r="B302" s="958"/>
      <c r="C302" s="959"/>
      <c r="D302" s="958"/>
      <c r="E302" s="958"/>
      <c r="F302" s="959"/>
      <c r="G302" s="958"/>
      <c r="H302" s="958"/>
      <c r="I302" s="959"/>
      <c r="J302" s="4518"/>
      <c r="K302" s="4518"/>
      <c r="L302" s="4524"/>
      <c r="M302" s="4694"/>
      <c r="N302" s="4696"/>
      <c r="O302" s="4524"/>
      <c r="P302" s="4688"/>
      <c r="Q302" s="4521"/>
      <c r="R302" s="4531"/>
      <c r="S302" s="4534"/>
      <c r="T302" s="4521"/>
      <c r="U302" s="4524"/>
      <c r="V302" s="4690"/>
      <c r="W302" s="2621">
        <f>4163056704+1353644949</f>
        <v>5516701653</v>
      </c>
      <c r="X302" s="1809">
        <v>3926166379</v>
      </c>
      <c r="Y302" s="1809">
        <v>243163227</v>
      </c>
      <c r="Z302" s="1103">
        <v>59</v>
      </c>
      <c r="AA302" s="1005" t="s">
        <v>1173</v>
      </c>
      <c r="AB302" s="4524"/>
      <c r="AC302" s="4638"/>
      <c r="AD302" s="4524">
        <v>282326</v>
      </c>
      <c r="AE302" s="4638">
        <f t="shared" si="106"/>
        <v>104460.62</v>
      </c>
      <c r="AF302" s="4524">
        <v>135912</v>
      </c>
      <c r="AG302" s="4638">
        <f t="shared" si="107"/>
        <v>50287.44</v>
      </c>
      <c r="AH302" s="4524">
        <v>45122</v>
      </c>
      <c r="AI302" s="4638">
        <f t="shared" si="108"/>
        <v>16695.14</v>
      </c>
      <c r="AJ302" s="4524">
        <v>307101</v>
      </c>
      <c r="AK302" s="4638">
        <v>113627.37</v>
      </c>
      <c r="AL302" s="4524">
        <v>86875</v>
      </c>
      <c r="AM302" s="4638">
        <v>32143.75</v>
      </c>
      <c r="AN302" s="4524">
        <v>2145</v>
      </c>
      <c r="AO302" s="4638">
        <f t="shared" si="109"/>
        <v>793.65</v>
      </c>
      <c r="AP302" s="4524">
        <v>12718</v>
      </c>
      <c r="AQ302" s="4638">
        <f t="shared" si="110"/>
        <v>4705.66</v>
      </c>
      <c r="AR302" s="4524">
        <v>26</v>
      </c>
      <c r="AS302" s="4638">
        <f t="shared" si="111"/>
        <v>9.6199999999999992</v>
      </c>
      <c r="AT302" s="4524">
        <v>37</v>
      </c>
      <c r="AU302" s="4638">
        <f t="shared" si="112"/>
        <v>13.69</v>
      </c>
      <c r="AV302" s="4524" t="s">
        <v>767</v>
      </c>
      <c r="AW302" s="4638" t="s">
        <v>767</v>
      </c>
      <c r="AX302" s="4524" t="s">
        <v>767</v>
      </c>
      <c r="AY302" s="4638" t="s">
        <v>767</v>
      </c>
      <c r="AZ302" s="4524">
        <v>53164</v>
      </c>
      <c r="BA302" s="4638">
        <f t="shared" si="113"/>
        <v>19670.68</v>
      </c>
      <c r="BB302" s="4524">
        <v>16982</v>
      </c>
      <c r="BC302" s="4638">
        <f t="shared" si="114"/>
        <v>6283.34</v>
      </c>
      <c r="BD302" s="4524">
        <v>60013</v>
      </c>
      <c r="BE302" s="4638">
        <f t="shared" si="115"/>
        <v>22204.81</v>
      </c>
      <c r="BF302" s="4524">
        <v>575010</v>
      </c>
      <c r="BG302" s="4638">
        <f t="shared" si="116"/>
        <v>212753.7</v>
      </c>
      <c r="BH302" s="4543"/>
      <c r="BI302" s="4543"/>
      <c r="BJ302" s="4543"/>
      <c r="BK302" s="3185"/>
      <c r="BL302" s="4543"/>
      <c r="BM302" s="4543"/>
      <c r="BN302" s="4554"/>
      <c r="BO302" s="4554"/>
      <c r="BP302" s="4554"/>
      <c r="BQ302" s="4554"/>
      <c r="BR302" s="4557"/>
      <c r="BS302" s="946"/>
      <c r="BT302" s="946"/>
      <c r="BU302" s="946"/>
      <c r="BV302" s="946"/>
      <c r="BW302" s="946"/>
      <c r="BX302" s="946"/>
      <c r="BY302" s="946"/>
      <c r="BZ302" s="946"/>
      <c r="CA302" s="946"/>
      <c r="CB302" s="946"/>
      <c r="CC302" s="946"/>
      <c r="CD302" s="946"/>
      <c r="CE302" s="946"/>
      <c r="CF302" s="946"/>
      <c r="CG302" s="946"/>
      <c r="CH302" s="946"/>
      <c r="CI302" s="946"/>
      <c r="CJ302" s="946"/>
      <c r="CK302" s="946"/>
      <c r="CL302" s="946"/>
      <c r="CM302" s="946"/>
      <c r="CN302" s="946"/>
      <c r="CO302" s="946"/>
      <c r="CP302" s="946"/>
      <c r="CQ302" s="946"/>
      <c r="CR302" s="946"/>
      <c r="CS302" s="946"/>
      <c r="CT302" s="946"/>
      <c r="CU302" s="946"/>
      <c r="CV302" s="946"/>
      <c r="CW302" s="946"/>
      <c r="CX302" s="946"/>
      <c r="CY302" s="946"/>
      <c r="CZ302" s="946"/>
      <c r="DA302" s="946"/>
      <c r="DB302" s="946"/>
      <c r="DC302" s="946"/>
      <c r="DD302" s="946"/>
      <c r="DE302" s="946"/>
      <c r="DF302" s="946"/>
      <c r="DG302" s="946"/>
      <c r="DH302" s="946"/>
      <c r="DI302" s="946"/>
      <c r="DJ302" s="946"/>
      <c r="DK302" s="946"/>
      <c r="DL302" s="946"/>
      <c r="DM302" s="946"/>
      <c r="DN302" s="946"/>
      <c r="DO302" s="946"/>
      <c r="DP302" s="946"/>
      <c r="DQ302" s="946"/>
      <c r="DR302" s="946"/>
      <c r="DS302" s="946"/>
      <c r="DT302" s="946"/>
      <c r="DU302" s="946"/>
      <c r="DV302" s="946"/>
      <c r="DW302" s="946"/>
      <c r="DX302" s="946"/>
      <c r="DY302" s="946"/>
      <c r="DZ302" s="946"/>
      <c r="EA302" s="946"/>
      <c r="EB302" s="946"/>
      <c r="EC302" s="946"/>
      <c r="ED302" s="946"/>
      <c r="EE302" s="946"/>
      <c r="EF302" s="946"/>
      <c r="EG302" s="946"/>
      <c r="EH302" s="946"/>
      <c r="EI302" s="946"/>
      <c r="EJ302" s="946"/>
      <c r="EK302" s="946"/>
      <c r="EL302" s="946"/>
      <c r="EM302" s="946"/>
      <c r="EN302" s="946"/>
      <c r="EO302" s="946"/>
      <c r="EP302" s="946"/>
      <c r="EQ302" s="946"/>
      <c r="ER302" s="946"/>
      <c r="ES302" s="946"/>
      <c r="ET302" s="946"/>
      <c r="EU302" s="946"/>
      <c r="EV302" s="946"/>
      <c r="EW302" s="946"/>
      <c r="EX302" s="946"/>
      <c r="EY302" s="946"/>
      <c r="EZ302" s="946"/>
      <c r="FA302" s="946"/>
      <c r="FB302" s="946"/>
      <c r="FC302" s="946"/>
      <c r="FD302" s="946"/>
      <c r="FE302" s="946"/>
      <c r="FF302" s="946"/>
      <c r="FG302" s="946"/>
      <c r="FH302" s="946"/>
      <c r="FI302" s="946"/>
      <c r="FJ302" s="946"/>
      <c r="FK302" s="946"/>
      <c r="FL302" s="946"/>
      <c r="FM302" s="946"/>
      <c r="FN302" s="946"/>
      <c r="FO302" s="946"/>
      <c r="FP302" s="946"/>
      <c r="FQ302" s="946"/>
      <c r="FR302" s="946"/>
      <c r="FS302" s="946"/>
      <c r="FT302" s="946"/>
      <c r="FU302" s="946"/>
      <c r="FV302" s="946"/>
      <c r="FW302" s="946"/>
      <c r="FX302" s="946"/>
      <c r="FY302" s="946"/>
      <c r="FZ302" s="946"/>
      <c r="GA302" s="946"/>
      <c r="GB302" s="946"/>
      <c r="GC302" s="946"/>
      <c r="GD302" s="946"/>
      <c r="GE302" s="946"/>
      <c r="GF302" s="946"/>
      <c r="GG302" s="946"/>
      <c r="GH302" s="946"/>
      <c r="GI302" s="946"/>
      <c r="GJ302" s="946"/>
      <c r="GK302" s="946"/>
      <c r="GL302" s="946"/>
      <c r="GM302" s="946"/>
      <c r="GN302" s="946"/>
      <c r="GO302" s="946"/>
      <c r="GP302" s="946"/>
      <c r="GQ302" s="946"/>
    </row>
    <row r="303" spans="1:199" s="1104" customFormat="1" ht="45" customHeight="1" x14ac:dyDescent="0.2">
      <c r="A303" s="957"/>
      <c r="B303" s="958"/>
      <c r="C303" s="959"/>
      <c r="D303" s="958"/>
      <c r="E303" s="958"/>
      <c r="F303" s="959"/>
      <c r="G303" s="958"/>
      <c r="H303" s="958"/>
      <c r="I303" s="959"/>
      <c r="J303" s="4518"/>
      <c r="K303" s="4518"/>
      <c r="L303" s="4524"/>
      <c r="M303" s="4694"/>
      <c r="N303" s="4696"/>
      <c r="O303" s="4524"/>
      <c r="P303" s="4688"/>
      <c r="Q303" s="4521"/>
      <c r="R303" s="4531"/>
      <c r="S303" s="4534"/>
      <c r="T303" s="4521"/>
      <c r="U303" s="4524"/>
      <c r="V303" s="4690"/>
      <c r="W303" s="2621">
        <v>3888000000</v>
      </c>
      <c r="X303" s="1809">
        <v>3775114443</v>
      </c>
      <c r="Y303" s="1809">
        <v>223045251</v>
      </c>
      <c r="Z303" s="1103">
        <v>60</v>
      </c>
      <c r="AA303" s="1005" t="s">
        <v>1174</v>
      </c>
      <c r="AB303" s="4524"/>
      <c r="AC303" s="4638"/>
      <c r="AD303" s="4524">
        <v>282326</v>
      </c>
      <c r="AE303" s="4638">
        <f t="shared" si="106"/>
        <v>104460.62</v>
      </c>
      <c r="AF303" s="4524">
        <v>135912</v>
      </c>
      <c r="AG303" s="4638">
        <f t="shared" si="107"/>
        <v>50287.44</v>
      </c>
      <c r="AH303" s="4524">
        <v>45122</v>
      </c>
      <c r="AI303" s="4638">
        <f t="shared" si="108"/>
        <v>16695.14</v>
      </c>
      <c r="AJ303" s="4524">
        <v>307101</v>
      </c>
      <c r="AK303" s="4638">
        <v>113627.37</v>
      </c>
      <c r="AL303" s="4524">
        <v>86875</v>
      </c>
      <c r="AM303" s="4638">
        <v>32143.75</v>
      </c>
      <c r="AN303" s="4524">
        <v>2145</v>
      </c>
      <c r="AO303" s="4638">
        <f t="shared" si="109"/>
        <v>793.65</v>
      </c>
      <c r="AP303" s="4524">
        <v>12718</v>
      </c>
      <c r="AQ303" s="4638">
        <f t="shared" si="110"/>
        <v>4705.66</v>
      </c>
      <c r="AR303" s="4524">
        <v>26</v>
      </c>
      <c r="AS303" s="4638">
        <f t="shared" si="111"/>
        <v>9.6199999999999992</v>
      </c>
      <c r="AT303" s="4524">
        <v>37</v>
      </c>
      <c r="AU303" s="4638">
        <f t="shared" si="112"/>
        <v>13.69</v>
      </c>
      <c r="AV303" s="4524" t="s">
        <v>767</v>
      </c>
      <c r="AW303" s="4638" t="s">
        <v>767</v>
      </c>
      <c r="AX303" s="4524" t="s">
        <v>767</v>
      </c>
      <c r="AY303" s="4638" t="s">
        <v>767</v>
      </c>
      <c r="AZ303" s="4524">
        <v>53164</v>
      </c>
      <c r="BA303" s="4638">
        <f t="shared" si="113"/>
        <v>19670.68</v>
      </c>
      <c r="BB303" s="4524">
        <v>16982</v>
      </c>
      <c r="BC303" s="4638">
        <f t="shared" si="114"/>
        <v>6283.34</v>
      </c>
      <c r="BD303" s="4524">
        <v>60013</v>
      </c>
      <c r="BE303" s="4638">
        <f t="shared" si="115"/>
        <v>22204.81</v>
      </c>
      <c r="BF303" s="4524">
        <v>575010</v>
      </c>
      <c r="BG303" s="4638">
        <f t="shared" si="116"/>
        <v>212753.7</v>
      </c>
      <c r="BH303" s="4543"/>
      <c r="BI303" s="4543"/>
      <c r="BJ303" s="4543"/>
      <c r="BK303" s="3185"/>
      <c r="BL303" s="4543"/>
      <c r="BM303" s="4543"/>
      <c r="BN303" s="4554"/>
      <c r="BO303" s="4554"/>
      <c r="BP303" s="4554"/>
      <c r="BQ303" s="4554"/>
      <c r="BR303" s="4557"/>
      <c r="BS303" s="946"/>
      <c r="BT303" s="946"/>
      <c r="BU303" s="946"/>
      <c r="BV303" s="946"/>
      <c r="BW303" s="946"/>
      <c r="BX303" s="946"/>
      <c r="BY303" s="946"/>
      <c r="BZ303" s="946"/>
      <c r="CA303" s="946"/>
      <c r="CB303" s="946"/>
      <c r="CC303" s="946"/>
      <c r="CD303" s="946"/>
      <c r="CE303" s="946"/>
      <c r="CF303" s="946"/>
      <c r="CG303" s="946"/>
      <c r="CH303" s="946"/>
      <c r="CI303" s="946"/>
      <c r="CJ303" s="946"/>
      <c r="CK303" s="946"/>
      <c r="CL303" s="946"/>
      <c r="CM303" s="946"/>
      <c r="CN303" s="946"/>
      <c r="CO303" s="946"/>
      <c r="CP303" s="946"/>
      <c r="CQ303" s="946"/>
      <c r="CR303" s="946"/>
      <c r="CS303" s="946"/>
      <c r="CT303" s="946"/>
      <c r="CU303" s="946"/>
      <c r="CV303" s="946"/>
      <c r="CW303" s="946"/>
      <c r="CX303" s="946"/>
      <c r="CY303" s="946"/>
      <c r="CZ303" s="946"/>
      <c r="DA303" s="946"/>
      <c r="DB303" s="946"/>
      <c r="DC303" s="946"/>
      <c r="DD303" s="946"/>
      <c r="DE303" s="946"/>
      <c r="DF303" s="946"/>
      <c r="DG303" s="946"/>
      <c r="DH303" s="946"/>
      <c r="DI303" s="946"/>
      <c r="DJ303" s="946"/>
      <c r="DK303" s="946"/>
      <c r="DL303" s="946"/>
      <c r="DM303" s="946"/>
      <c r="DN303" s="946"/>
      <c r="DO303" s="946"/>
      <c r="DP303" s="946"/>
      <c r="DQ303" s="946"/>
      <c r="DR303" s="946"/>
      <c r="DS303" s="946"/>
      <c r="DT303" s="946"/>
      <c r="DU303" s="946"/>
      <c r="DV303" s="946"/>
      <c r="DW303" s="946"/>
      <c r="DX303" s="946"/>
      <c r="DY303" s="946"/>
      <c r="DZ303" s="946"/>
      <c r="EA303" s="946"/>
      <c r="EB303" s="946"/>
      <c r="EC303" s="946"/>
      <c r="ED303" s="946"/>
      <c r="EE303" s="946"/>
      <c r="EF303" s="946"/>
      <c r="EG303" s="946"/>
      <c r="EH303" s="946"/>
      <c r="EI303" s="946"/>
      <c r="EJ303" s="946"/>
      <c r="EK303" s="946"/>
      <c r="EL303" s="946"/>
      <c r="EM303" s="946"/>
      <c r="EN303" s="946"/>
      <c r="EO303" s="946"/>
      <c r="EP303" s="946"/>
      <c r="EQ303" s="946"/>
      <c r="ER303" s="946"/>
      <c r="ES303" s="946"/>
      <c r="ET303" s="946"/>
      <c r="EU303" s="946"/>
      <c r="EV303" s="946"/>
      <c r="EW303" s="946"/>
      <c r="EX303" s="946"/>
      <c r="EY303" s="946"/>
      <c r="EZ303" s="946"/>
      <c r="FA303" s="946"/>
      <c r="FB303" s="946"/>
      <c r="FC303" s="946"/>
      <c r="FD303" s="946"/>
      <c r="FE303" s="946"/>
      <c r="FF303" s="946"/>
      <c r="FG303" s="946"/>
      <c r="FH303" s="946"/>
      <c r="FI303" s="946"/>
      <c r="FJ303" s="946"/>
      <c r="FK303" s="946"/>
      <c r="FL303" s="946"/>
      <c r="FM303" s="946"/>
      <c r="FN303" s="946"/>
      <c r="FO303" s="946"/>
      <c r="FP303" s="946"/>
      <c r="FQ303" s="946"/>
      <c r="FR303" s="946"/>
      <c r="FS303" s="946"/>
      <c r="FT303" s="946"/>
      <c r="FU303" s="946"/>
      <c r="FV303" s="946"/>
      <c r="FW303" s="946"/>
      <c r="FX303" s="946"/>
      <c r="FY303" s="946"/>
      <c r="FZ303" s="946"/>
      <c r="GA303" s="946"/>
      <c r="GB303" s="946"/>
      <c r="GC303" s="946"/>
      <c r="GD303" s="946"/>
      <c r="GE303" s="946"/>
      <c r="GF303" s="946"/>
      <c r="GG303" s="946"/>
      <c r="GH303" s="946"/>
      <c r="GI303" s="946"/>
      <c r="GJ303" s="946"/>
      <c r="GK303" s="946"/>
      <c r="GL303" s="946"/>
      <c r="GM303" s="946"/>
      <c r="GN303" s="946"/>
      <c r="GO303" s="946"/>
      <c r="GP303" s="946"/>
      <c r="GQ303" s="946"/>
    </row>
    <row r="304" spans="1:199" s="1104" customFormat="1" ht="45" customHeight="1" x14ac:dyDescent="0.2">
      <c r="A304" s="957"/>
      <c r="B304" s="958"/>
      <c r="C304" s="959"/>
      <c r="D304" s="958"/>
      <c r="E304" s="958"/>
      <c r="F304" s="959"/>
      <c r="G304" s="958"/>
      <c r="H304" s="958"/>
      <c r="I304" s="959"/>
      <c r="J304" s="4518"/>
      <c r="K304" s="4518"/>
      <c r="L304" s="4524"/>
      <c r="M304" s="4694"/>
      <c r="N304" s="4696"/>
      <c r="O304" s="4524"/>
      <c r="P304" s="4688"/>
      <c r="Q304" s="4521"/>
      <c r="R304" s="4531"/>
      <c r="S304" s="4534"/>
      <c r="T304" s="4521"/>
      <c r="U304" s="4524"/>
      <c r="V304" s="4690"/>
      <c r="W304" s="2621">
        <v>905255315</v>
      </c>
      <c r="X304" s="1809">
        <v>868045381</v>
      </c>
      <c r="Y304" s="1809">
        <v>868045381</v>
      </c>
      <c r="Z304" s="1103">
        <v>96</v>
      </c>
      <c r="AA304" s="1005" t="s">
        <v>1175</v>
      </c>
      <c r="AB304" s="4524"/>
      <c r="AC304" s="4638"/>
      <c r="AD304" s="4524">
        <v>282326</v>
      </c>
      <c r="AE304" s="4638">
        <f t="shared" si="106"/>
        <v>104460.62</v>
      </c>
      <c r="AF304" s="4524">
        <v>135912</v>
      </c>
      <c r="AG304" s="4638">
        <f t="shared" si="107"/>
        <v>50287.44</v>
      </c>
      <c r="AH304" s="4524">
        <v>45122</v>
      </c>
      <c r="AI304" s="4638">
        <f t="shared" si="108"/>
        <v>16695.14</v>
      </c>
      <c r="AJ304" s="4524">
        <v>307101</v>
      </c>
      <c r="AK304" s="4638">
        <v>113627.37</v>
      </c>
      <c r="AL304" s="4524">
        <v>86875</v>
      </c>
      <c r="AM304" s="4638">
        <v>32143.75</v>
      </c>
      <c r="AN304" s="4524">
        <v>2145</v>
      </c>
      <c r="AO304" s="4638">
        <f t="shared" si="109"/>
        <v>793.65</v>
      </c>
      <c r="AP304" s="4524">
        <v>12718</v>
      </c>
      <c r="AQ304" s="4638">
        <f t="shared" si="110"/>
        <v>4705.66</v>
      </c>
      <c r="AR304" s="4524">
        <v>26</v>
      </c>
      <c r="AS304" s="4638">
        <f t="shared" si="111"/>
        <v>9.6199999999999992</v>
      </c>
      <c r="AT304" s="4524">
        <v>37</v>
      </c>
      <c r="AU304" s="4638">
        <f t="shared" si="112"/>
        <v>13.69</v>
      </c>
      <c r="AV304" s="4524" t="s">
        <v>767</v>
      </c>
      <c r="AW304" s="4638" t="s">
        <v>767</v>
      </c>
      <c r="AX304" s="4524" t="s">
        <v>767</v>
      </c>
      <c r="AY304" s="4638" t="s">
        <v>767</v>
      </c>
      <c r="AZ304" s="4524">
        <v>53164</v>
      </c>
      <c r="BA304" s="4638">
        <f t="shared" si="113"/>
        <v>19670.68</v>
      </c>
      <c r="BB304" s="4524">
        <v>16982</v>
      </c>
      <c r="BC304" s="4638">
        <f t="shared" si="114"/>
        <v>6283.34</v>
      </c>
      <c r="BD304" s="4524">
        <v>60013</v>
      </c>
      <c r="BE304" s="4638">
        <f t="shared" si="115"/>
        <v>22204.81</v>
      </c>
      <c r="BF304" s="4524">
        <v>575010</v>
      </c>
      <c r="BG304" s="4638">
        <f t="shared" si="116"/>
        <v>212753.7</v>
      </c>
      <c r="BH304" s="4543"/>
      <c r="BI304" s="4543"/>
      <c r="BJ304" s="4543"/>
      <c r="BK304" s="3185"/>
      <c r="BL304" s="4543"/>
      <c r="BM304" s="4543"/>
      <c r="BN304" s="4554"/>
      <c r="BO304" s="4554"/>
      <c r="BP304" s="4554"/>
      <c r="BQ304" s="4554"/>
      <c r="BR304" s="4557"/>
      <c r="BS304" s="946"/>
      <c r="BT304" s="946"/>
      <c r="BU304" s="946"/>
      <c r="BV304" s="946"/>
      <c r="BW304" s="946"/>
      <c r="BX304" s="946"/>
      <c r="BY304" s="946"/>
      <c r="BZ304" s="946"/>
      <c r="CA304" s="946"/>
      <c r="CB304" s="946"/>
      <c r="CC304" s="946"/>
      <c r="CD304" s="946"/>
      <c r="CE304" s="946"/>
      <c r="CF304" s="946"/>
      <c r="CG304" s="946"/>
      <c r="CH304" s="946"/>
      <c r="CI304" s="946"/>
      <c r="CJ304" s="946"/>
      <c r="CK304" s="946"/>
      <c r="CL304" s="946"/>
      <c r="CM304" s="946"/>
      <c r="CN304" s="946"/>
      <c r="CO304" s="946"/>
      <c r="CP304" s="946"/>
      <c r="CQ304" s="946"/>
      <c r="CR304" s="946"/>
      <c r="CS304" s="946"/>
      <c r="CT304" s="946"/>
      <c r="CU304" s="946"/>
      <c r="CV304" s="946"/>
      <c r="CW304" s="946"/>
      <c r="CX304" s="946"/>
      <c r="CY304" s="946"/>
      <c r="CZ304" s="946"/>
      <c r="DA304" s="946"/>
      <c r="DB304" s="946"/>
      <c r="DC304" s="946"/>
      <c r="DD304" s="946"/>
      <c r="DE304" s="946"/>
      <c r="DF304" s="946"/>
      <c r="DG304" s="946"/>
      <c r="DH304" s="946"/>
      <c r="DI304" s="946"/>
      <c r="DJ304" s="946"/>
      <c r="DK304" s="946"/>
      <c r="DL304" s="946"/>
      <c r="DM304" s="946"/>
      <c r="DN304" s="946"/>
      <c r="DO304" s="946"/>
      <c r="DP304" s="946"/>
      <c r="DQ304" s="946"/>
      <c r="DR304" s="946"/>
      <c r="DS304" s="946"/>
      <c r="DT304" s="946"/>
      <c r="DU304" s="946"/>
      <c r="DV304" s="946"/>
      <c r="DW304" s="946"/>
      <c r="DX304" s="946"/>
      <c r="DY304" s="946"/>
      <c r="DZ304" s="946"/>
      <c r="EA304" s="946"/>
      <c r="EB304" s="946"/>
      <c r="EC304" s="946"/>
      <c r="ED304" s="946"/>
      <c r="EE304" s="946"/>
      <c r="EF304" s="946"/>
      <c r="EG304" s="946"/>
      <c r="EH304" s="946"/>
      <c r="EI304" s="946"/>
      <c r="EJ304" s="946"/>
      <c r="EK304" s="946"/>
      <c r="EL304" s="946"/>
      <c r="EM304" s="946"/>
      <c r="EN304" s="946"/>
      <c r="EO304" s="946"/>
      <c r="EP304" s="946"/>
      <c r="EQ304" s="946"/>
      <c r="ER304" s="946"/>
      <c r="ES304" s="946"/>
      <c r="ET304" s="946"/>
      <c r="EU304" s="946"/>
      <c r="EV304" s="946"/>
      <c r="EW304" s="946"/>
      <c r="EX304" s="946"/>
      <c r="EY304" s="946"/>
      <c r="EZ304" s="946"/>
      <c r="FA304" s="946"/>
      <c r="FB304" s="946"/>
      <c r="FC304" s="946"/>
      <c r="FD304" s="946"/>
      <c r="FE304" s="946"/>
      <c r="FF304" s="946"/>
      <c r="FG304" s="946"/>
      <c r="FH304" s="946"/>
      <c r="FI304" s="946"/>
      <c r="FJ304" s="946"/>
      <c r="FK304" s="946"/>
      <c r="FL304" s="946"/>
      <c r="FM304" s="946"/>
      <c r="FN304" s="946"/>
      <c r="FO304" s="946"/>
      <c r="FP304" s="946"/>
      <c r="FQ304" s="946"/>
      <c r="FR304" s="946"/>
      <c r="FS304" s="946"/>
      <c r="FT304" s="946"/>
      <c r="FU304" s="946"/>
      <c r="FV304" s="946"/>
      <c r="FW304" s="946"/>
      <c r="FX304" s="946"/>
      <c r="FY304" s="946"/>
      <c r="FZ304" s="946"/>
      <c r="GA304" s="946"/>
      <c r="GB304" s="946"/>
      <c r="GC304" s="946"/>
      <c r="GD304" s="946"/>
      <c r="GE304" s="946"/>
      <c r="GF304" s="946"/>
      <c r="GG304" s="946"/>
      <c r="GH304" s="946"/>
      <c r="GI304" s="946"/>
      <c r="GJ304" s="946"/>
      <c r="GK304" s="946"/>
      <c r="GL304" s="946"/>
      <c r="GM304" s="946"/>
      <c r="GN304" s="946"/>
      <c r="GO304" s="946"/>
      <c r="GP304" s="946"/>
      <c r="GQ304" s="946"/>
    </row>
    <row r="305" spans="1:199" s="1104" customFormat="1" ht="45" customHeight="1" x14ac:dyDescent="0.2">
      <c r="A305" s="957"/>
      <c r="B305" s="958"/>
      <c r="C305" s="959"/>
      <c r="D305" s="958"/>
      <c r="E305" s="958"/>
      <c r="F305" s="959"/>
      <c r="G305" s="958"/>
      <c r="H305" s="958"/>
      <c r="I305" s="959"/>
      <c r="J305" s="4518"/>
      <c r="K305" s="4518"/>
      <c r="L305" s="4524"/>
      <c r="M305" s="4694"/>
      <c r="N305" s="4696"/>
      <c r="O305" s="4524"/>
      <c r="P305" s="4688"/>
      <c r="Q305" s="4521"/>
      <c r="R305" s="4531"/>
      <c r="S305" s="4534"/>
      <c r="T305" s="4521"/>
      <c r="U305" s="4524"/>
      <c r="V305" s="4690"/>
      <c r="W305" s="2621">
        <v>573833621</v>
      </c>
      <c r="X305" s="1809">
        <v>0</v>
      </c>
      <c r="Y305" s="1809">
        <v>0</v>
      </c>
      <c r="Z305" s="1103">
        <v>97</v>
      </c>
      <c r="AA305" s="1005" t="s">
        <v>1176</v>
      </c>
      <c r="AB305" s="4524"/>
      <c r="AC305" s="4638"/>
      <c r="AD305" s="4524">
        <v>282326</v>
      </c>
      <c r="AE305" s="4638">
        <f t="shared" si="106"/>
        <v>104460.62</v>
      </c>
      <c r="AF305" s="4524">
        <v>135912</v>
      </c>
      <c r="AG305" s="4638">
        <f t="shared" si="107"/>
        <v>50287.44</v>
      </c>
      <c r="AH305" s="4524">
        <v>45122</v>
      </c>
      <c r="AI305" s="4638">
        <f t="shared" si="108"/>
        <v>16695.14</v>
      </c>
      <c r="AJ305" s="4524">
        <v>307101</v>
      </c>
      <c r="AK305" s="4638">
        <v>113627.37</v>
      </c>
      <c r="AL305" s="4524">
        <v>86875</v>
      </c>
      <c r="AM305" s="4638">
        <v>32143.75</v>
      </c>
      <c r="AN305" s="4524">
        <v>2145</v>
      </c>
      <c r="AO305" s="4638">
        <f t="shared" si="109"/>
        <v>793.65</v>
      </c>
      <c r="AP305" s="4524">
        <v>12718</v>
      </c>
      <c r="AQ305" s="4638">
        <f t="shared" si="110"/>
        <v>4705.66</v>
      </c>
      <c r="AR305" s="4524">
        <v>26</v>
      </c>
      <c r="AS305" s="4638">
        <f t="shared" si="111"/>
        <v>9.6199999999999992</v>
      </c>
      <c r="AT305" s="4524">
        <v>37</v>
      </c>
      <c r="AU305" s="4638">
        <f t="shared" si="112"/>
        <v>13.69</v>
      </c>
      <c r="AV305" s="4524" t="s">
        <v>767</v>
      </c>
      <c r="AW305" s="4638" t="s">
        <v>767</v>
      </c>
      <c r="AX305" s="4524" t="s">
        <v>767</v>
      </c>
      <c r="AY305" s="4638" t="s">
        <v>767</v>
      </c>
      <c r="AZ305" s="4524">
        <v>53164</v>
      </c>
      <c r="BA305" s="4638">
        <f t="shared" si="113"/>
        <v>19670.68</v>
      </c>
      <c r="BB305" s="4524">
        <v>16982</v>
      </c>
      <c r="BC305" s="4638">
        <f t="shared" si="114"/>
        <v>6283.34</v>
      </c>
      <c r="BD305" s="4524">
        <v>60013</v>
      </c>
      <c r="BE305" s="4638">
        <f t="shared" si="115"/>
        <v>22204.81</v>
      </c>
      <c r="BF305" s="4524">
        <v>575010</v>
      </c>
      <c r="BG305" s="4638">
        <f t="shared" si="116"/>
        <v>212753.7</v>
      </c>
      <c r="BH305" s="4543"/>
      <c r="BI305" s="4543"/>
      <c r="BJ305" s="4543"/>
      <c r="BK305" s="3185"/>
      <c r="BL305" s="4543"/>
      <c r="BM305" s="4543"/>
      <c r="BN305" s="4554"/>
      <c r="BO305" s="4554"/>
      <c r="BP305" s="4554"/>
      <c r="BQ305" s="4554"/>
      <c r="BR305" s="4557"/>
      <c r="BS305" s="946"/>
      <c r="BT305" s="946"/>
      <c r="BU305" s="946"/>
      <c r="BV305" s="946"/>
      <c r="BW305" s="946"/>
      <c r="BX305" s="946"/>
      <c r="BY305" s="946"/>
      <c r="BZ305" s="946"/>
      <c r="CA305" s="946"/>
      <c r="CB305" s="946"/>
      <c r="CC305" s="946"/>
      <c r="CD305" s="946"/>
      <c r="CE305" s="946"/>
      <c r="CF305" s="946"/>
      <c r="CG305" s="946"/>
      <c r="CH305" s="946"/>
      <c r="CI305" s="946"/>
      <c r="CJ305" s="946"/>
      <c r="CK305" s="946"/>
      <c r="CL305" s="946"/>
      <c r="CM305" s="946"/>
      <c r="CN305" s="946"/>
      <c r="CO305" s="946"/>
      <c r="CP305" s="946"/>
      <c r="CQ305" s="946"/>
      <c r="CR305" s="946"/>
      <c r="CS305" s="946"/>
      <c r="CT305" s="946"/>
      <c r="CU305" s="946"/>
      <c r="CV305" s="946"/>
      <c r="CW305" s="946"/>
      <c r="CX305" s="946"/>
      <c r="CY305" s="946"/>
      <c r="CZ305" s="946"/>
      <c r="DA305" s="946"/>
      <c r="DB305" s="946"/>
      <c r="DC305" s="946"/>
      <c r="DD305" s="946"/>
      <c r="DE305" s="946"/>
      <c r="DF305" s="946"/>
      <c r="DG305" s="946"/>
      <c r="DH305" s="946"/>
      <c r="DI305" s="946"/>
      <c r="DJ305" s="946"/>
      <c r="DK305" s="946"/>
      <c r="DL305" s="946"/>
      <c r="DM305" s="946"/>
      <c r="DN305" s="946"/>
      <c r="DO305" s="946"/>
      <c r="DP305" s="946"/>
      <c r="DQ305" s="946"/>
      <c r="DR305" s="946"/>
      <c r="DS305" s="946"/>
      <c r="DT305" s="946"/>
      <c r="DU305" s="946"/>
      <c r="DV305" s="946"/>
      <c r="DW305" s="946"/>
      <c r="DX305" s="946"/>
      <c r="DY305" s="946"/>
      <c r="DZ305" s="946"/>
      <c r="EA305" s="946"/>
      <c r="EB305" s="946"/>
      <c r="EC305" s="946"/>
      <c r="ED305" s="946"/>
      <c r="EE305" s="946"/>
      <c r="EF305" s="946"/>
      <c r="EG305" s="946"/>
      <c r="EH305" s="946"/>
      <c r="EI305" s="946"/>
      <c r="EJ305" s="946"/>
      <c r="EK305" s="946"/>
      <c r="EL305" s="946"/>
      <c r="EM305" s="946"/>
      <c r="EN305" s="946"/>
      <c r="EO305" s="946"/>
      <c r="EP305" s="946"/>
      <c r="EQ305" s="946"/>
      <c r="ER305" s="946"/>
      <c r="ES305" s="946"/>
      <c r="ET305" s="946"/>
      <c r="EU305" s="946"/>
      <c r="EV305" s="946"/>
      <c r="EW305" s="946"/>
      <c r="EX305" s="946"/>
      <c r="EY305" s="946"/>
      <c r="EZ305" s="946"/>
      <c r="FA305" s="946"/>
      <c r="FB305" s="946"/>
      <c r="FC305" s="946"/>
      <c r="FD305" s="946"/>
      <c r="FE305" s="946"/>
      <c r="FF305" s="946"/>
      <c r="FG305" s="946"/>
      <c r="FH305" s="946"/>
      <c r="FI305" s="946"/>
      <c r="FJ305" s="946"/>
      <c r="FK305" s="946"/>
      <c r="FL305" s="946"/>
      <c r="FM305" s="946"/>
      <c r="FN305" s="946"/>
      <c r="FO305" s="946"/>
      <c r="FP305" s="946"/>
      <c r="FQ305" s="946"/>
      <c r="FR305" s="946"/>
      <c r="FS305" s="946"/>
      <c r="FT305" s="946"/>
      <c r="FU305" s="946"/>
      <c r="FV305" s="946"/>
      <c r="FW305" s="946"/>
      <c r="FX305" s="946"/>
      <c r="FY305" s="946"/>
      <c r="FZ305" s="946"/>
      <c r="GA305" s="946"/>
      <c r="GB305" s="946"/>
      <c r="GC305" s="946"/>
      <c r="GD305" s="946"/>
      <c r="GE305" s="946"/>
      <c r="GF305" s="946"/>
      <c r="GG305" s="946"/>
      <c r="GH305" s="946"/>
      <c r="GI305" s="946"/>
      <c r="GJ305" s="946"/>
      <c r="GK305" s="946"/>
      <c r="GL305" s="946"/>
      <c r="GM305" s="946"/>
      <c r="GN305" s="946"/>
      <c r="GO305" s="946"/>
      <c r="GP305" s="946"/>
      <c r="GQ305" s="946"/>
    </row>
    <row r="306" spans="1:199" s="1104" customFormat="1" ht="45" customHeight="1" x14ac:dyDescent="0.2">
      <c r="A306" s="957"/>
      <c r="B306" s="958"/>
      <c r="C306" s="959"/>
      <c r="D306" s="958"/>
      <c r="E306" s="958"/>
      <c r="F306" s="959"/>
      <c r="G306" s="958"/>
      <c r="H306" s="958"/>
      <c r="I306" s="959"/>
      <c r="J306" s="4518"/>
      <c r="K306" s="4518"/>
      <c r="L306" s="4524"/>
      <c r="M306" s="4694"/>
      <c r="N306" s="4696"/>
      <c r="O306" s="4524"/>
      <c r="P306" s="4688"/>
      <c r="Q306" s="4521"/>
      <c r="R306" s="4531"/>
      <c r="S306" s="4534"/>
      <c r="T306" s="4521"/>
      <c r="U306" s="4524"/>
      <c r="V306" s="4690"/>
      <c r="W306" s="2621">
        <v>6866202</v>
      </c>
      <c r="X306" s="1809">
        <v>0</v>
      </c>
      <c r="Y306" s="1809">
        <v>0</v>
      </c>
      <c r="Z306" s="1103">
        <v>65</v>
      </c>
      <c r="AA306" s="1005" t="s">
        <v>1177</v>
      </c>
      <c r="AB306" s="4524"/>
      <c r="AC306" s="4638"/>
      <c r="AD306" s="4524">
        <v>282326</v>
      </c>
      <c r="AE306" s="4638">
        <f t="shared" si="106"/>
        <v>104460.62</v>
      </c>
      <c r="AF306" s="4524">
        <v>135912</v>
      </c>
      <c r="AG306" s="4638">
        <f t="shared" si="107"/>
        <v>50287.44</v>
      </c>
      <c r="AH306" s="4524">
        <v>45122</v>
      </c>
      <c r="AI306" s="4638">
        <f t="shared" si="108"/>
        <v>16695.14</v>
      </c>
      <c r="AJ306" s="4524">
        <v>307101</v>
      </c>
      <c r="AK306" s="4638">
        <v>113627.37</v>
      </c>
      <c r="AL306" s="4524">
        <v>86875</v>
      </c>
      <c r="AM306" s="4638">
        <v>32143.75</v>
      </c>
      <c r="AN306" s="4524">
        <v>2145</v>
      </c>
      <c r="AO306" s="4638">
        <f t="shared" si="109"/>
        <v>793.65</v>
      </c>
      <c r="AP306" s="4524">
        <v>12718</v>
      </c>
      <c r="AQ306" s="4638">
        <f t="shared" si="110"/>
        <v>4705.66</v>
      </c>
      <c r="AR306" s="4524">
        <v>26</v>
      </c>
      <c r="AS306" s="4638">
        <f t="shared" si="111"/>
        <v>9.6199999999999992</v>
      </c>
      <c r="AT306" s="4524">
        <v>37</v>
      </c>
      <c r="AU306" s="4638">
        <f t="shared" si="112"/>
        <v>13.69</v>
      </c>
      <c r="AV306" s="4524" t="s">
        <v>767</v>
      </c>
      <c r="AW306" s="4638" t="s">
        <v>767</v>
      </c>
      <c r="AX306" s="4524" t="s">
        <v>767</v>
      </c>
      <c r="AY306" s="4638" t="s">
        <v>767</v>
      </c>
      <c r="AZ306" s="4524">
        <v>53164</v>
      </c>
      <c r="BA306" s="4638">
        <f t="shared" si="113"/>
        <v>19670.68</v>
      </c>
      <c r="BB306" s="4524">
        <v>16982</v>
      </c>
      <c r="BC306" s="4638">
        <f t="shared" si="114"/>
        <v>6283.34</v>
      </c>
      <c r="BD306" s="4524">
        <v>60013</v>
      </c>
      <c r="BE306" s="4638">
        <f t="shared" si="115"/>
        <v>22204.81</v>
      </c>
      <c r="BF306" s="4524">
        <v>575010</v>
      </c>
      <c r="BG306" s="4638">
        <f t="shared" si="116"/>
        <v>212753.7</v>
      </c>
      <c r="BH306" s="4543"/>
      <c r="BI306" s="4543"/>
      <c r="BJ306" s="4543"/>
      <c r="BK306" s="3185"/>
      <c r="BL306" s="4543"/>
      <c r="BM306" s="4543"/>
      <c r="BN306" s="4554"/>
      <c r="BO306" s="4554"/>
      <c r="BP306" s="4554"/>
      <c r="BQ306" s="4554"/>
      <c r="BR306" s="4557"/>
      <c r="BS306" s="946"/>
      <c r="BT306" s="946"/>
      <c r="BU306" s="946"/>
      <c r="BV306" s="946"/>
      <c r="BW306" s="946"/>
      <c r="BX306" s="946"/>
      <c r="BY306" s="946"/>
      <c r="BZ306" s="946"/>
      <c r="CA306" s="946"/>
      <c r="CB306" s="946"/>
      <c r="CC306" s="946"/>
      <c r="CD306" s="946"/>
      <c r="CE306" s="946"/>
      <c r="CF306" s="946"/>
      <c r="CG306" s="946"/>
      <c r="CH306" s="946"/>
      <c r="CI306" s="946"/>
      <c r="CJ306" s="946"/>
      <c r="CK306" s="946"/>
      <c r="CL306" s="946"/>
      <c r="CM306" s="946"/>
      <c r="CN306" s="946"/>
      <c r="CO306" s="946"/>
      <c r="CP306" s="946"/>
      <c r="CQ306" s="946"/>
      <c r="CR306" s="946"/>
      <c r="CS306" s="946"/>
      <c r="CT306" s="946"/>
      <c r="CU306" s="946"/>
      <c r="CV306" s="946"/>
      <c r="CW306" s="946"/>
      <c r="CX306" s="946"/>
      <c r="CY306" s="946"/>
      <c r="CZ306" s="946"/>
      <c r="DA306" s="946"/>
      <c r="DB306" s="946"/>
      <c r="DC306" s="946"/>
      <c r="DD306" s="946"/>
      <c r="DE306" s="946"/>
      <c r="DF306" s="946"/>
      <c r="DG306" s="946"/>
      <c r="DH306" s="946"/>
      <c r="DI306" s="946"/>
      <c r="DJ306" s="946"/>
      <c r="DK306" s="946"/>
      <c r="DL306" s="946"/>
      <c r="DM306" s="946"/>
      <c r="DN306" s="946"/>
      <c r="DO306" s="946"/>
      <c r="DP306" s="946"/>
      <c r="DQ306" s="946"/>
      <c r="DR306" s="946"/>
      <c r="DS306" s="946"/>
      <c r="DT306" s="946"/>
      <c r="DU306" s="946"/>
      <c r="DV306" s="946"/>
      <c r="DW306" s="946"/>
      <c r="DX306" s="946"/>
      <c r="DY306" s="946"/>
      <c r="DZ306" s="946"/>
      <c r="EA306" s="946"/>
      <c r="EB306" s="946"/>
      <c r="EC306" s="946"/>
      <c r="ED306" s="946"/>
      <c r="EE306" s="946"/>
      <c r="EF306" s="946"/>
      <c r="EG306" s="946"/>
      <c r="EH306" s="946"/>
      <c r="EI306" s="946"/>
      <c r="EJ306" s="946"/>
      <c r="EK306" s="946"/>
      <c r="EL306" s="946"/>
      <c r="EM306" s="946"/>
      <c r="EN306" s="946"/>
      <c r="EO306" s="946"/>
      <c r="EP306" s="946"/>
      <c r="EQ306" s="946"/>
      <c r="ER306" s="946"/>
      <c r="ES306" s="946"/>
      <c r="ET306" s="946"/>
      <c r="EU306" s="946"/>
      <c r="EV306" s="946"/>
      <c r="EW306" s="946"/>
      <c r="EX306" s="946"/>
      <c r="EY306" s="946"/>
      <c r="EZ306" s="946"/>
      <c r="FA306" s="946"/>
      <c r="FB306" s="946"/>
      <c r="FC306" s="946"/>
      <c r="FD306" s="946"/>
      <c r="FE306" s="946"/>
      <c r="FF306" s="946"/>
      <c r="FG306" s="946"/>
      <c r="FH306" s="946"/>
      <c r="FI306" s="946"/>
      <c r="FJ306" s="946"/>
      <c r="FK306" s="946"/>
      <c r="FL306" s="946"/>
      <c r="FM306" s="946"/>
      <c r="FN306" s="946"/>
      <c r="FO306" s="946"/>
      <c r="FP306" s="946"/>
      <c r="FQ306" s="946"/>
      <c r="FR306" s="946"/>
      <c r="FS306" s="946"/>
      <c r="FT306" s="946"/>
      <c r="FU306" s="946"/>
      <c r="FV306" s="946"/>
      <c r="FW306" s="946"/>
      <c r="FX306" s="946"/>
      <c r="FY306" s="946"/>
      <c r="FZ306" s="946"/>
      <c r="GA306" s="946"/>
      <c r="GB306" s="946"/>
      <c r="GC306" s="946"/>
      <c r="GD306" s="946"/>
      <c r="GE306" s="946"/>
      <c r="GF306" s="946"/>
      <c r="GG306" s="946"/>
      <c r="GH306" s="946"/>
      <c r="GI306" s="946"/>
      <c r="GJ306" s="946"/>
      <c r="GK306" s="946"/>
      <c r="GL306" s="946"/>
      <c r="GM306" s="946"/>
      <c r="GN306" s="946"/>
      <c r="GO306" s="946"/>
      <c r="GP306" s="946"/>
      <c r="GQ306" s="946"/>
    </row>
    <row r="307" spans="1:199" s="1104" customFormat="1" ht="45" customHeight="1" x14ac:dyDescent="0.2">
      <c r="A307" s="957"/>
      <c r="B307" s="958"/>
      <c r="C307" s="959"/>
      <c r="D307" s="958"/>
      <c r="E307" s="958"/>
      <c r="F307" s="959"/>
      <c r="G307" s="958"/>
      <c r="H307" s="958"/>
      <c r="I307" s="959"/>
      <c r="J307" s="4518"/>
      <c r="K307" s="4518"/>
      <c r="L307" s="4524"/>
      <c r="M307" s="4694"/>
      <c r="N307" s="4696"/>
      <c r="O307" s="4524"/>
      <c r="P307" s="4688"/>
      <c r="Q307" s="4521"/>
      <c r="R307" s="4531"/>
      <c r="S307" s="4534"/>
      <c r="T307" s="4521"/>
      <c r="U307" s="4524"/>
      <c r="V307" s="4690"/>
      <c r="W307" s="2621">
        <v>134128260</v>
      </c>
      <c r="X307" s="1809">
        <v>134128260</v>
      </c>
      <c r="Y307" s="1809">
        <v>134128260</v>
      </c>
      <c r="Z307" s="1103">
        <v>156</v>
      </c>
      <c r="AA307" s="1005" t="s">
        <v>1178</v>
      </c>
      <c r="AB307" s="4524"/>
      <c r="AC307" s="4638"/>
      <c r="AD307" s="4524">
        <v>282326</v>
      </c>
      <c r="AE307" s="4638">
        <f t="shared" si="106"/>
        <v>104460.62</v>
      </c>
      <c r="AF307" s="4524">
        <v>135912</v>
      </c>
      <c r="AG307" s="4638">
        <f t="shared" si="107"/>
        <v>50287.44</v>
      </c>
      <c r="AH307" s="4524">
        <v>45122</v>
      </c>
      <c r="AI307" s="4638">
        <f t="shared" si="108"/>
        <v>16695.14</v>
      </c>
      <c r="AJ307" s="4524">
        <v>307101</v>
      </c>
      <c r="AK307" s="4638">
        <v>113627.37</v>
      </c>
      <c r="AL307" s="4524">
        <v>86875</v>
      </c>
      <c r="AM307" s="4638">
        <v>32143.75</v>
      </c>
      <c r="AN307" s="4524">
        <v>2145</v>
      </c>
      <c r="AO307" s="4638">
        <f t="shared" si="109"/>
        <v>793.65</v>
      </c>
      <c r="AP307" s="4524">
        <v>12718</v>
      </c>
      <c r="AQ307" s="4638">
        <f t="shared" si="110"/>
        <v>4705.66</v>
      </c>
      <c r="AR307" s="4524">
        <v>26</v>
      </c>
      <c r="AS307" s="4638">
        <f t="shared" si="111"/>
        <v>9.6199999999999992</v>
      </c>
      <c r="AT307" s="4524">
        <v>37</v>
      </c>
      <c r="AU307" s="4638">
        <f t="shared" si="112"/>
        <v>13.69</v>
      </c>
      <c r="AV307" s="4524" t="s">
        <v>767</v>
      </c>
      <c r="AW307" s="4638" t="s">
        <v>767</v>
      </c>
      <c r="AX307" s="4524" t="s">
        <v>767</v>
      </c>
      <c r="AY307" s="4638" t="s">
        <v>767</v>
      </c>
      <c r="AZ307" s="4524">
        <v>53164</v>
      </c>
      <c r="BA307" s="4638">
        <f t="shared" si="113"/>
        <v>19670.68</v>
      </c>
      <c r="BB307" s="4524">
        <v>16982</v>
      </c>
      <c r="BC307" s="4638">
        <f t="shared" si="114"/>
        <v>6283.34</v>
      </c>
      <c r="BD307" s="4524">
        <v>60013</v>
      </c>
      <c r="BE307" s="4638">
        <f t="shared" si="115"/>
        <v>22204.81</v>
      </c>
      <c r="BF307" s="4524">
        <v>575010</v>
      </c>
      <c r="BG307" s="4638">
        <f t="shared" si="116"/>
        <v>212753.7</v>
      </c>
      <c r="BH307" s="4543"/>
      <c r="BI307" s="4543"/>
      <c r="BJ307" s="4543"/>
      <c r="BK307" s="3185"/>
      <c r="BL307" s="4543"/>
      <c r="BM307" s="4543"/>
      <c r="BN307" s="4554"/>
      <c r="BO307" s="4554"/>
      <c r="BP307" s="4554"/>
      <c r="BQ307" s="4554"/>
      <c r="BR307" s="4557"/>
      <c r="BS307" s="946"/>
      <c r="BT307" s="946"/>
      <c r="BU307" s="946"/>
      <c r="BV307" s="946"/>
      <c r="BW307" s="946"/>
      <c r="BX307" s="946"/>
      <c r="BY307" s="946"/>
      <c r="BZ307" s="946"/>
      <c r="CA307" s="946"/>
      <c r="CB307" s="946"/>
      <c r="CC307" s="946"/>
      <c r="CD307" s="946"/>
      <c r="CE307" s="946"/>
      <c r="CF307" s="946"/>
      <c r="CG307" s="946"/>
      <c r="CH307" s="946"/>
      <c r="CI307" s="946"/>
      <c r="CJ307" s="946"/>
      <c r="CK307" s="946"/>
      <c r="CL307" s="946"/>
      <c r="CM307" s="946"/>
      <c r="CN307" s="946"/>
      <c r="CO307" s="946"/>
      <c r="CP307" s="946"/>
      <c r="CQ307" s="946"/>
      <c r="CR307" s="946"/>
      <c r="CS307" s="946"/>
      <c r="CT307" s="946"/>
      <c r="CU307" s="946"/>
      <c r="CV307" s="946"/>
      <c r="CW307" s="946"/>
      <c r="CX307" s="946"/>
      <c r="CY307" s="946"/>
      <c r="CZ307" s="946"/>
      <c r="DA307" s="946"/>
      <c r="DB307" s="946"/>
      <c r="DC307" s="946"/>
      <c r="DD307" s="946"/>
      <c r="DE307" s="946"/>
      <c r="DF307" s="946"/>
      <c r="DG307" s="946"/>
      <c r="DH307" s="946"/>
      <c r="DI307" s="946"/>
      <c r="DJ307" s="946"/>
      <c r="DK307" s="946"/>
      <c r="DL307" s="946"/>
      <c r="DM307" s="946"/>
      <c r="DN307" s="946"/>
      <c r="DO307" s="946"/>
      <c r="DP307" s="946"/>
      <c r="DQ307" s="946"/>
      <c r="DR307" s="946"/>
      <c r="DS307" s="946"/>
      <c r="DT307" s="946"/>
      <c r="DU307" s="946"/>
      <c r="DV307" s="946"/>
      <c r="DW307" s="946"/>
      <c r="DX307" s="946"/>
      <c r="DY307" s="946"/>
      <c r="DZ307" s="946"/>
      <c r="EA307" s="946"/>
      <c r="EB307" s="946"/>
      <c r="EC307" s="946"/>
      <c r="ED307" s="946"/>
      <c r="EE307" s="946"/>
      <c r="EF307" s="946"/>
      <c r="EG307" s="946"/>
      <c r="EH307" s="946"/>
      <c r="EI307" s="946"/>
      <c r="EJ307" s="946"/>
      <c r="EK307" s="946"/>
      <c r="EL307" s="946"/>
      <c r="EM307" s="946"/>
      <c r="EN307" s="946"/>
      <c r="EO307" s="946"/>
      <c r="EP307" s="946"/>
      <c r="EQ307" s="946"/>
      <c r="ER307" s="946"/>
      <c r="ES307" s="946"/>
      <c r="ET307" s="946"/>
      <c r="EU307" s="946"/>
      <c r="EV307" s="946"/>
      <c r="EW307" s="946"/>
      <c r="EX307" s="946"/>
      <c r="EY307" s="946"/>
      <c r="EZ307" s="946"/>
      <c r="FA307" s="946"/>
      <c r="FB307" s="946"/>
      <c r="FC307" s="946"/>
      <c r="FD307" s="946"/>
      <c r="FE307" s="946"/>
      <c r="FF307" s="946"/>
      <c r="FG307" s="946"/>
      <c r="FH307" s="946"/>
      <c r="FI307" s="946"/>
      <c r="FJ307" s="946"/>
      <c r="FK307" s="946"/>
      <c r="FL307" s="946"/>
      <c r="FM307" s="946"/>
      <c r="FN307" s="946"/>
      <c r="FO307" s="946"/>
      <c r="FP307" s="946"/>
      <c r="FQ307" s="946"/>
      <c r="FR307" s="946"/>
      <c r="FS307" s="946"/>
      <c r="FT307" s="946"/>
      <c r="FU307" s="946"/>
      <c r="FV307" s="946"/>
      <c r="FW307" s="946"/>
      <c r="FX307" s="946"/>
      <c r="FY307" s="946"/>
      <c r="FZ307" s="946"/>
      <c r="GA307" s="946"/>
      <c r="GB307" s="946"/>
      <c r="GC307" s="946"/>
      <c r="GD307" s="946"/>
      <c r="GE307" s="946"/>
      <c r="GF307" s="946"/>
      <c r="GG307" s="946"/>
      <c r="GH307" s="946"/>
      <c r="GI307" s="946"/>
      <c r="GJ307" s="946"/>
      <c r="GK307" s="946"/>
      <c r="GL307" s="946"/>
      <c r="GM307" s="946"/>
      <c r="GN307" s="946"/>
      <c r="GO307" s="946"/>
      <c r="GP307" s="946"/>
      <c r="GQ307" s="946"/>
    </row>
    <row r="308" spans="1:199" s="1104" customFormat="1" ht="51.75" customHeight="1" x14ac:dyDescent="0.2">
      <c r="A308" s="957"/>
      <c r="B308" s="958"/>
      <c r="C308" s="959"/>
      <c r="D308" s="958"/>
      <c r="E308" s="958"/>
      <c r="F308" s="959"/>
      <c r="G308" s="958"/>
      <c r="H308" s="958"/>
      <c r="I308" s="959"/>
      <c r="J308" s="4518"/>
      <c r="K308" s="4518"/>
      <c r="L308" s="4524"/>
      <c r="M308" s="4694"/>
      <c r="N308" s="4696"/>
      <c r="O308" s="4524"/>
      <c r="P308" s="4688"/>
      <c r="Q308" s="4521"/>
      <c r="R308" s="4531"/>
      <c r="S308" s="4534"/>
      <c r="T308" s="4521"/>
      <c r="U308" s="4524"/>
      <c r="V308" s="4690"/>
      <c r="W308" s="2621">
        <v>68256639</v>
      </c>
      <c r="X308" s="1809">
        <v>0</v>
      </c>
      <c r="Y308" s="1809">
        <v>0</v>
      </c>
      <c r="Z308" s="1105">
        <v>102</v>
      </c>
      <c r="AA308" s="1106" t="s">
        <v>1179</v>
      </c>
      <c r="AB308" s="4524"/>
      <c r="AC308" s="4638"/>
      <c r="AD308" s="4524">
        <v>282326</v>
      </c>
      <c r="AE308" s="4638">
        <f t="shared" si="106"/>
        <v>104460.62</v>
      </c>
      <c r="AF308" s="4524">
        <v>135912</v>
      </c>
      <c r="AG308" s="4638">
        <f t="shared" si="107"/>
        <v>50287.44</v>
      </c>
      <c r="AH308" s="4524">
        <v>45122</v>
      </c>
      <c r="AI308" s="4638">
        <f t="shared" si="108"/>
        <v>16695.14</v>
      </c>
      <c r="AJ308" s="4524">
        <v>307101</v>
      </c>
      <c r="AK308" s="4638">
        <v>113627.37</v>
      </c>
      <c r="AL308" s="4524">
        <v>86875</v>
      </c>
      <c r="AM308" s="4638">
        <v>32143.75</v>
      </c>
      <c r="AN308" s="4524">
        <v>2145</v>
      </c>
      <c r="AO308" s="4638">
        <f t="shared" si="109"/>
        <v>793.65</v>
      </c>
      <c r="AP308" s="4524">
        <v>12718</v>
      </c>
      <c r="AQ308" s="4638">
        <f t="shared" si="110"/>
        <v>4705.66</v>
      </c>
      <c r="AR308" s="4524">
        <v>26</v>
      </c>
      <c r="AS308" s="4638">
        <f t="shared" si="111"/>
        <v>9.6199999999999992</v>
      </c>
      <c r="AT308" s="4524">
        <v>37</v>
      </c>
      <c r="AU308" s="4638">
        <f t="shared" si="112"/>
        <v>13.69</v>
      </c>
      <c r="AV308" s="4524" t="s">
        <v>767</v>
      </c>
      <c r="AW308" s="4638" t="s">
        <v>767</v>
      </c>
      <c r="AX308" s="4524" t="s">
        <v>767</v>
      </c>
      <c r="AY308" s="4638" t="s">
        <v>767</v>
      </c>
      <c r="AZ308" s="4524">
        <v>53164</v>
      </c>
      <c r="BA308" s="4638">
        <f t="shared" si="113"/>
        <v>19670.68</v>
      </c>
      <c r="BB308" s="4524">
        <v>16982</v>
      </c>
      <c r="BC308" s="4638">
        <f t="shared" si="114"/>
        <v>6283.34</v>
      </c>
      <c r="BD308" s="4524">
        <v>60013</v>
      </c>
      <c r="BE308" s="4638">
        <f t="shared" si="115"/>
        <v>22204.81</v>
      </c>
      <c r="BF308" s="4524">
        <v>575010</v>
      </c>
      <c r="BG308" s="4638">
        <f t="shared" si="116"/>
        <v>212753.7</v>
      </c>
      <c r="BH308" s="4543"/>
      <c r="BI308" s="4543"/>
      <c r="BJ308" s="4543"/>
      <c r="BK308" s="3185"/>
      <c r="BL308" s="4543"/>
      <c r="BM308" s="4543"/>
      <c r="BN308" s="4554"/>
      <c r="BO308" s="4554"/>
      <c r="BP308" s="4554"/>
      <c r="BQ308" s="4554"/>
      <c r="BR308" s="4557"/>
      <c r="BS308" s="946"/>
      <c r="BT308" s="946"/>
      <c r="BU308" s="946"/>
      <c r="BV308" s="946"/>
      <c r="BW308" s="946"/>
      <c r="BX308" s="946"/>
      <c r="BY308" s="946"/>
      <c r="BZ308" s="946"/>
      <c r="CA308" s="946"/>
      <c r="CB308" s="946"/>
      <c r="CC308" s="946"/>
      <c r="CD308" s="946"/>
      <c r="CE308" s="946"/>
      <c r="CF308" s="946"/>
      <c r="CG308" s="946"/>
      <c r="CH308" s="946"/>
      <c r="CI308" s="946"/>
      <c r="CJ308" s="946"/>
      <c r="CK308" s="946"/>
      <c r="CL308" s="946"/>
      <c r="CM308" s="946"/>
      <c r="CN308" s="946"/>
      <c r="CO308" s="946"/>
      <c r="CP308" s="946"/>
      <c r="CQ308" s="946"/>
      <c r="CR308" s="946"/>
      <c r="CS308" s="946"/>
      <c r="CT308" s="946"/>
      <c r="CU308" s="946"/>
      <c r="CV308" s="946"/>
      <c r="CW308" s="946"/>
      <c r="CX308" s="946"/>
      <c r="CY308" s="946"/>
      <c r="CZ308" s="946"/>
      <c r="DA308" s="946"/>
      <c r="DB308" s="946"/>
      <c r="DC308" s="946"/>
      <c r="DD308" s="946"/>
      <c r="DE308" s="946"/>
      <c r="DF308" s="946"/>
      <c r="DG308" s="946"/>
      <c r="DH308" s="946"/>
      <c r="DI308" s="946"/>
      <c r="DJ308" s="946"/>
      <c r="DK308" s="946"/>
      <c r="DL308" s="946"/>
      <c r="DM308" s="946"/>
      <c r="DN308" s="946"/>
      <c r="DO308" s="946"/>
      <c r="DP308" s="946"/>
      <c r="DQ308" s="946"/>
      <c r="DR308" s="946"/>
      <c r="DS308" s="946"/>
      <c r="DT308" s="946"/>
      <c r="DU308" s="946"/>
      <c r="DV308" s="946"/>
      <c r="DW308" s="946"/>
      <c r="DX308" s="946"/>
      <c r="DY308" s="946"/>
      <c r="DZ308" s="946"/>
      <c r="EA308" s="946"/>
      <c r="EB308" s="946"/>
      <c r="EC308" s="946"/>
      <c r="ED308" s="946"/>
      <c r="EE308" s="946"/>
      <c r="EF308" s="946"/>
      <c r="EG308" s="946"/>
      <c r="EH308" s="946"/>
      <c r="EI308" s="946"/>
      <c r="EJ308" s="946"/>
      <c r="EK308" s="946"/>
      <c r="EL308" s="946"/>
      <c r="EM308" s="946"/>
      <c r="EN308" s="946"/>
      <c r="EO308" s="946"/>
      <c r="EP308" s="946"/>
      <c r="EQ308" s="946"/>
      <c r="ER308" s="946"/>
      <c r="ES308" s="946"/>
      <c r="ET308" s="946"/>
      <c r="EU308" s="946"/>
      <c r="EV308" s="946"/>
      <c r="EW308" s="946"/>
      <c r="EX308" s="946"/>
      <c r="EY308" s="946"/>
      <c r="EZ308" s="946"/>
      <c r="FA308" s="946"/>
      <c r="FB308" s="946"/>
      <c r="FC308" s="946"/>
      <c r="FD308" s="946"/>
      <c r="FE308" s="946"/>
      <c r="FF308" s="946"/>
      <c r="FG308" s="946"/>
      <c r="FH308" s="946"/>
      <c r="FI308" s="946"/>
      <c r="FJ308" s="946"/>
      <c r="FK308" s="946"/>
      <c r="FL308" s="946"/>
      <c r="FM308" s="946"/>
      <c r="FN308" s="946"/>
      <c r="FO308" s="946"/>
      <c r="FP308" s="946"/>
      <c r="FQ308" s="946"/>
      <c r="FR308" s="946"/>
      <c r="FS308" s="946"/>
      <c r="FT308" s="946"/>
      <c r="FU308" s="946"/>
      <c r="FV308" s="946"/>
      <c r="FW308" s="946"/>
      <c r="FX308" s="946"/>
      <c r="FY308" s="946"/>
      <c r="FZ308" s="946"/>
      <c r="GA308" s="946"/>
      <c r="GB308" s="946"/>
      <c r="GC308" s="946"/>
      <c r="GD308" s="946"/>
      <c r="GE308" s="946"/>
      <c r="GF308" s="946"/>
      <c r="GG308" s="946"/>
      <c r="GH308" s="946"/>
      <c r="GI308" s="946"/>
      <c r="GJ308" s="946"/>
      <c r="GK308" s="946"/>
      <c r="GL308" s="946"/>
      <c r="GM308" s="946"/>
      <c r="GN308" s="946"/>
      <c r="GO308" s="946"/>
      <c r="GP308" s="946"/>
      <c r="GQ308" s="946"/>
    </row>
    <row r="309" spans="1:199" s="1104" customFormat="1" ht="42.75" customHeight="1" x14ac:dyDescent="0.2">
      <c r="A309" s="957"/>
      <c r="B309" s="958"/>
      <c r="C309" s="959"/>
      <c r="D309" s="958"/>
      <c r="E309" s="958"/>
      <c r="F309" s="959"/>
      <c r="G309" s="958"/>
      <c r="H309" s="958"/>
      <c r="I309" s="959"/>
      <c r="J309" s="4518"/>
      <c r="K309" s="4518"/>
      <c r="L309" s="4524"/>
      <c r="M309" s="4694"/>
      <c r="N309" s="4696"/>
      <c r="O309" s="4524"/>
      <c r="P309" s="4688"/>
      <c r="Q309" s="4521"/>
      <c r="R309" s="4531"/>
      <c r="S309" s="4534"/>
      <c r="T309" s="4521"/>
      <c r="U309" s="4524"/>
      <c r="V309" s="4690"/>
      <c r="W309" s="2622">
        <v>151028573</v>
      </c>
      <c r="X309" s="1809">
        <v>0</v>
      </c>
      <c r="Y309" s="1809">
        <v>0</v>
      </c>
      <c r="Z309" s="1103">
        <v>148</v>
      </c>
      <c r="AA309" s="1106" t="s">
        <v>1180</v>
      </c>
      <c r="AB309" s="4524"/>
      <c r="AC309" s="4638"/>
      <c r="AD309" s="4524">
        <v>282326</v>
      </c>
      <c r="AE309" s="4638">
        <f t="shared" si="106"/>
        <v>104460.62</v>
      </c>
      <c r="AF309" s="4524">
        <v>135912</v>
      </c>
      <c r="AG309" s="4638">
        <f t="shared" si="107"/>
        <v>50287.44</v>
      </c>
      <c r="AH309" s="4524">
        <v>45122</v>
      </c>
      <c r="AI309" s="4638">
        <f t="shared" si="108"/>
        <v>16695.14</v>
      </c>
      <c r="AJ309" s="4524">
        <v>307101</v>
      </c>
      <c r="AK309" s="4638">
        <v>113627.37</v>
      </c>
      <c r="AL309" s="4524">
        <v>86875</v>
      </c>
      <c r="AM309" s="4638">
        <v>32143.75</v>
      </c>
      <c r="AN309" s="4524">
        <v>2145</v>
      </c>
      <c r="AO309" s="4638">
        <f t="shared" si="109"/>
        <v>793.65</v>
      </c>
      <c r="AP309" s="4524">
        <v>12718</v>
      </c>
      <c r="AQ309" s="4638">
        <f t="shared" si="110"/>
        <v>4705.66</v>
      </c>
      <c r="AR309" s="4524">
        <v>26</v>
      </c>
      <c r="AS309" s="4638">
        <f t="shared" si="111"/>
        <v>9.6199999999999992</v>
      </c>
      <c r="AT309" s="4524">
        <v>37</v>
      </c>
      <c r="AU309" s="4638">
        <f t="shared" si="112"/>
        <v>13.69</v>
      </c>
      <c r="AV309" s="4524" t="s">
        <v>767</v>
      </c>
      <c r="AW309" s="4638" t="s">
        <v>767</v>
      </c>
      <c r="AX309" s="4524" t="s">
        <v>767</v>
      </c>
      <c r="AY309" s="4638" t="s">
        <v>767</v>
      </c>
      <c r="AZ309" s="4524">
        <v>53164</v>
      </c>
      <c r="BA309" s="4638">
        <f t="shared" si="113"/>
        <v>19670.68</v>
      </c>
      <c r="BB309" s="4524">
        <v>16982</v>
      </c>
      <c r="BC309" s="4638">
        <f t="shared" si="114"/>
        <v>6283.34</v>
      </c>
      <c r="BD309" s="4524">
        <v>60013</v>
      </c>
      <c r="BE309" s="4638">
        <f t="shared" si="115"/>
        <v>22204.81</v>
      </c>
      <c r="BF309" s="4524">
        <v>575010</v>
      </c>
      <c r="BG309" s="4638">
        <f t="shared" si="116"/>
        <v>212753.7</v>
      </c>
      <c r="BH309" s="4543"/>
      <c r="BI309" s="4543"/>
      <c r="BJ309" s="4543"/>
      <c r="BK309" s="3185"/>
      <c r="BL309" s="4543"/>
      <c r="BM309" s="4543"/>
      <c r="BN309" s="4554"/>
      <c r="BO309" s="4554"/>
      <c r="BP309" s="4554"/>
      <c r="BQ309" s="4554"/>
      <c r="BR309" s="4557"/>
      <c r="BS309" s="946"/>
      <c r="BT309" s="946"/>
      <c r="BU309" s="946"/>
      <c r="BV309" s="946"/>
      <c r="BW309" s="946"/>
      <c r="BX309" s="946"/>
      <c r="BY309" s="946"/>
      <c r="BZ309" s="946"/>
      <c r="CA309" s="946"/>
      <c r="CB309" s="946"/>
      <c r="CC309" s="946"/>
      <c r="CD309" s="946"/>
      <c r="CE309" s="946"/>
      <c r="CF309" s="946"/>
      <c r="CG309" s="946"/>
      <c r="CH309" s="946"/>
      <c r="CI309" s="946"/>
      <c r="CJ309" s="946"/>
      <c r="CK309" s="946"/>
      <c r="CL309" s="946"/>
      <c r="CM309" s="946"/>
      <c r="CN309" s="946"/>
      <c r="CO309" s="946"/>
      <c r="CP309" s="946"/>
      <c r="CQ309" s="946"/>
      <c r="CR309" s="946"/>
      <c r="CS309" s="946"/>
      <c r="CT309" s="946"/>
      <c r="CU309" s="946"/>
      <c r="CV309" s="946"/>
      <c r="CW309" s="946"/>
      <c r="CX309" s="946"/>
      <c r="CY309" s="946"/>
      <c r="CZ309" s="946"/>
      <c r="DA309" s="946"/>
      <c r="DB309" s="946"/>
      <c r="DC309" s="946"/>
      <c r="DD309" s="946"/>
      <c r="DE309" s="946"/>
      <c r="DF309" s="946"/>
      <c r="DG309" s="946"/>
      <c r="DH309" s="946"/>
      <c r="DI309" s="946"/>
      <c r="DJ309" s="946"/>
      <c r="DK309" s="946"/>
      <c r="DL309" s="946"/>
      <c r="DM309" s="946"/>
      <c r="DN309" s="946"/>
      <c r="DO309" s="946"/>
      <c r="DP309" s="946"/>
      <c r="DQ309" s="946"/>
      <c r="DR309" s="946"/>
      <c r="DS309" s="946"/>
      <c r="DT309" s="946"/>
      <c r="DU309" s="946"/>
      <c r="DV309" s="946"/>
      <c r="DW309" s="946"/>
      <c r="DX309" s="946"/>
      <c r="DY309" s="946"/>
      <c r="DZ309" s="946"/>
      <c r="EA309" s="946"/>
      <c r="EB309" s="946"/>
      <c r="EC309" s="946"/>
      <c r="ED309" s="946"/>
      <c r="EE309" s="946"/>
      <c r="EF309" s="946"/>
      <c r="EG309" s="946"/>
      <c r="EH309" s="946"/>
      <c r="EI309" s="946"/>
      <c r="EJ309" s="946"/>
      <c r="EK309" s="946"/>
      <c r="EL309" s="946"/>
      <c r="EM309" s="946"/>
      <c r="EN309" s="946"/>
      <c r="EO309" s="946"/>
      <c r="EP309" s="946"/>
      <c r="EQ309" s="946"/>
      <c r="ER309" s="946"/>
      <c r="ES309" s="946"/>
      <c r="ET309" s="946"/>
      <c r="EU309" s="946"/>
      <c r="EV309" s="946"/>
      <c r="EW309" s="946"/>
      <c r="EX309" s="946"/>
      <c r="EY309" s="946"/>
      <c r="EZ309" s="946"/>
      <c r="FA309" s="946"/>
      <c r="FB309" s="946"/>
      <c r="FC309" s="946"/>
      <c r="FD309" s="946"/>
      <c r="FE309" s="946"/>
      <c r="FF309" s="946"/>
      <c r="FG309" s="946"/>
      <c r="FH309" s="946"/>
      <c r="FI309" s="946"/>
      <c r="FJ309" s="946"/>
      <c r="FK309" s="946"/>
      <c r="FL309" s="946"/>
      <c r="FM309" s="946"/>
      <c r="FN309" s="946"/>
      <c r="FO309" s="946"/>
      <c r="FP309" s="946"/>
      <c r="FQ309" s="946"/>
      <c r="FR309" s="946"/>
      <c r="FS309" s="946"/>
      <c r="FT309" s="946"/>
      <c r="FU309" s="946"/>
      <c r="FV309" s="946"/>
      <c r="FW309" s="946"/>
      <c r="FX309" s="946"/>
      <c r="FY309" s="946"/>
      <c r="FZ309" s="946"/>
      <c r="GA309" s="946"/>
      <c r="GB309" s="946"/>
      <c r="GC309" s="946"/>
      <c r="GD309" s="946"/>
      <c r="GE309" s="946"/>
      <c r="GF309" s="946"/>
      <c r="GG309" s="946"/>
      <c r="GH309" s="946"/>
      <c r="GI309" s="946"/>
      <c r="GJ309" s="946"/>
      <c r="GK309" s="946"/>
      <c r="GL309" s="946"/>
      <c r="GM309" s="946"/>
      <c r="GN309" s="946"/>
      <c r="GO309" s="946"/>
      <c r="GP309" s="946"/>
      <c r="GQ309" s="946"/>
    </row>
    <row r="310" spans="1:199" s="1104" customFormat="1" ht="38.25" customHeight="1" x14ac:dyDescent="0.2">
      <c r="A310" s="957"/>
      <c r="B310" s="958"/>
      <c r="C310" s="959"/>
      <c r="D310" s="958"/>
      <c r="E310" s="958"/>
      <c r="F310" s="959"/>
      <c r="G310" s="958"/>
      <c r="H310" s="958"/>
      <c r="I310" s="959"/>
      <c r="J310" s="4518"/>
      <c r="K310" s="4518"/>
      <c r="L310" s="4524"/>
      <c r="M310" s="4694"/>
      <c r="N310" s="4696"/>
      <c r="O310" s="4524"/>
      <c r="P310" s="4688"/>
      <c r="Q310" s="4521"/>
      <c r="R310" s="4531"/>
      <c r="S310" s="4534"/>
      <c r="T310" s="4521"/>
      <c r="U310" s="4524"/>
      <c r="V310" s="4690"/>
      <c r="W310" s="2623">
        <v>903327</v>
      </c>
      <c r="X310" s="1809">
        <v>0</v>
      </c>
      <c r="Y310" s="1809">
        <v>0</v>
      </c>
      <c r="Z310" s="1103">
        <v>152</v>
      </c>
      <c r="AA310" s="1106" t="s">
        <v>1181</v>
      </c>
      <c r="AB310" s="4524"/>
      <c r="AC310" s="4638"/>
      <c r="AD310" s="4524">
        <v>282326</v>
      </c>
      <c r="AE310" s="4638">
        <f t="shared" si="106"/>
        <v>104460.62</v>
      </c>
      <c r="AF310" s="4524">
        <v>135912</v>
      </c>
      <c r="AG310" s="4638">
        <f t="shared" si="107"/>
        <v>50287.44</v>
      </c>
      <c r="AH310" s="4524">
        <v>45122</v>
      </c>
      <c r="AI310" s="4638">
        <f t="shared" si="108"/>
        <v>16695.14</v>
      </c>
      <c r="AJ310" s="4524">
        <v>307101</v>
      </c>
      <c r="AK310" s="4638">
        <v>113627.37</v>
      </c>
      <c r="AL310" s="4524">
        <v>86875</v>
      </c>
      <c r="AM310" s="4638">
        <v>32143.75</v>
      </c>
      <c r="AN310" s="4524">
        <v>2145</v>
      </c>
      <c r="AO310" s="4638">
        <f t="shared" si="109"/>
        <v>793.65</v>
      </c>
      <c r="AP310" s="4524">
        <v>12718</v>
      </c>
      <c r="AQ310" s="4638">
        <f t="shared" si="110"/>
        <v>4705.66</v>
      </c>
      <c r="AR310" s="4524">
        <v>26</v>
      </c>
      <c r="AS310" s="4638">
        <f t="shared" si="111"/>
        <v>9.6199999999999992</v>
      </c>
      <c r="AT310" s="4524">
        <v>37</v>
      </c>
      <c r="AU310" s="4638">
        <f t="shared" si="112"/>
        <v>13.69</v>
      </c>
      <c r="AV310" s="4524" t="s">
        <v>767</v>
      </c>
      <c r="AW310" s="4638" t="s">
        <v>767</v>
      </c>
      <c r="AX310" s="4524" t="s">
        <v>767</v>
      </c>
      <c r="AY310" s="4638" t="s">
        <v>767</v>
      </c>
      <c r="AZ310" s="4524">
        <v>53164</v>
      </c>
      <c r="BA310" s="4638">
        <f t="shared" si="113"/>
        <v>19670.68</v>
      </c>
      <c r="BB310" s="4524">
        <v>16982</v>
      </c>
      <c r="BC310" s="4638">
        <f t="shared" si="114"/>
        <v>6283.34</v>
      </c>
      <c r="BD310" s="4524">
        <v>60013</v>
      </c>
      <c r="BE310" s="4638">
        <f t="shared" si="115"/>
        <v>22204.81</v>
      </c>
      <c r="BF310" s="4524">
        <v>575010</v>
      </c>
      <c r="BG310" s="4638">
        <f t="shared" si="116"/>
        <v>212753.7</v>
      </c>
      <c r="BH310" s="4543"/>
      <c r="BI310" s="4543"/>
      <c r="BJ310" s="4543"/>
      <c r="BK310" s="3185"/>
      <c r="BL310" s="4543"/>
      <c r="BM310" s="4543"/>
      <c r="BN310" s="4554"/>
      <c r="BO310" s="4554"/>
      <c r="BP310" s="4554"/>
      <c r="BQ310" s="4554"/>
      <c r="BR310" s="4557"/>
      <c r="BS310" s="946"/>
      <c r="BT310" s="946"/>
      <c r="BU310" s="946"/>
      <c r="BV310" s="946"/>
      <c r="BW310" s="946"/>
      <c r="BX310" s="946"/>
      <c r="BY310" s="946"/>
      <c r="BZ310" s="946"/>
      <c r="CA310" s="946"/>
      <c r="CB310" s="946"/>
      <c r="CC310" s="946"/>
      <c r="CD310" s="946"/>
      <c r="CE310" s="946"/>
      <c r="CF310" s="946"/>
      <c r="CG310" s="946"/>
      <c r="CH310" s="946"/>
      <c r="CI310" s="946"/>
      <c r="CJ310" s="946"/>
      <c r="CK310" s="946"/>
      <c r="CL310" s="946"/>
      <c r="CM310" s="946"/>
      <c r="CN310" s="946"/>
      <c r="CO310" s="946"/>
      <c r="CP310" s="946"/>
      <c r="CQ310" s="946"/>
      <c r="CR310" s="946"/>
      <c r="CS310" s="946"/>
      <c r="CT310" s="946"/>
      <c r="CU310" s="946"/>
      <c r="CV310" s="946"/>
      <c r="CW310" s="946"/>
      <c r="CX310" s="946"/>
      <c r="CY310" s="946"/>
      <c r="CZ310" s="946"/>
      <c r="DA310" s="946"/>
      <c r="DB310" s="946"/>
      <c r="DC310" s="946"/>
      <c r="DD310" s="946"/>
      <c r="DE310" s="946"/>
      <c r="DF310" s="946"/>
      <c r="DG310" s="946"/>
      <c r="DH310" s="946"/>
      <c r="DI310" s="946"/>
      <c r="DJ310" s="946"/>
      <c r="DK310" s="946"/>
      <c r="DL310" s="946"/>
      <c r="DM310" s="946"/>
      <c r="DN310" s="946"/>
      <c r="DO310" s="946"/>
      <c r="DP310" s="946"/>
      <c r="DQ310" s="946"/>
      <c r="DR310" s="946"/>
      <c r="DS310" s="946"/>
      <c r="DT310" s="946"/>
      <c r="DU310" s="946"/>
      <c r="DV310" s="946"/>
      <c r="DW310" s="946"/>
      <c r="DX310" s="946"/>
      <c r="DY310" s="946"/>
      <c r="DZ310" s="946"/>
      <c r="EA310" s="946"/>
      <c r="EB310" s="946"/>
      <c r="EC310" s="946"/>
      <c r="ED310" s="946"/>
      <c r="EE310" s="946"/>
      <c r="EF310" s="946"/>
      <c r="EG310" s="946"/>
      <c r="EH310" s="946"/>
      <c r="EI310" s="946"/>
      <c r="EJ310" s="946"/>
      <c r="EK310" s="946"/>
      <c r="EL310" s="946"/>
      <c r="EM310" s="946"/>
      <c r="EN310" s="946"/>
      <c r="EO310" s="946"/>
      <c r="EP310" s="946"/>
      <c r="EQ310" s="946"/>
      <c r="ER310" s="946"/>
      <c r="ES310" s="946"/>
      <c r="ET310" s="946"/>
      <c r="EU310" s="946"/>
      <c r="EV310" s="946"/>
      <c r="EW310" s="946"/>
      <c r="EX310" s="946"/>
      <c r="EY310" s="946"/>
      <c r="EZ310" s="946"/>
      <c r="FA310" s="946"/>
      <c r="FB310" s="946"/>
      <c r="FC310" s="946"/>
      <c r="FD310" s="946"/>
      <c r="FE310" s="946"/>
      <c r="FF310" s="946"/>
      <c r="FG310" s="946"/>
      <c r="FH310" s="946"/>
      <c r="FI310" s="946"/>
      <c r="FJ310" s="946"/>
      <c r="FK310" s="946"/>
      <c r="FL310" s="946"/>
      <c r="FM310" s="946"/>
      <c r="FN310" s="946"/>
      <c r="FO310" s="946"/>
      <c r="FP310" s="946"/>
      <c r="FQ310" s="946"/>
      <c r="FR310" s="946"/>
      <c r="FS310" s="946"/>
      <c r="FT310" s="946"/>
      <c r="FU310" s="946"/>
      <c r="FV310" s="946"/>
      <c r="FW310" s="946"/>
      <c r="FX310" s="946"/>
      <c r="FY310" s="946"/>
      <c r="FZ310" s="946"/>
      <c r="GA310" s="946"/>
      <c r="GB310" s="946"/>
      <c r="GC310" s="946"/>
      <c r="GD310" s="946"/>
      <c r="GE310" s="946"/>
      <c r="GF310" s="946"/>
      <c r="GG310" s="946"/>
      <c r="GH310" s="946"/>
      <c r="GI310" s="946"/>
      <c r="GJ310" s="946"/>
      <c r="GK310" s="946"/>
      <c r="GL310" s="946"/>
      <c r="GM310" s="946"/>
      <c r="GN310" s="946"/>
      <c r="GO310" s="946"/>
      <c r="GP310" s="946"/>
      <c r="GQ310" s="946"/>
    </row>
    <row r="311" spans="1:199" s="1104" customFormat="1" ht="38.25" customHeight="1" x14ac:dyDescent="0.2">
      <c r="A311" s="957"/>
      <c r="B311" s="958"/>
      <c r="C311" s="959"/>
      <c r="D311" s="958"/>
      <c r="E311" s="958"/>
      <c r="F311" s="959"/>
      <c r="G311" s="958"/>
      <c r="H311" s="958"/>
      <c r="I311" s="959"/>
      <c r="J311" s="4519"/>
      <c r="K311" s="4519"/>
      <c r="L311" s="4525"/>
      <c r="M311" s="4695"/>
      <c r="N311" s="4696"/>
      <c r="O311" s="4524"/>
      <c r="P311" s="4688"/>
      <c r="Q311" s="4521"/>
      <c r="R311" s="4532"/>
      <c r="S311" s="4534"/>
      <c r="T311" s="4521"/>
      <c r="U311" s="4525"/>
      <c r="V311" s="4691"/>
      <c r="W311" s="2623">
        <v>130836198</v>
      </c>
      <c r="X311" s="1809">
        <v>0</v>
      </c>
      <c r="Y311" s="1809">
        <v>0</v>
      </c>
      <c r="Z311" s="1103">
        <v>162</v>
      </c>
      <c r="AA311" s="1106" t="s">
        <v>1182</v>
      </c>
      <c r="AB311" s="4524"/>
      <c r="AC311" s="4638"/>
      <c r="AD311" s="4524">
        <v>282326</v>
      </c>
      <c r="AE311" s="4638">
        <f t="shared" si="106"/>
        <v>104460.62</v>
      </c>
      <c r="AF311" s="4524">
        <v>135912</v>
      </c>
      <c r="AG311" s="4638">
        <f t="shared" si="107"/>
        <v>50287.44</v>
      </c>
      <c r="AH311" s="4524">
        <v>45122</v>
      </c>
      <c r="AI311" s="4638">
        <f t="shared" si="108"/>
        <v>16695.14</v>
      </c>
      <c r="AJ311" s="4524">
        <v>307101</v>
      </c>
      <c r="AK311" s="4638">
        <v>113627.37</v>
      </c>
      <c r="AL311" s="4524">
        <v>86875</v>
      </c>
      <c r="AM311" s="4638">
        <v>32143.75</v>
      </c>
      <c r="AN311" s="4524">
        <v>2145</v>
      </c>
      <c r="AO311" s="4638">
        <f t="shared" si="109"/>
        <v>793.65</v>
      </c>
      <c r="AP311" s="4524">
        <v>12718</v>
      </c>
      <c r="AQ311" s="4638">
        <f t="shared" si="110"/>
        <v>4705.66</v>
      </c>
      <c r="AR311" s="4524">
        <v>26</v>
      </c>
      <c r="AS311" s="4638">
        <f t="shared" si="111"/>
        <v>9.6199999999999992</v>
      </c>
      <c r="AT311" s="4524">
        <v>37</v>
      </c>
      <c r="AU311" s="4638">
        <f t="shared" si="112"/>
        <v>13.69</v>
      </c>
      <c r="AV311" s="4524" t="s">
        <v>767</v>
      </c>
      <c r="AW311" s="4638" t="s">
        <v>767</v>
      </c>
      <c r="AX311" s="4524" t="s">
        <v>767</v>
      </c>
      <c r="AY311" s="4638" t="s">
        <v>767</v>
      </c>
      <c r="AZ311" s="4524">
        <v>53164</v>
      </c>
      <c r="BA311" s="4638">
        <f t="shared" si="113"/>
        <v>19670.68</v>
      </c>
      <c r="BB311" s="4524">
        <v>16982</v>
      </c>
      <c r="BC311" s="4638">
        <f t="shared" si="114"/>
        <v>6283.34</v>
      </c>
      <c r="BD311" s="4524">
        <v>60013</v>
      </c>
      <c r="BE311" s="4638">
        <f t="shared" si="115"/>
        <v>22204.81</v>
      </c>
      <c r="BF311" s="4524">
        <v>575010</v>
      </c>
      <c r="BG311" s="4638">
        <f t="shared" si="116"/>
        <v>212753.7</v>
      </c>
      <c r="BH311" s="4543"/>
      <c r="BI311" s="4543"/>
      <c r="BJ311" s="4543"/>
      <c r="BK311" s="3185"/>
      <c r="BL311" s="4543"/>
      <c r="BM311" s="4543"/>
      <c r="BN311" s="4554"/>
      <c r="BO311" s="4554"/>
      <c r="BP311" s="4554"/>
      <c r="BQ311" s="4554"/>
      <c r="BR311" s="4557"/>
      <c r="BS311" s="946"/>
      <c r="BT311" s="946"/>
      <c r="BU311" s="946"/>
      <c r="BV311" s="946"/>
      <c r="BW311" s="946"/>
      <c r="BX311" s="946"/>
      <c r="BY311" s="946"/>
      <c r="BZ311" s="946"/>
      <c r="CA311" s="946"/>
      <c r="CB311" s="946"/>
      <c r="CC311" s="946"/>
      <c r="CD311" s="946"/>
      <c r="CE311" s="946"/>
      <c r="CF311" s="946"/>
      <c r="CG311" s="946"/>
      <c r="CH311" s="946"/>
      <c r="CI311" s="946"/>
      <c r="CJ311" s="946"/>
      <c r="CK311" s="946"/>
      <c r="CL311" s="946"/>
      <c r="CM311" s="946"/>
      <c r="CN311" s="946"/>
      <c r="CO311" s="946"/>
      <c r="CP311" s="946"/>
      <c r="CQ311" s="946"/>
      <c r="CR311" s="946"/>
      <c r="CS311" s="946"/>
      <c r="CT311" s="946"/>
      <c r="CU311" s="946"/>
      <c r="CV311" s="946"/>
      <c r="CW311" s="946"/>
      <c r="CX311" s="946"/>
      <c r="CY311" s="946"/>
      <c r="CZ311" s="946"/>
      <c r="DA311" s="946"/>
      <c r="DB311" s="946"/>
      <c r="DC311" s="946"/>
      <c r="DD311" s="946"/>
      <c r="DE311" s="946"/>
      <c r="DF311" s="946"/>
      <c r="DG311" s="946"/>
      <c r="DH311" s="946"/>
      <c r="DI311" s="946"/>
      <c r="DJ311" s="946"/>
      <c r="DK311" s="946"/>
      <c r="DL311" s="946"/>
      <c r="DM311" s="946"/>
      <c r="DN311" s="946"/>
      <c r="DO311" s="946"/>
      <c r="DP311" s="946"/>
      <c r="DQ311" s="946"/>
      <c r="DR311" s="946"/>
      <c r="DS311" s="946"/>
      <c r="DT311" s="946"/>
      <c r="DU311" s="946"/>
      <c r="DV311" s="946"/>
      <c r="DW311" s="946"/>
      <c r="DX311" s="946"/>
      <c r="DY311" s="946"/>
      <c r="DZ311" s="946"/>
      <c r="EA311" s="946"/>
      <c r="EB311" s="946"/>
      <c r="EC311" s="946"/>
      <c r="ED311" s="946"/>
      <c r="EE311" s="946"/>
      <c r="EF311" s="946"/>
      <c r="EG311" s="946"/>
      <c r="EH311" s="946"/>
      <c r="EI311" s="946"/>
      <c r="EJ311" s="946"/>
      <c r="EK311" s="946"/>
      <c r="EL311" s="946"/>
      <c r="EM311" s="946"/>
      <c r="EN311" s="946"/>
      <c r="EO311" s="946"/>
      <c r="EP311" s="946"/>
      <c r="EQ311" s="946"/>
      <c r="ER311" s="946"/>
      <c r="ES311" s="946"/>
      <c r="ET311" s="946"/>
      <c r="EU311" s="946"/>
      <c r="EV311" s="946"/>
      <c r="EW311" s="946"/>
      <c r="EX311" s="946"/>
      <c r="EY311" s="946"/>
      <c r="EZ311" s="946"/>
      <c r="FA311" s="946"/>
      <c r="FB311" s="946"/>
      <c r="FC311" s="946"/>
      <c r="FD311" s="946"/>
      <c r="FE311" s="946"/>
      <c r="FF311" s="946"/>
      <c r="FG311" s="946"/>
      <c r="FH311" s="946"/>
      <c r="FI311" s="946"/>
      <c r="FJ311" s="946"/>
      <c r="FK311" s="946"/>
      <c r="FL311" s="946"/>
      <c r="FM311" s="946"/>
      <c r="FN311" s="946"/>
      <c r="FO311" s="946"/>
      <c r="FP311" s="946"/>
      <c r="FQ311" s="946"/>
      <c r="FR311" s="946"/>
      <c r="FS311" s="946"/>
      <c r="FT311" s="946"/>
      <c r="FU311" s="946"/>
      <c r="FV311" s="946"/>
      <c r="FW311" s="946"/>
      <c r="FX311" s="946"/>
      <c r="FY311" s="946"/>
      <c r="FZ311" s="946"/>
      <c r="GA311" s="946"/>
      <c r="GB311" s="946"/>
      <c r="GC311" s="946"/>
      <c r="GD311" s="946"/>
      <c r="GE311" s="946"/>
      <c r="GF311" s="946"/>
      <c r="GG311" s="946"/>
      <c r="GH311" s="946"/>
      <c r="GI311" s="946"/>
      <c r="GJ311" s="946"/>
      <c r="GK311" s="946"/>
      <c r="GL311" s="946"/>
      <c r="GM311" s="946"/>
      <c r="GN311" s="946"/>
      <c r="GO311" s="946"/>
      <c r="GP311" s="946"/>
      <c r="GQ311" s="946"/>
    </row>
    <row r="312" spans="1:199" ht="61.5" customHeight="1" x14ac:dyDescent="0.2">
      <c r="A312" s="957"/>
      <c r="B312" s="958"/>
      <c r="C312" s="959"/>
      <c r="D312" s="958"/>
      <c r="E312" s="958"/>
      <c r="F312" s="959"/>
      <c r="G312" s="958"/>
      <c r="H312" s="958"/>
      <c r="I312" s="959"/>
      <c r="J312" s="4517">
        <v>168</v>
      </c>
      <c r="K312" s="4600" t="s">
        <v>1183</v>
      </c>
      <c r="L312" s="4523" t="s">
        <v>759</v>
      </c>
      <c r="M312" s="4523">
        <v>14</v>
      </c>
      <c r="N312" s="4526">
        <v>4</v>
      </c>
      <c r="O312" s="4524"/>
      <c r="P312" s="4688"/>
      <c r="Q312" s="4521"/>
      <c r="R312" s="4530">
        <v>0</v>
      </c>
      <c r="S312" s="4534"/>
      <c r="T312" s="4521"/>
      <c r="U312" s="4548" t="s">
        <v>1184</v>
      </c>
      <c r="V312" s="1078" t="s">
        <v>1185</v>
      </c>
      <c r="W312" s="2624">
        <v>0</v>
      </c>
      <c r="X312" s="1809">
        <v>0</v>
      </c>
      <c r="Y312" s="1809">
        <v>0</v>
      </c>
      <c r="Z312" s="1103"/>
      <c r="AA312" s="1107"/>
      <c r="AB312" s="4524"/>
      <c r="AC312" s="4638"/>
      <c r="AD312" s="4524">
        <v>282326</v>
      </c>
      <c r="AE312" s="4638">
        <f t="shared" si="106"/>
        <v>104460.62</v>
      </c>
      <c r="AF312" s="4524">
        <v>135912</v>
      </c>
      <c r="AG312" s="4638">
        <f t="shared" si="107"/>
        <v>50287.44</v>
      </c>
      <c r="AH312" s="4524">
        <v>45122</v>
      </c>
      <c r="AI312" s="4638">
        <f t="shared" si="108"/>
        <v>16695.14</v>
      </c>
      <c r="AJ312" s="4524">
        <v>307101</v>
      </c>
      <c r="AK312" s="4638">
        <v>113627.37</v>
      </c>
      <c r="AL312" s="4524">
        <v>86875</v>
      </c>
      <c r="AM312" s="4638">
        <v>32143.75</v>
      </c>
      <c r="AN312" s="4524">
        <v>2145</v>
      </c>
      <c r="AO312" s="4638">
        <f t="shared" si="109"/>
        <v>793.65</v>
      </c>
      <c r="AP312" s="4524">
        <v>12718</v>
      </c>
      <c r="AQ312" s="4638">
        <f t="shared" si="110"/>
        <v>4705.66</v>
      </c>
      <c r="AR312" s="4524">
        <v>26</v>
      </c>
      <c r="AS312" s="4638">
        <f t="shared" si="111"/>
        <v>9.6199999999999992</v>
      </c>
      <c r="AT312" s="4524">
        <v>37</v>
      </c>
      <c r="AU312" s="4638">
        <f t="shared" si="112"/>
        <v>13.69</v>
      </c>
      <c r="AV312" s="4524" t="s">
        <v>767</v>
      </c>
      <c r="AW312" s="4638" t="s">
        <v>767</v>
      </c>
      <c r="AX312" s="4524" t="s">
        <v>767</v>
      </c>
      <c r="AY312" s="4638" t="s">
        <v>767</v>
      </c>
      <c r="AZ312" s="4524">
        <v>53164</v>
      </c>
      <c r="BA312" s="4638">
        <f t="shared" si="113"/>
        <v>19670.68</v>
      </c>
      <c r="BB312" s="4524">
        <v>16982</v>
      </c>
      <c r="BC312" s="4638">
        <f t="shared" si="114"/>
        <v>6283.34</v>
      </c>
      <c r="BD312" s="4524">
        <v>60013</v>
      </c>
      <c r="BE312" s="4638">
        <f t="shared" si="115"/>
        <v>22204.81</v>
      </c>
      <c r="BF312" s="4524">
        <v>575010</v>
      </c>
      <c r="BG312" s="4638">
        <f t="shared" si="116"/>
        <v>212753.7</v>
      </c>
      <c r="BH312" s="4543"/>
      <c r="BI312" s="4543"/>
      <c r="BJ312" s="4543"/>
      <c r="BK312" s="3185"/>
      <c r="BL312" s="4543"/>
      <c r="BM312" s="4543"/>
      <c r="BN312" s="4554"/>
      <c r="BO312" s="4554"/>
      <c r="BP312" s="4554"/>
      <c r="BQ312" s="4554"/>
      <c r="BR312" s="4557"/>
    </row>
    <row r="313" spans="1:199" ht="51.75" customHeight="1" x14ac:dyDescent="0.2">
      <c r="A313" s="957"/>
      <c r="B313" s="958"/>
      <c r="C313" s="959"/>
      <c r="D313" s="958"/>
      <c r="E313" s="958"/>
      <c r="F313" s="959"/>
      <c r="G313" s="1108"/>
      <c r="H313" s="1108"/>
      <c r="I313" s="1109"/>
      <c r="J313" s="4519"/>
      <c r="K313" s="4603"/>
      <c r="L313" s="4524"/>
      <c r="M313" s="4524"/>
      <c r="N313" s="4526"/>
      <c r="O313" s="4525"/>
      <c r="P313" s="4688"/>
      <c r="Q313" s="4521"/>
      <c r="R313" s="4532"/>
      <c r="S313" s="4534"/>
      <c r="T313" s="4521"/>
      <c r="U313" s="4550"/>
      <c r="V313" s="1110" t="s">
        <v>1186</v>
      </c>
      <c r="W313" s="1809"/>
      <c r="X313" s="1809">
        <v>0</v>
      </c>
      <c r="Y313" s="1809">
        <v>0</v>
      </c>
      <c r="Z313" s="1103"/>
      <c r="AA313" s="1080"/>
      <c r="AB313" s="4525"/>
      <c r="AC313" s="4639"/>
      <c r="AD313" s="4525">
        <v>282326</v>
      </c>
      <c r="AE313" s="4639">
        <f t="shared" si="106"/>
        <v>104460.62</v>
      </c>
      <c r="AF313" s="4525">
        <v>135912</v>
      </c>
      <c r="AG313" s="4639">
        <f t="shared" si="107"/>
        <v>50287.44</v>
      </c>
      <c r="AH313" s="4525">
        <v>45122</v>
      </c>
      <c r="AI313" s="4639">
        <f t="shared" si="108"/>
        <v>16695.14</v>
      </c>
      <c r="AJ313" s="4525">
        <v>307101</v>
      </c>
      <c r="AK313" s="4639">
        <v>113627.37</v>
      </c>
      <c r="AL313" s="4525">
        <v>86875</v>
      </c>
      <c r="AM313" s="4639">
        <v>32143.75</v>
      </c>
      <c r="AN313" s="4525">
        <v>2145</v>
      </c>
      <c r="AO313" s="4639">
        <f t="shared" si="109"/>
        <v>793.65</v>
      </c>
      <c r="AP313" s="4525">
        <v>12718</v>
      </c>
      <c r="AQ313" s="4639">
        <f t="shared" si="110"/>
        <v>4705.66</v>
      </c>
      <c r="AR313" s="4525">
        <v>26</v>
      </c>
      <c r="AS313" s="4639">
        <f t="shared" si="111"/>
        <v>9.6199999999999992</v>
      </c>
      <c r="AT313" s="4525">
        <v>37</v>
      </c>
      <c r="AU313" s="4639">
        <f t="shared" si="112"/>
        <v>13.69</v>
      </c>
      <c r="AV313" s="4525" t="s">
        <v>767</v>
      </c>
      <c r="AW313" s="4639" t="s">
        <v>767</v>
      </c>
      <c r="AX313" s="4525" t="s">
        <v>767</v>
      </c>
      <c r="AY313" s="4639" t="s">
        <v>767</v>
      </c>
      <c r="AZ313" s="4525">
        <v>53164</v>
      </c>
      <c r="BA313" s="4639">
        <f t="shared" si="113"/>
        <v>19670.68</v>
      </c>
      <c r="BB313" s="4525">
        <v>16982</v>
      </c>
      <c r="BC313" s="4639">
        <f t="shared" si="114"/>
        <v>6283.34</v>
      </c>
      <c r="BD313" s="4525">
        <v>60013</v>
      </c>
      <c r="BE313" s="4639">
        <f t="shared" si="115"/>
        <v>22204.81</v>
      </c>
      <c r="BF313" s="4525">
        <v>575010</v>
      </c>
      <c r="BG313" s="4639">
        <f t="shared" si="116"/>
        <v>212753.7</v>
      </c>
      <c r="BH313" s="4544"/>
      <c r="BI313" s="4544"/>
      <c r="BJ313" s="4544"/>
      <c r="BK313" s="3186"/>
      <c r="BL313" s="4544"/>
      <c r="BM313" s="4544"/>
      <c r="BN313" s="4554"/>
      <c r="BO313" s="4555"/>
      <c r="BP313" s="4554"/>
      <c r="BQ313" s="4555"/>
      <c r="BR313" s="4558"/>
    </row>
    <row r="314" spans="1:199" ht="36" customHeight="1" x14ac:dyDescent="0.2">
      <c r="A314" s="957"/>
      <c r="B314" s="958"/>
      <c r="C314" s="959"/>
      <c r="D314" s="958"/>
      <c r="E314" s="958"/>
      <c r="F314" s="959"/>
      <c r="G314" s="1111">
        <v>51</v>
      </c>
      <c r="H314" s="1112" t="s">
        <v>1187</v>
      </c>
      <c r="I314" s="1112"/>
      <c r="J314" s="1089"/>
      <c r="K314" s="1090"/>
      <c r="L314" s="963"/>
      <c r="M314" s="963"/>
      <c r="N314" s="963"/>
      <c r="O314" s="965"/>
      <c r="P314" s="992"/>
      <c r="Q314" s="964"/>
      <c r="R314" s="963"/>
      <c r="S314" s="993"/>
      <c r="T314" s="963"/>
      <c r="U314" s="964"/>
      <c r="V314" s="964"/>
      <c r="W314" s="2625"/>
      <c r="X314" s="2625"/>
      <c r="Y314" s="2625"/>
      <c r="Z314" s="994"/>
      <c r="AA314" s="965"/>
      <c r="AB314" s="965"/>
      <c r="AC314" s="965"/>
      <c r="AD314" s="965"/>
      <c r="AE314" s="965"/>
      <c r="AF314" s="4692"/>
      <c r="AG314" s="4692"/>
      <c r="AH314" s="4692"/>
      <c r="AI314" s="4692"/>
      <c r="AJ314" s="4692"/>
      <c r="AK314" s="4692"/>
      <c r="AL314" s="4692"/>
      <c r="AM314" s="4692"/>
      <c r="AN314" s="4692"/>
      <c r="AO314" s="4692"/>
      <c r="AP314" s="4692"/>
      <c r="AQ314" s="4692"/>
      <c r="AR314" s="4692"/>
      <c r="AS314" s="4692"/>
      <c r="AT314" s="4692"/>
      <c r="AU314" s="4692"/>
      <c r="AV314" s="4692"/>
      <c r="AW314" s="4692"/>
      <c r="AX314" s="4692"/>
      <c r="AY314" s="4692"/>
      <c r="AZ314" s="4692"/>
      <c r="BA314" s="4692"/>
      <c r="BB314" s="4692"/>
      <c r="BC314" s="4692"/>
      <c r="BD314" s="4692"/>
      <c r="BE314" s="1113"/>
      <c r="BF314" s="1114"/>
      <c r="BG314" s="1114"/>
      <c r="BH314" s="1114"/>
      <c r="BI314" s="1114"/>
      <c r="BJ314" s="1114"/>
      <c r="BK314" s="1114"/>
      <c r="BL314" s="1114"/>
      <c r="BM314" s="1114"/>
      <c r="BN314" s="963"/>
      <c r="BO314" s="963"/>
      <c r="BP314" s="963"/>
      <c r="BQ314" s="963"/>
      <c r="BR314" s="970"/>
    </row>
    <row r="315" spans="1:199" ht="67.5" customHeight="1" x14ac:dyDescent="0.2">
      <c r="A315" s="1115"/>
      <c r="B315" s="1116"/>
      <c r="C315" s="1055"/>
      <c r="D315" s="1116"/>
      <c r="E315" s="1116"/>
      <c r="F315" s="1055"/>
      <c r="G315" s="1117"/>
      <c r="H315" s="1117"/>
      <c r="I315" s="1118"/>
      <c r="J315" s="4523">
        <v>169</v>
      </c>
      <c r="K315" s="4520" t="s">
        <v>1188</v>
      </c>
      <c r="L315" s="4523" t="s">
        <v>759</v>
      </c>
      <c r="M315" s="4523">
        <v>12</v>
      </c>
      <c r="N315" s="4526">
        <v>6</v>
      </c>
      <c r="O315" s="4523" t="s">
        <v>1189</v>
      </c>
      <c r="P315" s="4527" t="s">
        <v>1190</v>
      </c>
      <c r="Q315" s="4520" t="s">
        <v>1191</v>
      </c>
      <c r="R315" s="4530">
        <v>1</v>
      </c>
      <c r="S315" s="4533">
        <f>SUM(W315+W316+W317)</f>
        <v>58080000</v>
      </c>
      <c r="T315" s="4520" t="s">
        <v>1192</v>
      </c>
      <c r="U315" s="1005" t="s">
        <v>1193</v>
      </c>
      <c r="V315" s="1005" t="s">
        <v>1194</v>
      </c>
      <c r="W315" s="2601">
        <v>19360000</v>
      </c>
      <c r="X315" s="1809">
        <v>4664000</v>
      </c>
      <c r="Y315" s="1809">
        <v>4664000</v>
      </c>
      <c r="Z315" s="977">
        <v>20</v>
      </c>
      <c r="AA315" s="1062" t="s">
        <v>86</v>
      </c>
      <c r="AB315" s="1008">
        <v>292684</v>
      </c>
      <c r="AC315" s="1119">
        <f>SUM(AB315*0.84)</f>
        <v>245854.56</v>
      </c>
      <c r="AD315" s="1008">
        <v>282326</v>
      </c>
      <c r="AE315" s="1119">
        <f>SUM(AD315*0.84)</f>
        <v>237153.84</v>
      </c>
      <c r="AF315" s="1008">
        <v>135912</v>
      </c>
      <c r="AG315" s="1119">
        <f>SUM(AF315*0.84)</f>
        <v>114166.08</v>
      </c>
      <c r="AH315" s="1008">
        <v>45122</v>
      </c>
      <c r="AI315" s="1119">
        <f>SUM(AH315*0.84)</f>
        <v>37902.479999999996</v>
      </c>
      <c r="AJ315" s="1008">
        <v>307101</v>
      </c>
      <c r="AK315" s="1119">
        <v>257964.84</v>
      </c>
      <c r="AL315" s="1008">
        <v>86875</v>
      </c>
      <c r="AM315" s="1119">
        <f>SUM(AL315*0.84)</f>
        <v>72975</v>
      </c>
      <c r="AN315" s="1008">
        <v>2145</v>
      </c>
      <c r="AO315" s="1119">
        <f>SUM(AN315*0.84)</f>
        <v>1801.8</v>
      </c>
      <c r="AP315" s="1008">
        <v>12718</v>
      </c>
      <c r="AQ315" s="1119">
        <f>SUM(AP315*0.84)</f>
        <v>10683.119999999999</v>
      </c>
      <c r="AR315" s="1008">
        <v>26</v>
      </c>
      <c r="AS315" s="1119">
        <f>SUM(AR315*0.84)</f>
        <v>21.84</v>
      </c>
      <c r="AT315" s="1008">
        <v>37</v>
      </c>
      <c r="AU315" s="1119">
        <f>SUM(AT315*0.84)</f>
        <v>31.08</v>
      </c>
      <c r="AV315" s="1008" t="s">
        <v>767</v>
      </c>
      <c r="AW315" s="1119" t="s">
        <v>767</v>
      </c>
      <c r="AX315" s="1008" t="s">
        <v>767</v>
      </c>
      <c r="AY315" s="1119" t="s">
        <v>767</v>
      </c>
      <c r="AZ315" s="1008">
        <v>53164</v>
      </c>
      <c r="BA315" s="1119">
        <f>SUM(AZ315*0.84)</f>
        <v>44657.759999999995</v>
      </c>
      <c r="BB315" s="1008">
        <v>16982</v>
      </c>
      <c r="BC315" s="1119">
        <f>SUM(BB315*0.84)</f>
        <v>14264.88</v>
      </c>
      <c r="BD315" s="1008">
        <v>60013</v>
      </c>
      <c r="BE315" s="1119">
        <f>SUM(BD315*0.84)</f>
        <v>50410.92</v>
      </c>
      <c r="BF315" s="1008">
        <v>575010</v>
      </c>
      <c r="BG315" s="1119">
        <f>SUM(BF315*0.84)</f>
        <v>483008.39999999997</v>
      </c>
      <c r="BH315" s="4698">
        <v>4</v>
      </c>
      <c r="BI315" s="4701">
        <f>SUM(X315:X317)</f>
        <v>13990000</v>
      </c>
      <c r="BJ315" s="4701">
        <f>SUM(Y315:Y317)</f>
        <v>13990000</v>
      </c>
      <c r="BK315" s="3184">
        <f>+BJ315/BI315</f>
        <v>1</v>
      </c>
      <c r="BL315" s="4542">
        <v>20</v>
      </c>
      <c r="BM315" s="4542" t="s">
        <v>1140</v>
      </c>
      <c r="BN315" s="4656">
        <v>43467</v>
      </c>
      <c r="BO315" s="4553">
        <v>43830</v>
      </c>
      <c r="BP315" s="4656">
        <v>43830</v>
      </c>
      <c r="BQ315" s="4553">
        <v>43830</v>
      </c>
      <c r="BR315" s="4556" t="s">
        <v>770</v>
      </c>
    </row>
    <row r="316" spans="1:199" ht="67.5" customHeight="1" x14ac:dyDescent="0.2">
      <c r="A316" s="1115"/>
      <c r="B316" s="1116"/>
      <c r="C316" s="1055"/>
      <c r="D316" s="1116"/>
      <c r="E316" s="1116"/>
      <c r="F316" s="1055"/>
      <c r="G316" s="1116"/>
      <c r="H316" s="1116"/>
      <c r="I316" s="1055"/>
      <c r="J316" s="4524"/>
      <c r="K316" s="4521"/>
      <c r="L316" s="4524"/>
      <c r="M316" s="4524"/>
      <c r="N316" s="4526"/>
      <c r="O316" s="4524"/>
      <c r="P316" s="4528"/>
      <c r="Q316" s="4521"/>
      <c r="R316" s="4531"/>
      <c r="S316" s="4534"/>
      <c r="T316" s="4521"/>
      <c r="U316" s="1005" t="s">
        <v>1195</v>
      </c>
      <c r="V316" s="1005" t="s">
        <v>1196</v>
      </c>
      <c r="W316" s="2601">
        <v>19360000</v>
      </c>
      <c r="X316" s="1809">
        <v>4663000</v>
      </c>
      <c r="Y316" s="1809">
        <v>4663000</v>
      </c>
      <c r="Z316" s="977">
        <v>20</v>
      </c>
      <c r="AA316" s="1062" t="s">
        <v>86</v>
      </c>
      <c r="AB316" s="1120"/>
      <c r="AC316" s="1121"/>
      <c r="AD316" s="1120">
        <v>282326</v>
      </c>
      <c r="AE316" s="1121">
        <f>SUM(AD316*0.84)</f>
        <v>237153.84</v>
      </c>
      <c r="AF316" s="1120">
        <v>135912</v>
      </c>
      <c r="AG316" s="1121">
        <f>SUM(AF316*0.84)</f>
        <v>114166.08</v>
      </c>
      <c r="AH316" s="1120">
        <v>45122</v>
      </c>
      <c r="AI316" s="1121">
        <f>SUM(AH316*0.84)</f>
        <v>37902.479999999996</v>
      </c>
      <c r="AJ316" s="1120">
        <v>307101</v>
      </c>
      <c r="AK316" s="1121">
        <v>257964.84</v>
      </c>
      <c r="AL316" s="1120">
        <v>86875</v>
      </c>
      <c r="AM316" s="1121">
        <f>SUM(AL316*0.84)</f>
        <v>72975</v>
      </c>
      <c r="AN316" s="1120">
        <v>2145</v>
      </c>
      <c r="AO316" s="1121">
        <f>SUM(AN316*0.84)</f>
        <v>1801.8</v>
      </c>
      <c r="AP316" s="1120">
        <v>12718</v>
      </c>
      <c r="AQ316" s="1121">
        <f>SUM(AP316*0.84)</f>
        <v>10683.119999999999</v>
      </c>
      <c r="AR316" s="1120">
        <v>26</v>
      </c>
      <c r="AS316" s="1121">
        <f>SUM(AR316*0.84)</f>
        <v>21.84</v>
      </c>
      <c r="AT316" s="1120">
        <v>37</v>
      </c>
      <c r="AU316" s="1121">
        <f>SUM(AT316*0.84)</f>
        <v>31.08</v>
      </c>
      <c r="AV316" s="1120" t="s">
        <v>767</v>
      </c>
      <c r="AW316" s="1121" t="s">
        <v>767</v>
      </c>
      <c r="AX316" s="1120" t="s">
        <v>767</v>
      </c>
      <c r="AY316" s="1121" t="s">
        <v>767</v>
      </c>
      <c r="AZ316" s="1120">
        <v>53164</v>
      </c>
      <c r="BA316" s="1121">
        <f>SUM(AZ316*0.84)</f>
        <v>44657.759999999995</v>
      </c>
      <c r="BB316" s="1120">
        <v>16982</v>
      </c>
      <c r="BC316" s="1121">
        <f>SUM(BB316*0.84)</f>
        <v>14264.88</v>
      </c>
      <c r="BD316" s="1120">
        <v>60013</v>
      </c>
      <c r="BE316" s="1121">
        <f>SUM(BD316*0.84)</f>
        <v>50410.92</v>
      </c>
      <c r="BF316" s="1120">
        <v>575010</v>
      </c>
      <c r="BG316" s="1121">
        <f>SUM(BF316*0.84)</f>
        <v>483008.39999999997</v>
      </c>
      <c r="BH316" s="4699"/>
      <c r="BI316" s="4702"/>
      <c r="BJ316" s="4702"/>
      <c r="BK316" s="3185"/>
      <c r="BL316" s="4543"/>
      <c r="BM316" s="4543"/>
      <c r="BN316" s="4656"/>
      <c r="BO316" s="4554"/>
      <c r="BP316" s="4656"/>
      <c r="BQ316" s="4554"/>
      <c r="BR316" s="4557"/>
    </row>
    <row r="317" spans="1:199" ht="71.25" x14ac:dyDescent="0.2">
      <c r="A317" s="971"/>
      <c r="B317" s="972"/>
      <c r="C317" s="973"/>
      <c r="D317" s="972"/>
      <c r="E317" s="972"/>
      <c r="F317" s="973"/>
      <c r="G317" s="981"/>
      <c r="H317" s="981"/>
      <c r="I317" s="982"/>
      <c r="J317" s="4525"/>
      <c r="K317" s="4522"/>
      <c r="L317" s="4525"/>
      <c r="M317" s="4525"/>
      <c r="N317" s="4526"/>
      <c r="O317" s="4525"/>
      <c r="P317" s="4529"/>
      <c r="Q317" s="4522"/>
      <c r="R317" s="4532"/>
      <c r="S317" s="4535"/>
      <c r="T317" s="4522"/>
      <c r="U317" s="1005" t="s">
        <v>1183</v>
      </c>
      <c r="V317" s="1005" t="s">
        <v>1197</v>
      </c>
      <c r="W317" s="2601">
        <v>19360000</v>
      </c>
      <c r="X317" s="1809">
        <v>4663000</v>
      </c>
      <c r="Y317" s="1809">
        <v>4663000</v>
      </c>
      <c r="Z317" s="977">
        <v>20</v>
      </c>
      <c r="AA317" s="1062" t="s">
        <v>86</v>
      </c>
      <c r="AB317" s="1107"/>
      <c r="AC317" s="1122"/>
      <c r="AD317" s="1107">
        <v>282326</v>
      </c>
      <c r="AE317" s="1122">
        <f>SUM(AD317*0.84)</f>
        <v>237153.84</v>
      </c>
      <c r="AF317" s="1107">
        <v>135912</v>
      </c>
      <c r="AG317" s="1122">
        <f>SUM(AF317*0.84)</f>
        <v>114166.08</v>
      </c>
      <c r="AH317" s="1107">
        <v>45122</v>
      </c>
      <c r="AI317" s="1122">
        <f>SUM(AH317*0.84)</f>
        <v>37902.479999999996</v>
      </c>
      <c r="AJ317" s="1107">
        <v>307101</v>
      </c>
      <c r="AK317" s="1122">
        <v>257964.84</v>
      </c>
      <c r="AL317" s="1107">
        <v>86875</v>
      </c>
      <c r="AM317" s="1122">
        <f>SUM(AL317*0.84)</f>
        <v>72975</v>
      </c>
      <c r="AN317" s="1107">
        <v>2145</v>
      </c>
      <c r="AO317" s="1122">
        <f>SUM(AN317*0.84)</f>
        <v>1801.8</v>
      </c>
      <c r="AP317" s="1107">
        <v>12718</v>
      </c>
      <c r="AQ317" s="1122">
        <f>SUM(AP317*0.84)</f>
        <v>10683.119999999999</v>
      </c>
      <c r="AR317" s="1107">
        <v>26</v>
      </c>
      <c r="AS317" s="1122">
        <f>SUM(AR317*0.84)</f>
        <v>21.84</v>
      </c>
      <c r="AT317" s="1107">
        <v>37</v>
      </c>
      <c r="AU317" s="1122">
        <f>SUM(AT317*0.84)</f>
        <v>31.08</v>
      </c>
      <c r="AV317" s="1107" t="s">
        <v>767</v>
      </c>
      <c r="AW317" s="1122" t="s">
        <v>767</v>
      </c>
      <c r="AX317" s="1107" t="s">
        <v>767</v>
      </c>
      <c r="AY317" s="1122" t="s">
        <v>767</v>
      </c>
      <c r="AZ317" s="1107">
        <v>53164</v>
      </c>
      <c r="BA317" s="1122">
        <f>SUM(AZ317*0.84)</f>
        <v>44657.759999999995</v>
      </c>
      <c r="BB317" s="1107">
        <v>16982</v>
      </c>
      <c r="BC317" s="1122">
        <f>SUM(BB317*0.84)</f>
        <v>14264.88</v>
      </c>
      <c r="BD317" s="1107">
        <v>60013</v>
      </c>
      <c r="BE317" s="1122">
        <f>SUM(BD317*0.84)</f>
        <v>50410.92</v>
      </c>
      <c r="BF317" s="1107">
        <v>575010</v>
      </c>
      <c r="BG317" s="1122">
        <f>SUM(BF317*0.84)</f>
        <v>483008.39999999997</v>
      </c>
      <c r="BH317" s="4700"/>
      <c r="BI317" s="4703"/>
      <c r="BJ317" s="4703"/>
      <c r="BK317" s="3186"/>
      <c r="BL317" s="4544"/>
      <c r="BM317" s="4544"/>
      <c r="BN317" s="4656"/>
      <c r="BO317" s="4555"/>
      <c r="BP317" s="4656"/>
      <c r="BQ317" s="4555"/>
      <c r="BR317" s="4558"/>
    </row>
    <row r="318" spans="1:199" ht="36" customHeight="1" x14ac:dyDescent="0.2">
      <c r="A318" s="957"/>
      <c r="B318" s="958"/>
      <c r="C318" s="959"/>
      <c r="D318" s="958"/>
      <c r="E318" s="958"/>
      <c r="F318" s="959"/>
      <c r="G318" s="991">
        <v>52</v>
      </c>
      <c r="H318" s="963" t="s">
        <v>1198</v>
      </c>
      <c r="I318" s="963"/>
      <c r="J318" s="963"/>
      <c r="K318" s="964"/>
      <c r="L318" s="963"/>
      <c r="M318" s="963"/>
      <c r="N318" s="963"/>
      <c r="O318" s="965"/>
      <c r="P318" s="992"/>
      <c r="Q318" s="964"/>
      <c r="R318" s="963"/>
      <c r="S318" s="993"/>
      <c r="T318" s="963"/>
      <c r="U318" s="964"/>
      <c r="V318" s="964"/>
      <c r="W318" s="2607"/>
      <c r="X318" s="2607"/>
      <c r="Y318" s="2607"/>
      <c r="Z318" s="994"/>
      <c r="AA318" s="965"/>
      <c r="AB318" s="965"/>
      <c r="AC318" s="965"/>
      <c r="AD318" s="965"/>
      <c r="AE318" s="965"/>
      <c r="AF318" s="4697"/>
      <c r="AG318" s="4692"/>
      <c r="AH318" s="4692"/>
      <c r="AI318" s="4692"/>
      <c r="AJ318" s="4692"/>
      <c r="AK318" s="4692"/>
      <c r="AL318" s="4692"/>
      <c r="AM318" s="4692"/>
      <c r="AN318" s="4692"/>
      <c r="AO318" s="4692"/>
      <c r="AP318" s="4692"/>
      <c r="AQ318" s="4692"/>
      <c r="AR318" s="4692"/>
      <c r="AS318" s="4692"/>
      <c r="AT318" s="4692"/>
      <c r="AU318" s="4692"/>
      <c r="AV318" s="4692"/>
      <c r="AW318" s="4692"/>
      <c r="AX318" s="4692"/>
      <c r="AY318" s="4692"/>
      <c r="AZ318" s="4692"/>
      <c r="BA318" s="4692"/>
      <c r="BB318" s="4692"/>
      <c r="BC318" s="4692"/>
      <c r="BD318" s="4692"/>
      <c r="BE318" s="1123"/>
      <c r="BF318" s="1124"/>
      <c r="BG318" s="1124"/>
      <c r="BH318" s="1124"/>
      <c r="BI318" s="1124"/>
      <c r="BJ318" s="1124"/>
      <c r="BK318" s="1124"/>
      <c r="BL318" s="1124"/>
      <c r="BM318" s="1124"/>
      <c r="BN318" s="963"/>
      <c r="BO318" s="963"/>
      <c r="BP318" s="963"/>
      <c r="BQ318" s="963"/>
      <c r="BR318" s="970"/>
    </row>
    <row r="319" spans="1:199" ht="39.75" customHeight="1" x14ac:dyDescent="0.2">
      <c r="A319" s="995"/>
      <c r="B319" s="996"/>
      <c r="C319" s="997"/>
      <c r="D319" s="996"/>
      <c r="E319" s="996"/>
      <c r="F319" s="997"/>
      <c r="G319" s="999"/>
      <c r="H319" s="999"/>
      <c r="I319" s="1000"/>
      <c r="J319" s="4517">
        <v>170</v>
      </c>
      <c r="K319" s="4548" t="s">
        <v>1199</v>
      </c>
      <c r="L319" s="4523" t="s">
        <v>759</v>
      </c>
      <c r="M319" s="4523">
        <v>14</v>
      </c>
      <c r="N319" s="4526">
        <v>0</v>
      </c>
      <c r="O319" s="4523" t="s">
        <v>1200</v>
      </c>
      <c r="P319" s="4527" t="s">
        <v>1201</v>
      </c>
      <c r="Q319" s="4523" t="s">
        <v>1202</v>
      </c>
      <c r="R319" s="4530">
        <f>(W319+W321+W320)/S319</f>
        <v>0.5</v>
      </c>
      <c r="S319" s="4533">
        <f>SUM(W319:W323)</f>
        <v>20000000</v>
      </c>
      <c r="T319" s="4520" t="s">
        <v>1203</v>
      </c>
      <c r="U319" s="4520" t="s">
        <v>1204</v>
      </c>
      <c r="V319" s="1125" t="s">
        <v>1205</v>
      </c>
      <c r="W319" s="2626">
        <v>3000000</v>
      </c>
      <c r="X319" s="2627">
        <v>0</v>
      </c>
      <c r="Y319" s="2627">
        <v>0</v>
      </c>
      <c r="Z319" s="977">
        <v>20</v>
      </c>
      <c r="AA319" s="1008" t="s">
        <v>86</v>
      </c>
      <c r="AB319" s="4640">
        <v>292684</v>
      </c>
      <c r="AC319" s="4637">
        <f t="shared" ref="AC319:AC331" si="117">SUM(AB319*0.84)</f>
        <v>245854.56</v>
      </c>
      <c r="AD319" s="4640">
        <v>282326</v>
      </c>
      <c r="AE319" s="4637">
        <f t="shared" ref="AE319:AE331" si="118">SUM(AD319*0.84)</f>
        <v>237153.84</v>
      </c>
      <c r="AF319" s="4640">
        <v>135912</v>
      </c>
      <c r="AG319" s="4637">
        <f t="shared" ref="AG319:AG331" si="119">SUM(AF319*0.84)</f>
        <v>114166.08</v>
      </c>
      <c r="AH319" s="4640">
        <v>45122</v>
      </c>
      <c r="AI319" s="4637">
        <f t="shared" ref="AI319:AI331" si="120">SUM(AH319*0.84)</f>
        <v>37902.479999999996</v>
      </c>
      <c r="AJ319" s="4640">
        <v>307101</v>
      </c>
      <c r="AK319" s="4637">
        <v>257964.84</v>
      </c>
      <c r="AL319" s="4640">
        <v>86875</v>
      </c>
      <c r="AM319" s="4637">
        <f t="shared" ref="AM319:AM331" si="121">SUM(AL319*0.84)</f>
        <v>72975</v>
      </c>
      <c r="AN319" s="4640">
        <v>2145</v>
      </c>
      <c r="AO319" s="4637">
        <f t="shared" ref="AO319:AO331" si="122">SUM(AN319*0.84)</f>
        <v>1801.8</v>
      </c>
      <c r="AP319" s="4640">
        <v>12718</v>
      </c>
      <c r="AQ319" s="4637">
        <f t="shared" ref="AQ319:AQ331" si="123">SUM(AP319*0.84)</f>
        <v>10683.119999999999</v>
      </c>
      <c r="AR319" s="4640">
        <v>26</v>
      </c>
      <c r="AS319" s="4637">
        <f t="shared" ref="AS319:AS331" si="124">SUM(AR319*0.84)</f>
        <v>21.84</v>
      </c>
      <c r="AT319" s="4640">
        <v>37</v>
      </c>
      <c r="AU319" s="4637">
        <f t="shared" ref="AU319:AU331" si="125">SUM(AT319*0.84)</f>
        <v>31.08</v>
      </c>
      <c r="AV319" s="4640" t="s">
        <v>767</v>
      </c>
      <c r="AW319" s="4637" t="s">
        <v>767</v>
      </c>
      <c r="AX319" s="4640" t="s">
        <v>767</v>
      </c>
      <c r="AY319" s="4637" t="s">
        <v>767</v>
      </c>
      <c r="AZ319" s="4640">
        <v>53164</v>
      </c>
      <c r="BA319" s="4637">
        <f t="shared" ref="BA319:BA331" si="126">SUM(AZ319*0.84)</f>
        <v>44657.759999999995</v>
      </c>
      <c r="BB319" s="4640">
        <v>16982</v>
      </c>
      <c r="BC319" s="4637">
        <f t="shared" ref="BC319:BC331" si="127">SUM(BB319*0.84)</f>
        <v>14264.88</v>
      </c>
      <c r="BD319" s="4640">
        <v>60013</v>
      </c>
      <c r="BE319" s="4637">
        <f t="shared" ref="BE319:BE331" si="128">SUM(BD319*0.84)</f>
        <v>50410.92</v>
      </c>
      <c r="BF319" s="4640">
        <v>575010</v>
      </c>
      <c r="BG319" s="4637">
        <f t="shared" ref="BG319:BG324" si="129">SUM(BF319*0.84)</f>
        <v>483008.39999999997</v>
      </c>
      <c r="BH319" s="4542">
        <v>0</v>
      </c>
      <c r="BI319" s="4542">
        <v>0</v>
      </c>
      <c r="BJ319" s="4542">
        <v>0</v>
      </c>
      <c r="BK319" s="4542">
        <v>0</v>
      </c>
      <c r="BL319" s="4542">
        <v>20</v>
      </c>
      <c r="BM319" s="4542" t="s">
        <v>1206</v>
      </c>
      <c r="BN319" s="4704">
        <v>43467</v>
      </c>
      <c r="BO319" s="4704">
        <v>43830</v>
      </c>
      <c r="BP319" s="4704">
        <v>43830</v>
      </c>
      <c r="BQ319" s="4704">
        <v>43830</v>
      </c>
      <c r="BR319" s="4707" t="s">
        <v>770</v>
      </c>
    </row>
    <row r="320" spans="1:199" ht="37.5" customHeight="1" x14ac:dyDescent="0.2">
      <c r="A320" s="995"/>
      <c r="B320" s="996"/>
      <c r="C320" s="997"/>
      <c r="D320" s="996"/>
      <c r="E320" s="996"/>
      <c r="F320" s="997"/>
      <c r="G320" s="996"/>
      <c r="H320" s="996"/>
      <c r="I320" s="997"/>
      <c r="J320" s="4518"/>
      <c r="K320" s="4549"/>
      <c r="L320" s="4524"/>
      <c r="M320" s="4524"/>
      <c r="N320" s="4526"/>
      <c r="O320" s="4524"/>
      <c r="P320" s="4528"/>
      <c r="Q320" s="4524"/>
      <c r="R320" s="4531"/>
      <c r="S320" s="4534"/>
      <c r="T320" s="4521"/>
      <c r="U320" s="4521"/>
      <c r="V320" s="1125" t="s">
        <v>1207</v>
      </c>
      <c r="W320" s="2626">
        <v>4000000</v>
      </c>
      <c r="X320" s="2627">
        <v>0</v>
      </c>
      <c r="Y320" s="2627">
        <v>0</v>
      </c>
      <c r="Z320" s="1013">
        <v>20</v>
      </c>
      <c r="AA320" s="1066" t="s">
        <v>86</v>
      </c>
      <c r="AB320" s="4641"/>
      <c r="AC320" s="4638"/>
      <c r="AD320" s="4641">
        <v>282326</v>
      </c>
      <c r="AE320" s="4638">
        <f t="shared" si="118"/>
        <v>237153.84</v>
      </c>
      <c r="AF320" s="4641">
        <v>135912</v>
      </c>
      <c r="AG320" s="4638">
        <f t="shared" si="119"/>
        <v>114166.08</v>
      </c>
      <c r="AH320" s="4641">
        <v>45122</v>
      </c>
      <c r="AI320" s="4638">
        <f t="shared" si="120"/>
        <v>37902.479999999996</v>
      </c>
      <c r="AJ320" s="4641">
        <v>307101</v>
      </c>
      <c r="AK320" s="4638">
        <v>257964.84</v>
      </c>
      <c r="AL320" s="4641">
        <v>86875</v>
      </c>
      <c r="AM320" s="4638">
        <f t="shared" si="121"/>
        <v>72975</v>
      </c>
      <c r="AN320" s="4641">
        <v>2145</v>
      </c>
      <c r="AO320" s="4638">
        <f t="shared" si="122"/>
        <v>1801.8</v>
      </c>
      <c r="AP320" s="4641">
        <v>12718</v>
      </c>
      <c r="AQ320" s="4638">
        <f t="shared" si="123"/>
        <v>10683.119999999999</v>
      </c>
      <c r="AR320" s="4641">
        <v>26</v>
      </c>
      <c r="AS320" s="4638">
        <f t="shared" si="124"/>
        <v>21.84</v>
      </c>
      <c r="AT320" s="4641">
        <v>37</v>
      </c>
      <c r="AU320" s="4638">
        <f t="shared" si="125"/>
        <v>31.08</v>
      </c>
      <c r="AV320" s="4641" t="s">
        <v>767</v>
      </c>
      <c r="AW320" s="4638" t="s">
        <v>767</v>
      </c>
      <c r="AX320" s="4641" t="s">
        <v>767</v>
      </c>
      <c r="AY320" s="4638" t="s">
        <v>767</v>
      </c>
      <c r="AZ320" s="4641">
        <v>53164</v>
      </c>
      <c r="BA320" s="4638">
        <f t="shared" si="126"/>
        <v>44657.759999999995</v>
      </c>
      <c r="BB320" s="4641">
        <v>16982</v>
      </c>
      <c r="BC320" s="4638">
        <f t="shared" si="127"/>
        <v>14264.88</v>
      </c>
      <c r="BD320" s="4641">
        <v>60013</v>
      </c>
      <c r="BE320" s="4638">
        <f t="shared" si="128"/>
        <v>50410.92</v>
      </c>
      <c r="BF320" s="4641">
        <v>575010</v>
      </c>
      <c r="BG320" s="4638">
        <f t="shared" si="129"/>
        <v>483008.39999999997</v>
      </c>
      <c r="BH320" s="4543"/>
      <c r="BI320" s="4543"/>
      <c r="BJ320" s="4543"/>
      <c r="BK320" s="4543"/>
      <c r="BL320" s="4543"/>
      <c r="BM320" s="4543"/>
      <c r="BN320" s="4543"/>
      <c r="BO320" s="4705"/>
      <c r="BP320" s="4543"/>
      <c r="BQ320" s="4705"/>
      <c r="BR320" s="4708"/>
    </row>
    <row r="321" spans="1:70" ht="49.5" customHeight="1" x14ac:dyDescent="0.2">
      <c r="A321" s="995"/>
      <c r="B321" s="996"/>
      <c r="C321" s="997"/>
      <c r="D321" s="996"/>
      <c r="E321" s="996"/>
      <c r="F321" s="997"/>
      <c r="G321" s="996"/>
      <c r="H321" s="996"/>
      <c r="I321" s="997"/>
      <c r="J321" s="4518"/>
      <c r="K321" s="4549"/>
      <c r="L321" s="4524"/>
      <c r="M321" s="4524"/>
      <c r="N321" s="4526"/>
      <c r="O321" s="4524"/>
      <c r="P321" s="4528"/>
      <c r="Q321" s="4524"/>
      <c r="R321" s="4531"/>
      <c r="S321" s="4534"/>
      <c r="T321" s="4521"/>
      <c r="U321" s="4522"/>
      <c r="V321" s="1125" t="s">
        <v>1208</v>
      </c>
      <c r="W321" s="2601">
        <v>3000000</v>
      </c>
      <c r="X321" s="2627">
        <v>0</v>
      </c>
      <c r="Y321" s="2627">
        <v>0</v>
      </c>
      <c r="Z321" s="1013">
        <v>20</v>
      </c>
      <c r="AA321" s="1066" t="s">
        <v>86</v>
      </c>
      <c r="AB321" s="4641"/>
      <c r="AC321" s="4638"/>
      <c r="AD321" s="4641">
        <v>282326</v>
      </c>
      <c r="AE321" s="4638">
        <f t="shared" si="118"/>
        <v>237153.84</v>
      </c>
      <c r="AF321" s="4641">
        <v>135912</v>
      </c>
      <c r="AG321" s="4638">
        <f t="shared" si="119"/>
        <v>114166.08</v>
      </c>
      <c r="AH321" s="4641">
        <v>45122</v>
      </c>
      <c r="AI321" s="4638">
        <f t="shared" si="120"/>
        <v>37902.479999999996</v>
      </c>
      <c r="AJ321" s="4641">
        <v>307101</v>
      </c>
      <c r="AK321" s="4638">
        <v>257964.84</v>
      </c>
      <c r="AL321" s="4641">
        <v>86875</v>
      </c>
      <c r="AM321" s="4638">
        <f t="shared" si="121"/>
        <v>72975</v>
      </c>
      <c r="AN321" s="4641">
        <v>2145</v>
      </c>
      <c r="AO321" s="4638">
        <f t="shared" si="122"/>
        <v>1801.8</v>
      </c>
      <c r="AP321" s="4641">
        <v>12718</v>
      </c>
      <c r="AQ321" s="4638">
        <f t="shared" si="123"/>
        <v>10683.119999999999</v>
      </c>
      <c r="AR321" s="4641">
        <v>26</v>
      </c>
      <c r="AS321" s="4638">
        <f t="shared" si="124"/>
        <v>21.84</v>
      </c>
      <c r="AT321" s="4641">
        <v>37</v>
      </c>
      <c r="AU321" s="4638">
        <f t="shared" si="125"/>
        <v>31.08</v>
      </c>
      <c r="AV321" s="4641" t="s">
        <v>767</v>
      </c>
      <c r="AW321" s="4638" t="s">
        <v>767</v>
      </c>
      <c r="AX321" s="4641" t="s">
        <v>767</v>
      </c>
      <c r="AY321" s="4638" t="s">
        <v>767</v>
      </c>
      <c r="AZ321" s="4641">
        <v>53164</v>
      </c>
      <c r="BA321" s="4638">
        <f t="shared" si="126"/>
        <v>44657.759999999995</v>
      </c>
      <c r="BB321" s="4641">
        <v>16982</v>
      </c>
      <c r="BC321" s="4638">
        <f t="shared" si="127"/>
        <v>14264.88</v>
      </c>
      <c r="BD321" s="4641">
        <v>60013</v>
      </c>
      <c r="BE321" s="4638">
        <f t="shared" si="128"/>
        <v>50410.92</v>
      </c>
      <c r="BF321" s="4641">
        <v>575010</v>
      </c>
      <c r="BG321" s="4638">
        <f t="shared" si="129"/>
        <v>483008.39999999997</v>
      </c>
      <c r="BH321" s="4543"/>
      <c r="BI321" s="4543"/>
      <c r="BJ321" s="4543"/>
      <c r="BK321" s="4543"/>
      <c r="BL321" s="4543"/>
      <c r="BM321" s="4543"/>
      <c r="BN321" s="4543"/>
      <c r="BO321" s="4705"/>
      <c r="BP321" s="4543"/>
      <c r="BQ321" s="4705"/>
      <c r="BR321" s="4708"/>
    </row>
    <row r="322" spans="1:70" ht="38.25" customHeight="1" x14ac:dyDescent="0.2">
      <c r="A322" s="995"/>
      <c r="B322" s="996"/>
      <c r="C322" s="997"/>
      <c r="D322" s="996"/>
      <c r="E322" s="996"/>
      <c r="F322" s="997"/>
      <c r="G322" s="996"/>
      <c r="H322" s="996"/>
      <c r="I322" s="997"/>
      <c r="J322" s="4519"/>
      <c r="K322" s="4550"/>
      <c r="L322" s="4525"/>
      <c r="M322" s="4525"/>
      <c r="N322" s="4526"/>
      <c r="O322" s="4524"/>
      <c r="P322" s="4528"/>
      <c r="Q322" s="4524"/>
      <c r="R322" s="4530">
        <f>+SUM(W322:W323)/S319</f>
        <v>0.5</v>
      </c>
      <c r="S322" s="4534"/>
      <c r="T322" s="4521"/>
      <c r="U322" s="4548" t="s">
        <v>1209</v>
      </c>
      <c r="V322" s="1125" t="s">
        <v>1210</v>
      </c>
      <c r="W322" s="2601">
        <v>5000000</v>
      </c>
      <c r="X322" s="2627">
        <v>0</v>
      </c>
      <c r="Y322" s="2627">
        <v>0</v>
      </c>
      <c r="Z322" s="1013">
        <v>20</v>
      </c>
      <c r="AA322" s="1066" t="s">
        <v>86</v>
      </c>
      <c r="AB322" s="4641"/>
      <c r="AC322" s="4638"/>
      <c r="AD322" s="4641">
        <v>282326</v>
      </c>
      <c r="AE322" s="4638">
        <f t="shared" si="118"/>
        <v>237153.84</v>
      </c>
      <c r="AF322" s="4641">
        <v>135912</v>
      </c>
      <c r="AG322" s="4638">
        <f t="shared" si="119"/>
        <v>114166.08</v>
      </c>
      <c r="AH322" s="4641">
        <v>45122</v>
      </c>
      <c r="AI322" s="4638">
        <f t="shared" si="120"/>
        <v>37902.479999999996</v>
      </c>
      <c r="AJ322" s="4641">
        <v>307101</v>
      </c>
      <c r="AK322" s="4638">
        <v>257964.84</v>
      </c>
      <c r="AL322" s="4641">
        <v>86875</v>
      </c>
      <c r="AM322" s="4638">
        <f t="shared" si="121"/>
        <v>72975</v>
      </c>
      <c r="AN322" s="4641">
        <v>2145</v>
      </c>
      <c r="AO322" s="4638">
        <f t="shared" si="122"/>
        <v>1801.8</v>
      </c>
      <c r="AP322" s="4641">
        <v>12718</v>
      </c>
      <c r="AQ322" s="4638">
        <f t="shared" si="123"/>
        <v>10683.119999999999</v>
      </c>
      <c r="AR322" s="4641">
        <v>26</v>
      </c>
      <c r="AS322" s="4638">
        <f t="shared" si="124"/>
        <v>21.84</v>
      </c>
      <c r="AT322" s="4641">
        <v>37</v>
      </c>
      <c r="AU322" s="4638">
        <f t="shared" si="125"/>
        <v>31.08</v>
      </c>
      <c r="AV322" s="4641" t="s">
        <v>767</v>
      </c>
      <c r="AW322" s="4638" t="s">
        <v>767</v>
      </c>
      <c r="AX322" s="4641" t="s">
        <v>767</v>
      </c>
      <c r="AY322" s="4638" t="s">
        <v>767</v>
      </c>
      <c r="AZ322" s="4641">
        <v>53164</v>
      </c>
      <c r="BA322" s="4638">
        <f t="shared" si="126"/>
        <v>44657.759999999995</v>
      </c>
      <c r="BB322" s="4641">
        <v>16982</v>
      </c>
      <c r="BC322" s="4638">
        <f t="shared" si="127"/>
        <v>14264.88</v>
      </c>
      <c r="BD322" s="4641">
        <v>60013</v>
      </c>
      <c r="BE322" s="4638">
        <f t="shared" si="128"/>
        <v>50410.92</v>
      </c>
      <c r="BF322" s="4641">
        <v>575010</v>
      </c>
      <c r="BG322" s="4638">
        <f t="shared" si="129"/>
        <v>483008.39999999997</v>
      </c>
      <c r="BH322" s="4543"/>
      <c r="BI322" s="4543"/>
      <c r="BJ322" s="4543"/>
      <c r="BK322" s="4543"/>
      <c r="BL322" s="4543"/>
      <c r="BM322" s="4543"/>
      <c r="BN322" s="4543"/>
      <c r="BO322" s="4705"/>
      <c r="BP322" s="4543"/>
      <c r="BQ322" s="4705"/>
      <c r="BR322" s="4708"/>
    </row>
    <row r="323" spans="1:70" ht="50.25" customHeight="1" x14ac:dyDescent="0.2">
      <c r="A323" s="995"/>
      <c r="B323" s="996"/>
      <c r="C323" s="997"/>
      <c r="D323" s="996"/>
      <c r="E323" s="996"/>
      <c r="F323" s="997"/>
      <c r="G323" s="996"/>
      <c r="H323" s="996"/>
      <c r="I323" s="997"/>
      <c r="J323" s="1021">
        <v>171</v>
      </c>
      <c r="K323" s="1008" t="s">
        <v>1211</v>
      </c>
      <c r="L323" s="1041" t="s">
        <v>759</v>
      </c>
      <c r="M323" s="1041">
        <v>1</v>
      </c>
      <c r="N323" s="1053">
        <v>1</v>
      </c>
      <c r="O323" s="4525"/>
      <c r="P323" s="4529"/>
      <c r="Q323" s="4525"/>
      <c r="R323" s="4532"/>
      <c r="S323" s="4535"/>
      <c r="T323" s="4522"/>
      <c r="U323" s="4550"/>
      <c r="V323" s="1125" t="s">
        <v>1212</v>
      </c>
      <c r="W323" s="2601">
        <v>5000000</v>
      </c>
      <c r="X323" s="2627">
        <v>0</v>
      </c>
      <c r="Y323" s="2627">
        <v>0</v>
      </c>
      <c r="Z323" s="1013">
        <v>20</v>
      </c>
      <c r="AA323" s="1066" t="s">
        <v>86</v>
      </c>
      <c r="AB323" s="4642"/>
      <c r="AC323" s="4639"/>
      <c r="AD323" s="4642">
        <v>282326</v>
      </c>
      <c r="AE323" s="4639">
        <f t="shared" si="118"/>
        <v>237153.84</v>
      </c>
      <c r="AF323" s="4642">
        <v>135912</v>
      </c>
      <c r="AG323" s="4639">
        <f t="shared" si="119"/>
        <v>114166.08</v>
      </c>
      <c r="AH323" s="4642">
        <v>45122</v>
      </c>
      <c r="AI323" s="4639">
        <f t="shared" si="120"/>
        <v>37902.479999999996</v>
      </c>
      <c r="AJ323" s="4642">
        <v>307101</v>
      </c>
      <c r="AK323" s="4639">
        <v>257964.84</v>
      </c>
      <c r="AL323" s="4642">
        <v>86875</v>
      </c>
      <c r="AM323" s="4639">
        <f t="shared" si="121"/>
        <v>72975</v>
      </c>
      <c r="AN323" s="4642">
        <v>2145</v>
      </c>
      <c r="AO323" s="4639">
        <f t="shared" si="122"/>
        <v>1801.8</v>
      </c>
      <c r="AP323" s="4642">
        <v>12718</v>
      </c>
      <c r="AQ323" s="4639">
        <f t="shared" si="123"/>
        <v>10683.119999999999</v>
      </c>
      <c r="AR323" s="4642">
        <v>26</v>
      </c>
      <c r="AS323" s="4639">
        <f t="shared" si="124"/>
        <v>21.84</v>
      </c>
      <c r="AT323" s="4642">
        <v>37</v>
      </c>
      <c r="AU323" s="4639">
        <f t="shared" si="125"/>
        <v>31.08</v>
      </c>
      <c r="AV323" s="4642" t="s">
        <v>767</v>
      </c>
      <c r="AW323" s="4639" t="s">
        <v>767</v>
      </c>
      <c r="AX323" s="4642" t="s">
        <v>767</v>
      </c>
      <c r="AY323" s="4639" t="s">
        <v>767</v>
      </c>
      <c r="AZ323" s="4642">
        <v>53164</v>
      </c>
      <c r="BA323" s="4639">
        <f t="shared" si="126"/>
        <v>44657.759999999995</v>
      </c>
      <c r="BB323" s="4642">
        <v>16982</v>
      </c>
      <c r="BC323" s="4639">
        <f t="shared" si="127"/>
        <v>14264.88</v>
      </c>
      <c r="BD323" s="4642">
        <v>60013</v>
      </c>
      <c r="BE323" s="4639">
        <f t="shared" si="128"/>
        <v>50410.92</v>
      </c>
      <c r="BF323" s="4642">
        <v>575010</v>
      </c>
      <c r="BG323" s="4639">
        <f t="shared" si="129"/>
        <v>483008.39999999997</v>
      </c>
      <c r="BH323" s="4544"/>
      <c r="BI323" s="4544"/>
      <c r="BJ323" s="4544"/>
      <c r="BK323" s="4544"/>
      <c r="BL323" s="4544"/>
      <c r="BM323" s="4544"/>
      <c r="BN323" s="4544"/>
      <c r="BO323" s="4706"/>
      <c r="BP323" s="4544"/>
      <c r="BQ323" s="4706"/>
      <c r="BR323" s="4709"/>
    </row>
    <row r="324" spans="1:70" ht="53.25" customHeight="1" x14ac:dyDescent="0.2">
      <c r="A324" s="995"/>
      <c r="B324" s="996"/>
      <c r="C324" s="997"/>
      <c r="D324" s="996"/>
      <c r="E324" s="996"/>
      <c r="F324" s="997"/>
      <c r="G324" s="996"/>
      <c r="H324" s="996"/>
      <c r="I324" s="997"/>
      <c r="J324" s="4517">
        <v>172</v>
      </c>
      <c r="K324" s="4520" t="s">
        <v>1213</v>
      </c>
      <c r="L324" s="4523" t="s">
        <v>759</v>
      </c>
      <c r="M324" s="4523">
        <v>12</v>
      </c>
      <c r="N324" s="4526">
        <v>6</v>
      </c>
      <c r="O324" s="4523" t="s">
        <v>1214</v>
      </c>
      <c r="P324" s="4527" t="s">
        <v>1215</v>
      </c>
      <c r="Q324" s="4520" t="s">
        <v>1216</v>
      </c>
      <c r="R324" s="4530">
        <f>SUM(W324:W331)/S324</f>
        <v>1</v>
      </c>
      <c r="S324" s="4533">
        <f>SUM(W324:W331)</f>
        <v>674441641</v>
      </c>
      <c r="T324" s="4520" t="s">
        <v>1217</v>
      </c>
      <c r="U324" s="4520" t="s">
        <v>1218</v>
      </c>
      <c r="V324" s="4710" t="s">
        <v>1219</v>
      </c>
      <c r="W324" s="2601">
        <v>100000000</v>
      </c>
      <c r="X324" s="1809">
        <f>52270359+32238000</f>
        <v>84508359</v>
      </c>
      <c r="Y324" s="1809">
        <f>50479359</f>
        <v>50479359</v>
      </c>
      <c r="Z324" s="977">
        <v>20</v>
      </c>
      <c r="AA324" s="1058" t="s">
        <v>86</v>
      </c>
      <c r="AB324" s="4523">
        <v>292684</v>
      </c>
      <c r="AC324" s="4637">
        <f t="shared" si="117"/>
        <v>245854.56</v>
      </c>
      <c r="AD324" s="4523">
        <v>282326</v>
      </c>
      <c r="AE324" s="4637">
        <f t="shared" si="118"/>
        <v>237153.84</v>
      </c>
      <c r="AF324" s="4523">
        <v>135912</v>
      </c>
      <c r="AG324" s="4637">
        <f t="shared" si="119"/>
        <v>114166.08</v>
      </c>
      <c r="AH324" s="4523">
        <v>45122</v>
      </c>
      <c r="AI324" s="4637">
        <f t="shared" si="120"/>
        <v>37902.479999999996</v>
      </c>
      <c r="AJ324" s="4523">
        <v>307101</v>
      </c>
      <c r="AK324" s="4637">
        <v>257964.84</v>
      </c>
      <c r="AL324" s="4523">
        <v>86875</v>
      </c>
      <c r="AM324" s="4637">
        <f t="shared" si="121"/>
        <v>72975</v>
      </c>
      <c r="AN324" s="4523">
        <v>2145</v>
      </c>
      <c r="AO324" s="4637">
        <f t="shared" si="122"/>
        <v>1801.8</v>
      </c>
      <c r="AP324" s="4523">
        <v>12718</v>
      </c>
      <c r="AQ324" s="4637">
        <f t="shared" si="123"/>
        <v>10683.119999999999</v>
      </c>
      <c r="AR324" s="4523">
        <v>26</v>
      </c>
      <c r="AS324" s="4637">
        <f t="shared" si="124"/>
        <v>21.84</v>
      </c>
      <c r="AT324" s="4523">
        <v>37</v>
      </c>
      <c r="AU324" s="4637">
        <f t="shared" si="125"/>
        <v>31.08</v>
      </c>
      <c r="AV324" s="4523" t="s">
        <v>767</v>
      </c>
      <c r="AW324" s="4637" t="s">
        <v>767</v>
      </c>
      <c r="AX324" s="4523" t="s">
        <v>767</v>
      </c>
      <c r="AY324" s="4637" t="s">
        <v>767</v>
      </c>
      <c r="AZ324" s="4523">
        <v>53164</v>
      </c>
      <c r="BA324" s="4637">
        <f t="shared" si="126"/>
        <v>44657.759999999995</v>
      </c>
      <c r="BB324" s="4523">
        <v>16982</v>
      </c>
      <c r="BC324" s="4637">
        <f t="shared" si="127"/>
        <v>14264.88</v>
      </c>
      <c r="BD324" s="4523">
        <v>60013</v>
      </c>
      <c r="BE324" s="4637">
        <f t="shared" si="128"/>
        <v>50410.92</v>
      </c>
      <c r="BF324" s="4523">
        <v>575010</v>
      </c>
      <c r="BG324" s="4637">
        <f t="shared" si="129"/>
        <v>483008.39999999997</v>
      </c>
      <c r="BH324" s="4542">
        <v>21</v>
      </c>
      <c r="BI324" s="4568">
        <f>SUM(X324:X331)</f>
        <v>251096000</v>
      </c>
      <c r="BJ324" s="4568">
        <f>SUM(Y324:Y331)</f>
        <v>110921000</v>
      </c>
      <c r="BK324" s="3184">
        <f>+BJ324/BI324</f>
        <v>0.44174737948832321</v>
      </c>
      <c r="BL324" s="4542" t="s">
        <v>1220</v>
      </c>
      <c r="BM324" s="4542" t="s">
        <v>1206</v>
      </c>
      <c r="BN324" s="4553">
        <v>43467</v>
      </c>
      <c r="BO324" s="4553">
        <v>43830</v>
      </c>
      <c r="BP324" s="4553">
        <v>43830</v>
      </c>
      <c r="BQ324" s="4553">
        <v>43830</v>
      </c>
      <c r="BR324" s="4556" t="s">
        <v>770</v>
      </c>
    </row>
    <row r="325" spans="1:70" ht="53.25" customHeight="1" x14ac:dyDescent="0.2">
      <c r="A325" s="995"/>
      <c r="B325" s="996"/>
      <c r="C325" s="997"/>
      <c r="D325" s="996"/>
      <c r="E325" s="996"/>
      <c r="F325" s="997"/>
      <c r="G325" s="996"/>
      <c r="H325" s="996"/>
      <c r="I325" s="997"/>
      <c r="J325" s="4518"/>
      <c r="K325" s="4521"/>
      <c r="L325" s="4524"/>
      <c r="M325" s="4524"/>
      <c r="N325" s="4526"/>
      <c r="O325" s="4524"/>
      <c r="P325" s="4528"/>
      <c r="Q325" s="4521"/>
      <c r="R325" s="4531"/>
      <c r="S325" s="4534"/>
      <c r="T325" s="4521"/>
      <c r="U325" s="4521"/>
      <c r="V325" s="4711"/>
      <c r="W325" s="2601">
        <v>114000000</v>
      </c>
      <c r="X325" s="1809">
        <v>95400000</v>
      </c>
      <c r="Y325" s="1809">
        <v>0</v>
      </c>
      <c r="Z325" s="977">
        <v>96</v>
      </c>
      <c r="AA325" s="1062" t="s">
        <v>1221</v>
      </c>
      <c r="AB325" s="4524">
        <v>292684</v>
      </c>
      <c r="AC325" s="4638">
        <f t="shared" si="117"/>
        <v>245854.56</v>
      </c>
      <c r="AD325" s="4524">
        <v>282326</v>
      </c>
      <c r="AE325" s="4638">
        <f t="shared" si="118"/>
        <v>237153.84</v>
      </c>
      <c r="AF325" s="4524">
        <v>135912</v>
      </c>
      <c r="AG325" s="4638">
        <f t="shared" si="119"/>
        <v>114166.08</v>
      </c>
      <c r="AH325" s="4524">
        <v>45122</v>
      </c>
      <c r="AI325" s="4638">
        <f t="shared" si="120"/>
        <v>37902.479999999996</v>
      </c>
      <c r="AJ325" s="4524">
        <v>307101</v>
      </c>
      <c r="AK325" s="4638">
        <v>257964.84</v>
      </c>
      <c r="AL325" s="4524">
        <v>86875</v>
      </c>
      <c r="AM325" s="4638">
        <f t="shared" si="121"/>
        <v>72975</v>
      </c>
      <c r="AN325" s="4524">
        <v>2145</v>
      </c>
      <c r="AO325" s="4638">
        <f t="shared" si="122"/>
        <v>1801.8</v>
      </c>
      <c r="AP325" s="4524">
        <v>12718</v>
      </c>
      <c r="AQ325" s="4638">
        <f t="shared" si="123"/>
        <v>10683.119999999999</v>
      </c>
      <c r="AR325" s="4524">
        <v>26</v>
      </c>
      <c r="AS325" s="4638">
        <f t="shared" si="124"/>
        <v>21.84</v>
      </c>
      <c r="AT325" s="4524">
        <v>37</v>
      </c>
      <c r="AU325" s="4638">
        <f t="shared" si="125"/>
        <v>31.08</v>
      </c>
      <c r="AV325" s="4524" t="s">
        <v>767</v>
      </c>
      <c r="AW325" s="4638" t="s">
        <v>767</v>
      </c>
      <c r="AX325" s="4524" t="s">
        <v>767</v>
      </c>
      <c r="AY325" s="4638" t="s">
        <v>767</v>
      </c>
      <c r="AZ325" s="4524">
        <v>53164</v>
      </c>
      <c r="BA325" s="4638">
        <f t="shared" si="126"/>
        <v>44657.759999999995</v>
      </c>
      <c r="BB325" s="4524">
        <v>16982</v>
      </c>
      <c r="BC325" s="4638">
        <f t="shared" si="127"/>
        <v>14264.88</v>
      </c>
      <c r="BD325" s="4524">
        <v>60013</v>
      </c>
      <c r="BE325" s="4638">
        <f t="shared" si="128"/>
        <v>50410.92</v>
      </c>
      <c r="BF325" s="4524"/>
      <c r="BG325" s="4638"/>
      <c r="BH325" s="4543"/>
      <c r="BI325" s="4543"/>
      <c r="BJ325" s="4543"/>
      <c r="BK325" s="3185"/>
      <c r="BL325" s="4543"/>
      <c r="BM325" s="4543"/>
      <c r="BN325" s="4554"/>
      <c r="BO325" s="4554"/>
      <c r="BP325" s="4554"/>
      <c r="BQ325" s="4554"/>
      <c r="BR325" s="4557"/>
    </row>
    <row r="326" spans="1:70" ht="42" customHeight="1" x14ac:dyDescent="0.2">
      <c r="A326" s="995"/>
      <c r="B326" s="996"/>
      <c r="C326" s="997"/>
      <c r="D326" s="996"/>
      <c r="E326" s="996"/>
      <c r="F326" s="997"/>
      <c r="G326" s="996"/>
      <c r="H326" s="996"/>
      <c r="I326" s="997"/>
      <c r="J326" s="4518"/>
      <c r="K326" s="4521"/>
      <c r="L326" s="4524"/>
      <c r="M326" s="4524"/>
      <c r="N326" s="4526"/>
      <c r="O326" s="4524"/>
      <c r="P326" s="4528"/>
      <c r="Q326" s="4521"/>
      <c r="R326" s="4531"/>
      <c r="S326" s="4534"/>
      <c r="T326" s="4521"/>
      <c r="U326" s="4521"/>
      <c r="V326" s="1126" t="s">
        <v>1222</v>
      </c>
      <c r="W326" s="2601">
        <v>10000000</v>
      </c>
      <c r="X326" s="1809">
        <v>10000000</v>
      </c>
      <c r="Y326" s="1809">
        <v>10000000</v>
      </c>
      <c r="Z326" s="977">
        <v>20</v>
      </c>
      <c r="AA326" s="1062" t="s">
        <v>86</v>
      </c>
      <c r="AB326" s="4524">
        <v>292684</v>
      </c>
      <c r="AC326" s="4638">
        <f t="shared" si="117"/>
        <v>245854.56</v>
      </c>
      <c r="AD326" s="4524">
        <v>282326</v>
      </c>
      <c r="AE326" s="4638">
        <f t="shared" si="118"/>
        <v>237153.84</v>
      </c>
      <c r="AF326" s="4524">
        <v>135912</v>
      </c>
      <c r="AG326" s="4638">
        <f t="shared" si="119"/>
        <v>114166.08</v>
      </c>
      <c r="AH326" s="4524">
        <v>45122</v>
      </c>
      <c r="AI326" s="4638">
        <f t="shared" si="120"/>
        <v>37902.479999999996</v>
      </c>
      <c r="AJ326" s="4524">
        <v>307101</v>
      </c>
      <c r="AK326" s="4638">
        <v>257964.84</v>
      </c>
      <c r="AL326" s="4524">
        <v>86875</v>
      </c>
      <c r="AM326" s="4638">
        <f t="shared" si="121"/>
        <v>72975</v>
      </c>
      <c r="AN326" s="4524">
        <v>2145</v>
      </c>
      <c r="AO326" s="4638">
        <f t="shared" si="122"/>
        <v>1801.8</v>
      </c>
      <c r="AP326" s="4524">
        <v>12718</v>
      </c>
      <c r="AQ326" s="4638">
        <f t="shared" si="123"/>
        <v>10683.119999999999</v>
      </c>
      <c r="AR326" s="4524">
        <v>26</v>
      </c>
      <c r="AS326" s="4638">
        <f t="shared" si="124"/>
        <v>21.84</v>
      </c>
      <c r="AT326" s="4524">
        <v>37</v>
      </c>
      <c r="AU326" s="4638">
        <f t="shared" si="125"/>
        <v>31.08</v>
      </c>
      <c r="AV326" s="4524" t="s">
        <v>767</v>
      </c>
      <c r="AW326" s="4638" t="s">
        <v>767</v>
      </c>
      <c r="AX326" s="4524" t="s">
        <v>767</v>
      </c>
      <c r="AY326" s="4638" t="s">
        <v>767</v>
      </c>
      <c r="AZ326" s="4524">
        <v>53164</v>
      </c>
      <c r="BA326" s="4638">
        <f t="shared" si="126"/>
        <v>44657.759999999995</v>
      </c>
      <c r="BB326" s="4524">
        <v>16982</v>
      </c>
      <c r="BC326" s="4638">
        <f t="shared" si="127"/>
        <v>14264.88</v>
      </c>
      <c r="BD326" s="4524">
        <v>60013</v>
      </c>
      <c r="BE326" s="4638">
        <f t="shared" si="128"/>
        <v>50410.92</v>
      </c>
      <c r="BF326" s="4524"/>
      <c r="BG326" s="4638"/>
      <c r="BH326" s="4543"/>
      <c r="BI326" s="4543"/>
      <c r="BJ326" s="4543"/>
      <c r="BK326" s="3185"/>
      <c r="BL326" s="4543"/>
      <c r="BM326" s="4543"/>
      <c r="BN326" s="4554"/>
      <c r="BO326" s="4554"/>
      <c r="BP326" s="4554"/>
      <c r="BQ326" s="4554"/>
      <c r="BR326" s="4557"/>
    </row>
    <row r="327" spans="1:70" ht="69" customHeight="1" x14ac:dyDescent="0.2">
      <c r="A327" s="995"/>
      <c r="B327" s="996"/>
      <c r="C327" s="997"/>
      <c r="D327" s="996"/>
      <c r="E327" s="996"/>
      <c r="F327" s="997"/>
      <c r="G327" s="996"/>
      <c r="H327" s="996"/>
      <c r="I327" s="997"/>
      <c r="J327" s="4518"/>
      <c r="K327" s="4521"/>
      <c r="L327" s="4524"/>
      <c r="M327" s="4524"/>
      <c r="N327" s="4526"/>
      <c r="O327" s="4524"/>
      <c r="P327" s="4528"/>
      <c r="Q327" s="4521"/>
      <c r="R327" s="4531"/>
      <c r="S327" s="4534"/>
      <c r="T327" s="4521"/>
      <c r="U327" s="4521"/>
      <c r="V327" s="4710" t="s">
        <v>1223</v>
      </c>
      <c r="W327" s="2601">
        <v>15441641</v>
      </c>
      <c r="X327" s="1809">
        <v>15441641</v>
      </c>
      <c r="Y327" s="1809">
        <v>15441641</v>
      </c>
      <c r="Z327" s="977">
        <v>20</v>
      </c>
      <c r="AA327" s="1062" t="s">
        <v>86</v>
      </c>
      <c r="AB327" s="4524">
        <v>292684</v>
      </c>
      <c r="AC327" s="4638">
        <f t="shared" si="117"/>
        <v>245854.56</v>
      </c>
      <c r="AD327" s="4524">
        <v>282326</v>
      </c>
      <c r="AE327" s="4638">
        <f t="shared" si="118"/>
        <v>237153.84</v>
      </c>
      <c r="AF327" s="4524">
        <v>135912</v>
      </c>
      <c r="AG327" s="4638">
        <f t="shared" si="119"/>
        <v>114166.08</v>
      </c>
      <c r="AH327" s="4524">
        <v>45122</v>
      </c>
      <c r="AI327" s="4638">
        <f t="shared" si="120"/>
        <v>37902.479999999996</v>
      </c>
      <c r="AJ327" s="4524">
        <v>307101</v>
      </c>
      <c r="AK327" s="4638">
        <v>257964.84</v>
      </c>
      <c r="AL327" s="4524">
        <v>86875</v>
      </c>
      <c r="AM327" s="4638">
        <f t="shared" si="121"/>
        <v>72975</v>
      </c>
      <c r="AN327" s="4524">
        <v>2145</v>
      </c>
      <c r="AO327" s="4638">
        <f t="shared" si="122"/>
        <v>1801.8</v>
      </c>
      <c r="AP327" s="4524">
        <v>12718</v>
      </c>
      <c r="AQ327" s="4638">
        <f t="shared" si="123"/>
        <v>10683.119999999999</v>
      </c>
      <c r="AR327" s="4524">
        <v>26</v>
      </c>
      <c r="AS327" s="4638">
        <f t="shared" si="124"/>
        <v>21.84</v>
      </c>
      <c r="AT327" s="4524">
        <v>37</v>
      </c>
      <c r="AU327" s="4638">
        <f t="shared" si="125"/>
        <v>31.08</v>
      </c>
      <c r="AV327" s="4524" t="s">
        <v>767</v>
      </c>
      <c r="AW327" s="4638" t="s">
        <v>767</v>
      </c>
      <c r="AX327" s="4524" t="s">
        <v>767</v>
      </c>
      <c r="AY327" s="4638" t="s">
        <v>767</v>
      </c>
      <c r="AZ327" s="4524">
        <v>53164</v>
      </c>
      <c r="BA327" s="4638">
        <f t="shared" si="126"/>
        <v>44657.759999999995</v>
      </c>
      <c r="BB327" s="4524">
        <v>16982</v>
      </c>
      <c r="BC327" s="4638">
        <f t="shared" si="127"/>
        <v>14264.88</v>
      </c>
      <c r="BD327" s="4524">
        <v>60013</v>
      </c>
      <c r="BE327" s="4638">
        <f t="shared" si="128"/>
        <v>50410.92</v>
      </c>
      <c r="BF327" s="4524"/>
      <c r="BG327" s="4638"/>
      <c r="BH327" s="4543"/>
      <c r="BI327" s="4543"/>
      <c r="BJ327" s="4543"/>
      <c r="BK327" s="3185"/>
      <c r="BL327" s="4543"/>
      <c r="BM327" s="4543"/>
      <c r="BN327" s="4554"/>
      <c r="BO327" s="4554"/>
      <c r="BP327" s="4554"/>
      <c r="BQ327" s="4554"/>
      <c r="BR327" s="4557"/>
    </row>
    <row r="328" spans="1:70" ht="69" customHeight="1" x14ac:dyDescent="0.2">
      <c r="A328" s="995"/>
      <c r="B328" s="996"/>
      <c r="C328" s="997"/>
      <c r="D328" s="996"/>
      <c r="E328" s="996"/>
      <c r="F328" s="997"/>
      <c r="G328" s="996"/>
      <c r="H328" s="996"/>
      <c r="I328" s="997"/>
      <c r="J328" s="4518"/>
      <c r="K328" s="4521"/>
      <c r="L328" s="4524"/>
      <c r="M328" s="4524"/>
      <c r="N328" s="4526"/>
      <c r="O328" s="4524"/>
      <c r="P328" s="4528"/>
      <c r="Q328" s="4521"/>
      <c r="R328" s="4531"/>
      <c r="S328" s="4534"/>
      <c r="T328" s="4521"/>
      <c r="U328" s="4521"/>
      <c r="V328" s="4711"/>
      <c r="W328" s="2595">
        <v>400000000</v>
      </c>
      <c r="X328" s="1809">
        <v>10746000</v>
      </c>
      <c r="Y328" s="1809">
        <v>0</v>
      </c>
      <c r="Z328" s="1009">
        <v>88</v>
      </c>
      <c r="AA328" s="1027" t="s">
        <v>1224</v>
      </c>
      <c r="AB328" s="4524">
        <v>292684</v>
      </c>
      <c r="AC328" s="4638">
        <f t="shared" si="117"/>
        <v>245854.56</v>
      </c>
      <c r="AD328" s="4524">
        <v>282326</v>
      </c>
      <c r="AE328" s="4638">
        <f t="shared" si="118"/>
        <v>237153.84</v>
      </c>
      <c r="AF328" s="4524">
        <v>135912</v>
      </c>
      <c r="AG328" s="4638">
        <f t="shared" si="119"/>
        <v>114166.08</v>
      </c>
      <c r="AH328" s="4524">
        <v>45122</v>
      </c>
      <c r="AI328" s="4638">
        <f t="shared" si="120"/>
        <v>37902.479999999996</v>
      </c>
      <c r="AJ328" s="4524">
        <v>307101</v>
      </c>
      <c r="AK328" s="4638">
        <v>257964.84</v>
      </c>
      <c r="AL328" s="4524">
        <v>86875</v>
      </c>
      <c r="AM328" s="4638">
        <f t="shared" si="121"/>
        <v>72975</v>
      </c>
      <c r="AN328" s="4524">
        <v>2145</v>
      </c>
      <c r="AO328" s="4638">
        <f t="shared" si="122"/>
        <v>1801.8</v>
      </c>
      <c r="AP328" s="4524">
        <v>12718</v>
      </c>
      <c r="AQ328" s="4638">
        <f t="shared" si="123"/>
        <v>10683.119999999999</v>
      </c>
      <c r="AR328" s="4524">
        <v>26</v>
      </c>
      <c r="AS328" s="4638">
        <f t="shared" si="124"/>
        <v>21.84</v>
      </c>
      <c r="AT328" s="4524">
        <v>37</v>
      </c>
      <c r="AU328" s="4638">
        <f t="shared" si="125"/>
        <v>31.08</v>
      </c>
      <c r="AV328" s="4524" t="s">
        <v>767</v>
      </c>
      <c r="AW328" s="4638" t="s">
        <v>767</v>
      </c>
      <c r="AX328" s="4524" t="s">
        <v>767</v>
      </c>
      <c r="AY328" s="4638" t="s">
        <v>767</v>
      </c>
      <c r="AZ328" s="4524">
        <v>53164</v>
      </c>
      <c r="BA328" s="4638">
        <f t="shared" si="126"/>
        <v>44657.759999999995</v>
      </c>
      <c r="BB328" s="4524">
        <v>16982</v>
      </c>
      <c r="BC328" s="4638">
        <f t="shared" si="127"/>
        <v>14264.88</v>
      </c>
      <c r="BD328" s="4524">
        <v>60013</v>
      </c>
      <c r="BE328" s="4638">
        <f t="shared" si="128"/>
        <v>50410.92</v>
      </c>
      <c r="BF328" s="4524"/>
      <c r="BG328" s="4638"/>
      <c r="BH328" s="4543"/>
      <c r="BI328" s="4543"/>
      <c r="BJ328" s="4543"/>
      <c r="BK328" s="3185"/>
      <c r="BL328" s="4543"/>
      <c r="BM328" s="4543"/>
      <c r="BN328" s="4554"/>
      <c r="BO328" s="4554"/>
      <c r="BP328" s="4554"/>
      <c r="BQ328" s="4554"/>
      <c r="BR328" s="4557"/>
    </row>
    <row r="329" spans="1:70" ht="39" customHeight="1" x14ac:dyDescent="0.2">
      <c r="A329" s="995"/>
      <c r="B329" s="996"/>
      <c r="C329" s="997"/>
      <c r="D329" s="996"/>
      <c r="E329" s="996"/>
      <c r="F329" s="997"/>
      <c r="G329" s="996"/>
      <c r="H329" s="996"/>
      <c r="I329" s="997"/>
      <c r="J329" s="4518"/>
      <c r="K329" s="4521"/>
      <c r="L329" s="4524"/>
      <c r="M329" s="4524"/>
      <c r="N329" s="4526"/>
      <c r="O329" s="4524"/>
      <c r="P329" s="4528"/>
      <c r="Q329" s="4521"/>
      <c r="R329" s="4531"/>
      <c r="S329" s="4534"/>
      <c r="T329" s="4521"/>
      <c r="U329" s="4521"/>
      <c r="V329" s="1126" t="s">
        <v>1225</v>
      </c>
      <c r="W329" s="2601">
        <v>10000000</v>
      </c>
      <c r="X329" s="1809">
        <v>10000000</v>
      </c>
      <c r="Y329" s="1809">
        <v>10000000</v>
      </c>
      <c r="Z329" s="977">
        <v>20</v>
      </c>
      <c r="AA329" s="1062" t="s">
        <v>86</v>
      </c>
      <c r="AB329" s="4524">
        <v>292684</v>
      </c>
      <c r="AC329" s="4638">
        <f t="shared" si="117"/>
        <v>245854.56</v>
      </c>
      <c r="AD329" s="4524">
        <v>282326</v>
      </c>
      <c r="AE329" s="4638">
        <f t="shared" si="118"/>
        <v>237153.84</v>
      </c>
      <c r="AF329" s="4524">
        <v>135912</v>
      </c>
      <c r="AG329" s="4638">
        <f t="shared" si="119"/>
        <v>114166.08</v>
      </c>
      <c r="AH329" s="4524">
        <v>45122</v>
      </c>
      <c r="AI329" s="4638">
        <f t="shared" si="120"/>
        <v>37902.479999999996</v>
      </c>
      <c r="AJ329" s="4524">
        <v>307101</v>
      </c>
      <c r="AK329" s="4638">
        <v>257964.84</v>
      </c>
      <c r="AL329" s="4524">
        <v>86875</v>
      </c>
      <c r="AM329" s="4638">
        <f t="shared" si="121"/>
        <v>72975</v>
      </c>
      <c r="AN329" s="4524">
        <v>2145</v>
      </c>
      <c r="AO329" s="4638">
        <f t="shared" si="122"/>
        <v>1801.8</v>
      </c>
      <c r="AP329" s="4524">
        <v>12718</v>
      </c>
      <c r="AQ329" s="4638">
        <f t="shared" si="123"/>
        <v>10683.119999999999</v>
      </c>
      <c r="AR329" s="4524">
        <v>26</v>
      </c>
      <c r="AS329" s="4638">
        <f t="shared" si="124"/>
        <v>21.84</v>
      </c>
      <c r="AT329" s="4524">
        <v>37</v>
      </c>
      <c r="AU329" s="4638">
        <f t="shared" si="125"/>
        <v>31.08</v>
      </c>
      <c r="AV329" s="4524" t="s">
        <v>767</v>
      </c>
      <c r="AW329" s="4638" t="s">
        <v>767</v>
      </c>
      <c r="AX329" s="4524" t="s">
        <v>767</v>
      </c>
      <c r="AY329" s="4638" t="s">
        <v>767</v>
      </c>
      <c r="AZ329" s="4524">
        <v>53164</v>
      </c>
      <c r="BA329" s="4638">
        <f t="shared" si="126"/>
        <v>44657.759999999995</v>
      </c>
      <c r="BB329" s="4524">
        <v>16982</v>
      </c>
      <c r="BC329" s="4638">
        <f t="shared" si="127"/>
        <v>14264.88</v>
      </c>
      <c r="BD329" s="4524">
        <v>60013</v>
      </c>
      <c r="BE329" s="4638">
        <f t="shared" si="128"/>
        <v>50410.92</v>
      </c>
      <c r="BF329" s="4524"/>
      <c r="BG329" s="4638"/>
      <c r="BH329" s="4543"/>
      <c r="BI329" s="4543"/>
      <c r="BJ329" s="4543"/>
      <c r="BK329" s="3185"/>
      <c r="BL329" s="4543"/>
      <c r="BM329" s="4543"/>
      <c r="BN329" s="4554"/>
      <c r="BO329" s="4554"/>
      <c r="BP329" s="4554"/>
      <c r="BQ329" s="4554"/>
      <c r="BR329" s="4557"/>
    </row>
    <row r="330" spans="1:70" ht="42.75" x14ac:dyDescent="0.2">
      <c r="A330" s="995"/>
      <c r="B330" s="996"/>
      <c r="C330" s="997"/>
      <c r="D330" s="996"/>
      <c r="E330" s="996"/>
      <c r="F330" s="997"/>
      <c r="G330" s="996"/>
      <c r="H330" s="996"/>
      <c r="I330" s="997"/>
      <c r="J330" s="4518"/>
      <c r="K330" s="4521"/>
      <c r="L330" s="4524"/>
      <c r="M330" s="4524"/>
      <c r="N330" s="4526"/>
      <c r="O330" s="4524"/>
      <c r="P330" s="4528"/>
      <c r="Q330" s="4521"/>
      <c r="R330" s="4531"/>
      <c r="S330" s="4534"/>
      <c r="T330" s="4521"/>
      <c r="U330" s="4522"/>
      <c r="V330" s="1126" t="s">
        <v>1226</v>
      </c>
      <c r="W330" s="2601">
        <v>10000000</v>
      </c>
      <c r="X330" s="1809">
        <v>10000000</v>
      </c>
      <c r="Y330" s="1809">
        <v>10000000</v>
      </c>
      <c r="Z330" s="977">
        <v>20</v>
      </c>
      <c r="AA330" s="1062" t="s">
        <v>86</v>
      </c>
      <c r="AB330" s="4524">
        <v>292684</v>
      </c>
      <c r="AC330" s="4638">
        <f t="shared" si="117"/>
        <v>245854.56</v>
      </c>
      <c r="AD330" s="4524">
        <v>282326</v>
      </c>
      <c r="AE330" s="4638">
        <f t="shared" si="118"/>
        <v>237153.84</v>
      </c>
      <c r="AF330" s="4524">
        <v>135912</v>
      </c>
      <c r="AG330" s="4638">
        <f t="shared" si="119"/>
        <v>114166.08</v>
      </c>
      <c r="AH330" s="4524">
        <v>45122</v>
      </c>
      <c r="AI330" s="4638">
        <f t="shared" si="120"/>
        <v>37902.479999999996</v>
      </c>
      <c r="AJ330" s="4524">
        <v>307101</v>
      </c>
      <c r="AK330" s="4638">
        <v>257964.84</v>
      </c>
      <c r="AL330" s="4524">
        <v>86875</v>
      </c>
      <c r="AM330" s="4638">
        <f t="shared" si="121"/>
        <v>72975</v>
      </c>
      <c r="AN330" s="4524">
        <v>2145</v>
      </c>
      <c r="AO330" s="4638">
        <f t="shared" si="122"/>
        <v>1801.8</v>
      </c>
      <c r="AP330" s="4524">
        <v>12718</v>
      </c>
      <c r="AQ330" s="4638">
        <f t="shared" si="123"/>
        <v>10683.119999999999</v>
      </c>
      <c r="AR330" s="4524">
        <v>26</v>
      </c>
      <c r="AS330" s="4638">
        <f t="shared" si="124"/>
        <v>21.84</v>
      </c>
      <c r="AT330" s="4524">
        <v>37</v>
      </c>
      <c r="AU330" s="4638">
        <f t="shared" si="125"/>
        <v>31.08</v>
      </c>
      <c r="AV330" s="4524" t="s">
        <v>767</v>
      </c>
      <c r="AW330" s="4638" t="s">
        <v>767</v>
      </c>
      <c r="AX330" s="4524" t="s">
        <v>767</v>
      </c>
      <c r="AY330" s="4638" t="s">
        <v>767</v>
      </c>
      <c r="AZ330" s="4524">
        <v>53164</v>
      </c>
      <c r="BA330" s="4638">
        <f t="shared" si="126"/>
        <v>44657.759999999995</v>
      </c>
      <c r="BB330" s="4524">
        <v>16982</v>
      </c>
      <c r="BC330" s="4638">
        <f t="shared" si="127"/>
        <v>14264.88</v>
      </c>
      <c r="BD330" s="4524">
        <v>60013</v>
      </c>
      <c r="BE330" s="4638">
        <f t="shared" si="128"/>
        <v>50410.92</v>
      </c>
      <c r="BF330" s="4524"/>
      <c r="BG330" s="4638"/>
      <c r="BH330" s="4543"/>
      <c r="BI330" s="4543"/>
      <c r="BJ330" s="4543"/>
      <c r="BK330" s="3185"/>
      <c r="BL330" s="4543"/>
      <c r="BM330" s="4543"/>
      <c r="BN330" s="4554"/>
      <c r="BO330" s="4554"/>
      <c r="BP330" s="4554"/>
      <c r="BQ330" s="4554"/>
      <c r="BR330" s="4557"/>
    </row>
    <row r="331" spans="1:70" ht="42.75" x14ac:dyDescent="0.2">
      <c r="A331" s="995"/>
      <c r="B331" s="996"/>
      <c r="C331" s="997"/>
      <c r="D331" s="996"/>
      <c r="E331" s="996"/>
      <c r="F331" s="997"/>
      <c r="G331" s="1003"/>
      <c r="H331" s="1003"/>
      <c r="I331" s="1004"/>
      <c r="J331" s="4519"/>
      <c r="K331" s="4522"/>
      <c r="L331" s="4525"/>
      <c r="M331" s="4525"/>
      <c r="N331" s="4526"/>
      <c r="O331" s="4525"/>
      <c r="P331" s="4529"/>
      <c r="Q331" s="4522"/>
      <c r="R331" s="4532"/>
      <c r="S331" s="4535"/>
      <c r="T331" s="4522"/>
      <c r="U331" s="1005" t="s">
        <v>1227</v>
      </c>
      <c r="V331" s="1127" t="s">
        <v>1228</v>
      </c>
      <c r="W331" s="2601">
        <v>15000000</v>
      </c>
      <c r="X331" s="1809">
        <v>15000000</v>
      </c>
      <c r="Y331" s="1809">
        <v>15000000</v>
      </c>
      <c r="Z331" s="977">
        <v>20</v>
      </c>
      <c r="AA331" s="1062" t="s">
        <v>86</v>
      </c>
      <c r="AB331" s="4525">
        <v>292684</v>
      </c>
      <c r="AC331" s="4639">
        <f t="shared" si="117"/>
        <v>245854.56</v>
      </c>
      <c r="AD331" s="4525">
        <v>282326</v>
      </c>
      <c r="AE331" s="4639">
        <f t="shared" si="118"/>
        <v>237153.84</v>
      </c>
      <c r="AF331" s="4525">
        <v>135912</v>
      </c>
      <c r="AG331" s="4639">
        <f t="shared" si="119"/>
        <v>114166.08</v>
      </c>
      <c r="AH331" s="4525">
        <v>45122</v>
      </c>
      <c r="AI331" s="4639">
        <f t="shared" si="120"/>
        <v>37902.479999999996</v>
      </c>
      <c r="AJ331" s="4525">
        <v>307101</v>
      </c>
      <c r="AK331" s="4639">
        <v>257964.84</v>
      </c>
      <c r="AL331" s="4525">
        <v>86875</v>
      </c>
      <c r="AM331" s="4639">
        <f t="shared" si="121"/>
        <v>72975</v>
      </c>
      <c r="AN331" s="4525">
        <v>2145</v>
      </c>
      <c r="AO331" s="4639">
        <f t="shared" si="122"/>
        <v>1801.8</v>
      </c>
      <c r="AP331" s="4525">
        <v>12718</v>
      </c>
      <c r="AQ331" s="4639">
        <f t="shared" si="123"/>
        <v>10683.119999999999</v>
      </c>
      <c r="AR331" s="4525">
        <v>26</v>
      </c>
      <c r="AS331" s="4639">
        <f t="shared" si="124"/>
        <v>21.84</v>
      </c>
      <c r="AT331" s="4525">
        <v>37</v>
      </c>
      <c r="AU331" s="4639">
        <f t="shared" si="125"/>
        <v>31.08</v>
      </c>
      <c r="AV331" s="4525" t="s">
        <v>767</v>
      </c>
      <c r="AW331" s="4639" t="s">
        <v>767</v>
      </c>
      <c r="AX331" s="4525" t="s">
        <v>767</v>
      </c>
      <c r="AY331" s="4639" t="s">
        <v>767</v>
      </c>
      <c r="AZ331" s="4525">
        <v>53164</v>
      </c>
      <c r="BA331" s="4639">
        <f t="shared" si="126"/>
        <v>44657.759999999995</v>
      </c>
      <c r="BB331" s="4525">
        <v>16982</v>
      </c>
      <c r="BC331" s="4639">
        <f t="shared" si="127"/>
        <v>14264.88</v>
      </c>
      <c r="BD331" s="4525">
        <v>60013</v>
      </c>
      <c r="BE331" s="4639">
        <f t="shared" si="128"/>
        <v>50410.92</v>
      </c>
      <c r="BF331" s="4525"/>
      <c r="BG331" s="4639"/>
      <c r="BH331" s="4544"/>
      <c r="BI331" s="4544"/>
      <c r="BJ331" s="4544"/>
      <c r="BK331" s="3186"/>
      <c r="BL331" s="4544"/>
      <c r="BM331" s="4544"/>
      <c r="BN331" s="4555"/>
      <c r="BO331" s="4555"/>
      <c r="BP331" s="4555"/>
      <c r="BQ331" s="4555"/>
      <c r="BR331" s="4558"/>
    </row>
    <row r="332" spans="1:70" ht="36" customHeight="1" x14ac:dyDescent="0.2">
      <c r="A332" s="957"/>
      <c r="B332" s="958"/>
      <c r="C332" s="959"/>
      <c r="D332" s="958"/>
      <c r="E332" s="958"/>
      <c r="F332" s="959"/>
      <c r="G332" s="991">
        <v>53</v>
      </c>
      <c r="H332" s="963" t="s">
        <v>1229</v>
      </c>
      <c r="I332" s="963"/>
      <c r="J332" s="1083"/>
      <c r="K332" s="1084"/>
      <c r="L332" s="963"/>
      <c r="M332" s="963"/>
      <c r="N332" s="963"/>
      <c r="O332" s="965"/>
      <c r="P332" s="992"/>
      <c r="Q332" s="964"/>
      <c r="R332" s="963"/>
      <c r="S332" s="993"/>
      <c r="T332" s="963"/>
      <c r="U332" s="964"/>
      <c r="V332" s="964"/>
      <c r="W332" s="2607"/>
      <c r="X332" s="2607"/>
      <c r="Y332" s="2607"/>
      <c r="Z332" s="994"/>
      <c r="AA332" s="965"/>
      <c r="AB332" s="965"/>
      <c r="AC332" s="965"/>
      <c r="AD332" s="965"/>
      <c r="AE332" s="965"/>
      <c r="AF332" s="1128"/>
      <c r="AG332" s="1128"/>
      <c r="AH332" s="1128"/>
      <c r="AI332" s="1128"/>
      <c r="AJ332" s="1129"/>
      <c r="AK332" s="1129"/>
      <c r="AL332" s="1128"/>
      <c r="AM332" s="1128"/>
      <c r="AN332" s="1128"/>
      <c r="AO332" s="1128"/>
      <c r="AP332" s="1128"/>
      <c r="AQ332" s="1128"/>
      <c r="AR332" s="1128"/>
      <c r="AS332" s="1128"/>
      <c r="AT332" s="1114"/>
      <c r="AU332" s="1114"/>
      <c r="AV332" s="1128"/>
      <c r="AW332" s="1128"/>
      <c r="AX332" s="1129"/>
      <c r="AY332" s="1129"/>
      <c r="AZ332" s="1128"/>
      <c r="BA332" s="1128"/>
      <c r="BB332" s="1128"/>
      <c r="BC332" s="1128"/>
      <c r="BD332" s="1129"/>
      <c r="BE332" s="1129"/>
      <c r="BF332" s="1128"/>
      <c r="BG332" s="1128"/>
      <c r="BH332" s="1128"/>
      <c r="BI332" s="1128"/>
      <c r="BJ332" s="1128"/>
      <c r="BK332" s="1128"/>
      <c r="BL332" s="1128"/>
      <c r="BM332" s="1128"/>
      <c r="BN332" s="963"/>
      <c r="BO332" s="963"/>
      <c r="BP332" s="963"/>
      <c r="BQ332" s="963"/>
      <c r="BR332" s="970"/>
    </row>
    <row r="333" spans="1:70" ht="70.5" customHeight="1" x14ac:dyDescent="0.2">
      <c r="A333" s="971"/>
      <c r="B333" s="972"/>
      <c r="C333" s="973"/>
      <c r="D333" s="972"/>
      <c r="E333" s="972"/>
      <c r="F333" s="973"/>
      <c r="G333" s="975"/>
      <c r="H333" s="975"/>
      <c r="I333" s="975"/>
      <c r="J333" s="4614">
        <v>173</v>
      </c>
      <c r="K333" s="4584" t="s">
        <v>1230</v>
      </c>
      <c r="L333" s="4640" t="s">
        <v>759</v>
      </c>
      <c r="M333" s="4715">
        <v>7</v>
      </c>
      <c r="N333" s="4715">
        <v>4</v>
      </c>
      <c r="O333" s="4523" t="s">
        <v>1231</v>
      </c>
      <c r="P333" s="4527" t="s">
        <v>1232</v>
      </c>
      <c r="Q333" s="4520" t="s">
        <v>1233</v>
      </c>
      <c r="R333" s="4530">
        <f>+SUM(W333:W336)/S333</f>
        <v>0.17825311942959002</v>
      </c>
      <c r="S333" s="4533">
        <f>SUM(W333:W342)</f>
        <v>56100000</v>
      </c>
      <c r="T333" s="4520" t="s">
        <v>1234</v>
      </c>
      <c r="U333" s="4520" t="s">
        <v>1235</v>
      </c>
      <c r="V333" s="1057" t="s">
        <v>1236</v>
      </c>
      <c r="W333" s="2601">
        <v>2000000</v>
      </c>
      <c r="X333" s="1809">
        <v>1770000</v>
      </c>
      <c r="Y333" s="1809">
        <v>1199100</v>
      </c>
      <c r="Z333" s="977">
        <v>20</v>
      </c>
      <c r="AA333" s="1062" t="s">
        <v>86</v>
      </c>
      <c r="AB333" s="4523">
        <v>292684</v>
      </c>
      <c r="AC333" s="4637">
        <f t="shared" ref="AC333" si="130">SUM(AB333*0.84)</f>
        <v>245854.56</v>
      </c>
      <c r="AD333" s="4523">
        <v>282326</v>
      </c>
      <c r="AE333" s="4637">
        <f t="shared" ref="AE333:AE342" si="131">SUM(AD333*0.84)</f>
        <v>237153.84</v>
      </c>
      <c r="AF333" s="4523">
        <v>135912</v>
      </c>
      <c r="AG333" s="4637">
        <f t="shared" ref="AG333:AG342" si="132">SUM(AF333*0.84)</f>
        <v>114166.08</v>
      </c>
      <c r="AH333" s="4523">
        <v>45122</v>
      </c>
      <c r="AI333" s="4637">
        <f t="shared" ref="AI333:AI342" si="133">SUM(AH333*0.84)</f>
        <v>37902.479999999996</v>
      </c>
      <c r="AJ333" s="4523">
        <v>307101</v>
      </c>
      <c r="AK333" s="4637">
        <v>257964.84</v>
      </c>
      <c r="AL333" s="4523">
        <v>86875</v>
      </c>
      <c r="AM333" s="4637">
        <f t="shared" ref="AM333:AM342" si="134">SUM(AL333*0.84)</f>
        <v>72975</v>
      </c>
      <c r="AN333" s="4523">
        <v>2145</v>
      </c>
      <c r="AO333" s="4637">
        <f t="shared" ref="AO333:AO342" si="135">SUM(AN333*0.84)</f>
        <v>1801.8</v>
      </c>
      <c r="AP333" s="4523">
        <v>12718</v>
      </c>
      <c r="AQ333" s="4637">
        <f t="shared" ref="AQ333:AQ342" si="136">SUM(AP333*0.84)</f>
        <v>10683.119999999999</v>
      </c>
      <c r="AR333" s="4523">
        <v>26</v>
      </c>
      <c r="AS333" s="4637">
        <f t="shared" ref="AS333:AS342" si="137">SUM(AR333*0.84)</f>
        <v>21.84</v>
      </c>
      <c r="AT333" s="4523">
        <v>37</v>
      </c>
      <c r="AU333" s="4637">
        <f t="shared" ref="AU333:AU342" si="138">SUM(AT333*0.84)</f>
        <v>31.08</v>
      </c>
      <c r="AV333" s="4523" t="s">
        <v>767</v>
      </c>
      <c r="AW333" s="4637" t="s">
        <v>767</v>
      </c>
      <c r="AX333" s="4523" t="s">
        <v>767</v>
      </c>
      <c r="AY333" s="4637" t="s">
        <v>767</v>
      </c>
      <c r="AZ333" s="4523">
        <v>53164</v>
      </c>
      <c r="BA333" s="4637">
        <f t="shared" ref="BA333:BA342" si="139">SUM(AZ333*0.84)</f>
        <v>44657.759999999995</v>
      </c>
      <c r="BB333" s="4523">
        <v>16982</v>
      </c>
      <c r="BC333" s="4637">
        <f t="shared" ref="BC333:BC342" si="140">SUM(BB333*0.84)</f>
        <v>14264.88</v>
      </c>
      <c r="BD333" s="4523">
        <v>60013</v>
      </c>
      <c r="BE333" s="4637">
        <f t="shared" ref="BE333:BE342" si="141">SUM(BD333*0.84)</f>
        <v>50410.92</v>
      </c>
      <c r="BF333" s="4523">
        <v>575010</v>
      </c>
      <c r="BG333" s="4637">
        <f t="shared" ref="BG333" si="142">SUM(BF333*0.84)</f>
        <v>483008.39999999997</v>
      </c>
      <c r="BH333" s="4542">
        <v>4</v>
      </c>
      <c r="BI333" s="4568">
        <f>SUM(X333:X342)</f>
        <v>27980000</v>
      </c>
      <c r="BJ333" s="4568">
        <f>SUM(Y333:Y342)</f>
        <v>22384000</v>
      </c>
      <c r="BK333" s="3184">
        <f>+BJ333/BI333</f>
        <v>0.8</v>
      </c>
      <c r="BL333" s="4542" t="s">
        <v>1237</v>
      </c>
      <c r="BM333" s="4542" t="s">
        <v>1140</v>
      </c>
      <c r="BN333" s="4553">
        <v>43467</v>
      </c>
      <c r="BO333" s="4553">
        <v>43830</v>
      </c>
      <c r="BP333" s="4553">
        <v>43830</v>
      </c>
      <c r="BQ333" s="4553">
        <v>43830</v>
      </c>
      <c r="BR333" s="4556" t="s">
        <v>770</v>
      </c>
    </row>
    <row r="334" spans="1:70" ht="60.75" customHeight="1" x14ac:dyDescent="0.2">
      <c r="A334" s="971"/>
      <c r="B334" s="972"/>
      <c r="C334" s="973"/>
      <c r="D334" s="972"/>
      <c r="E334" s="972"/>
      <c r="F334" s="973"/>
      <c r="G334" s="972"/>
      <c r="H334" s="972"/>
      <c r="I334" s="972"/>
      <c r="J334" s="4682"/>
      <c r="K334" s="4584"/>
      <c r="L334" s="4641"/>
      <c r="M334" s="4716"/>
      <c r="N334" s="4716"/>
      <c r="O334" s="4524"/>
      <c r="P334" s="4528"/>
      <c r="Q334" s="4521"/>
      <c r="R334" s="4531"/>
      <c r="S334" s="4534"/>
      <c r="T334" s="4521"/>
      <c r="U334" s="4521"/>
      <c r="V334" s="1057" t="s">
        <v>1238</v>
      </c>
      <c r="W334" s="2601">
        <v>2000000</v>
      </c>
      <c r="X334" s="1809">
        <v>1770000</v>
      </c>
      <c r="Y334" s="1809">
        <v>1199100</v>
      </c>
      <c r="Z334" s="977">
        <v>20</v>
      </c>
      <c r="AA334" s="1062" t="s">
        <v>86</v>
      </c>
      <c r="AB334" s="4524"/>
      <c r="AC334" s="4638"/>
      <c r="AD334" s="4524">
        <v>282326</v>
      </c>
      <c r="AE334" s="4638">
        <f t="shared" si="131"/>
        <v>237153.84</v>
      </c>
      <c r="AF334" s="4524">
        <v>135912</v>
      </c>
      <c r="AG334" s="4638">
        <f t="shared" si="132"/>
        <v>114166.08</v>
      </c>
      <c r="AH334" s="4524">
        <v>45122</v>
      </c>
      <c r="AI334" s="4638">
        <f t="shared" si="133"/>
        <v>37902.479999999996</v>
      </c>
      <c r="AJ334" s="4524">
        <v>307101</v>
      </c>
      <c r="AK334" s="4638">
        <v>257964.84</v>
      </c>
      <c r="AL334" s="4524">
        <v>86875</v>
      </c>
      <c r="AM334" s="4638">
        <f t="shared" si="134"/>
        <v>72975</v>
      </c>
      <c r="AN334" s="4524">
        <v>2145</v>
      </c>
      <c r="AO334" s="4638">
        <f t="shared" si="135"/>
        <v>1801.8</v>
      </c>
      <c r="AP334" s="4524">
        <v>12718</v>
      </c>
      <c r="AQ334" s="4638">
        <f t="shared" si="136"/>
        <v>10683.119999999999</v>
      </c>
      <c r="AR334" s="4524">
        <v>26</v>
      </c>
      <c r="AS334" s="4638">
        <f t="shared" si="137"/>
        <v>21.84</v>
      </c>
      <c r="AT334" s="4524">
        <v>37</v>
      </c>
      <c r="AU334" s="4638">
        <f t="shared" si="138"/>
        <v>31.08</v>
      </c>
      <c r="AV334" s="4524" t="s">
        <v>767</v>
      </c>
      <c r="AW334" s="4638" t="s">
        <v>767</v>
      </c>
      <c r="AX334" s="4524" t="s">
        <v>767</v>
      </c>
      <c r="AY334" s="4638" t="s">
        <v>767</v>
      </c>
      <c r="AZ334" s="4524">
        <v>53164</v>
      </c>
      <c r="BA334" s="4638">
        <f t="shared" si="139"/>
        <v>44657.759999999995</v>
      </c>
      <c r="BB334" s="4524">
        <v>16982</v>
      </c>
      <c r="BC334" s="4638">
        <f t="shared" si="140"/>
        <v>14264.88</v>
      </c>
      <c r="BD334" s="4524">
        <v>60013</v>
      </c>
      <c r="BE334" s="4638">
        <f t="shared" si="141"/>
        <v>50410.92</v>
      </c>
      <c r="BF334" s="4524">
        <v>575010</v>
      </c>
      <c r="BG334" s="4638"/>
      <c r="BH334" s="4543"/>
      <c r="BI334" s="4543"/>
      <c r="BJ334" s="4543"/>
      <c r="BK334" s="3185"/>
      <c r="BL334" s="4543"/>
      <c r="BM334" s="4543"/>
      <c r="BN334" s="4554"/>
      <c r="BO334" s="4554"/>
      <c r="BP334" s="4554"/>
      <c r="BQ334" s="4554"/>
      <c r="BR334" s="4557"/>
    </row>
    <row r="335" spans="1:70" ht="42.75" customHeight="1" x14ac:dyDescent="0.2">
      <c r="A335" s="971"/>
      <c r="B335" s="972"/>
      <c r="C335" s="973"/>
      <c r="D335" s="972"/>
      <c r="E335" s="972"/>
      <c r="F335" s="973"/>
      <c r="G335" s="972"/>
      <c r="H335" s="972"/>
      <c r="I335" s="972"/>
      <c r="J335" s="4682"/>
      <c r="K335" s="4584"/>
      <c r="L335" s="4641"/>
      <c r="M335" s="4716"/>
      <c r="N335" s="4716"/>
      <c r="O335" s="4524"/>
      <c r="P335" s="4528"/>
      <c r="Q335" s="4521"/>
      <c r="R335" s="4531"/>
      <c r="S335" s="4534"/>
      <c r="T335" s="4521"/>
      <c r="U335" s="4521"/>
      <c r="V335" s="4604" t="s">
        <v>1239</v>
      </c>
      <c r="W335" s="2601">
        <v>2000000</v>
      </c>
      <c r="X335" s="1809">
        <v>1770000</v>
      </c>
      <c r="Y335" s="1809">
        <v>1199100</v>
      </c>
      <c r="Z335" s="977">
        <v>20</v>
      </c>
      <c r="AA335" s="1062" t="s">
        <v>86</v>
      </c>
      <c r="AB335" s="4524"/>
      <c r="AC335" s="4638"/>
      <c r="AD335" s="4524">
        <v>282326</v>
      </c>
      <c r="AE335" s="4638">
        <f t="shared" si="131"/>
        <v>237153.84</v>
      </c>
      <c r="AF335" s="4524">
        <v>135912</v>
      </c>
      <c r="AG335" s="4638">
        <f t="shared" si="132"/>
        <v>114166.08</v>
      </c>
      <c r="AH335" s="4524">
        <v>45122</v>
      </c>
      <c r="AI335" s="4638">
        <f t="shared" si="133"/>
        <v>37902.479999999996</v>
      </c>
      <c r="AJ335" s="4524">
        <v>307101</v>
      </c>
      <c r="AK335" s="4638">
        <v>257964.84</v>
      </c>
      <c r="AL335" s="4524">
        <v>86875</v>
      </c>
      <c r="AM335" s="4638">
        <f t="shared" si="134"/>
        <v>72975</v>
      </c>
      <c r="AN335" s="4524">
        <v>2145</v>
      </c>
      <c r="AO335" s="4638">
        <f t="shared" si="135"/>
        <v>1801.8</v>
      </c>
      <c r="AP335" s="4524">
        <v>12718</v>
      </c>
      <c r="AQ335" s="4638">
        <f t="shared" si="136"/>
        <v>10683.119999999999</v>
      </c>
      <c r="AR335" s="4524">
        <v>26</v>
      </c>
      <c r="AS335" s="4638">
        <f t="shared" si="137"/>
        <v>21.84</v>
      </c>
      <c r="AT335" s="4524">
        <v>37</v>
      </c>
      <c r="AU335" s="4638">
        <f t="shared" si="138"/>
        <v>31.08</v>
      </c>
      <c r="AV335" s="4524" t="s">
        <v>767</v>
      </c>
      <c r="AW335" s="4638" t="s">
        <v>767</v>
      </c>
      <c r="AX335" s="4524" t="s">
        <v>767</v>
      </c>
      <c r="AY335" s="4638" t="s">
        <v>767</v>
      </c>
      <c r="AZ335" s="4524">
        <v>53164</v>
      </c>
      <c r="BA335" s="4638">
        <f t="shared" si="139"/>
        <v>44657.759999999995</v>
      </c>
      <c r="BB335" s="4524">
        <v>16982</v>
      </c>
      <c r="BC335" s="4638">
        <f t="shared" si="140"/>
        <v>14264.88</v>
      </c>
      <c r="BD335" s="4524">
        <v>60013</v>
      </c>
      <c r="BE335" s="4638">
        <f t="shared" si="141"/>
        <v>50410.92</v>
      </c>
      <c r="BF335" s="4524">
        <v>575010</v>
      </c>
      <c r="BG335" s="4638"/>
      <c r="BH335" s="4543"/>
      <c r="BI335" s="4543"/>
      <c r="BJ335" s="4543"/>
      <c r="BK335" s="3185"/>
      <c r="BL335" s="4543"/>
      <c r="BM335" s="4543"/>
      <c r="BN335" s="4554"/>
      <c r="BO335" s="4554"/>
      <c r="BP335" s="4554"/>
      <c r="BQ335" s="4554"/>
      <c r="BR335" s="4557"/>
    </row>
    <row r="336" spans="1:70" ht="33" customHeight="1" x14ac:dyDescent="0.2">
      <c r="A336" s="971"/>
      <c r="B336" s="972"/>
      <c r="C336" s="973"/>
      <c r="D336" s="972"/>
      <c r="E336" s="972"/>
      <c r="F336" s="973"/>
      <c r="G336" s="972"/>
      <c r="H336" s="972"/>
      <c r="I336" s="972"/>
      <c r="J336" s="4682"/>
      <c r="K336" s="4584"/>
      <c r="L336" s="4641"/>
      <c r="M336" s="4716"/>
      <c r="N336" s="4716"/>
      <c r="O336" s="4524"/>
      <c r="P336" s="4528"/>
      <c r="Q336" s="4521"/>
      <c r="R336" s="4532"/>
      <c r="S336" s="4534"/>
      <c r="T336" s="4521"/>
      <c r="U336" s="4522"/>
      <c r="V336" s="4627"/>
      <c r="W336" s="2595">
        <v>4000000</v>
      </c>
      <c r="X336" s="1809">
        <v>0</v>
      </c>
      <c r="Y336" s="1809">
        <v>0</v>
      </c>
      <c r="Z336" s="1009">
        <v>96</v>
      </c>
      <c r="AA336" s="1027" t="s">
        <v>1155</v>
      </c>
      <c r="AB336" s="4524"/>
      <c r="AC336" s="4638"/>
      <c r="AD336" s="4524">
        <v>282326</v>
      </c>
      <c r="AE336" s="4638">
        <f t="shared" si="131"/>
        <v>237153.84</v>
      </c>
      <c r="AF336" s="4524">
        <v>135912</v>
      </c>
      <c r="AG336" s="4638">
        <f t="shared" si="132"/>
        <v>114166.08</v>
      </c>
      <c r="AH336" s="4524">
        <v>45122</v>
      </c>
      <c r="AI336" s="4638">
        <f t="shared" si="133"/>
        <v>37902.479999999996</v>
      </c>
      <c r="AJ336" s="4524">
        <v>307101</v>
      </c>
      <c r="AK336" s="4638">
        <v>257964.84</v>
      </c>
      <c r="AL336" s="4524">
        <v>86875</v>
      </c>
      <c r="AM336" s="4638">
        <f t="shared" si="134"/>
        <v>72975</v>
      </c>
      <c r="AN336" s="4524">
        <v>2145</v>
      </c>
      <c r="AO336" s="4638">
        <f t="shared" si="135"/>
        <v>1801.8</v>
      </c>
      <c r="AP336" s="4524">
        <v>12718</v>
      </c>
      <c r="AQ336" s="4638">
        <f t="shared" si="136"/>
        <v>10683.119999999999</v>
      </c>
      <c r="AR336" s="4524">
        <v>26</v>
      </c>
      <c r="AS336" s="4638">
        <f t="shared" si="137"/>
        <v>21.84</v>
      </c>
      <c r="AT336" s="4524">
        <v>37</v>
      </c>
      <c r="AU336" s="4638">
        <f t="shared" si="138"/>
        <v>31.08</v>
      </c>
      <c r="AV336" s="4524" t="s">
        <v>767</v>
      </c>
      <c r="AW336" s="4638" t="s">
        <v>767</v>
      </c>
      <c r="AX336" s="4524" t="s">
        <v>767</v>
      </c>
      <c r="AY336" s="4638" t="s">
        <v>767</v>
      </c>
      <c r="AZ336" s="4524">
        <v>53164</v>
      </c>
      <c r="BA336" s="4638">
        <f t="shared" si="139"/>
        <v>44657.759999999995</v>
      </c>
      <c r="BB336" s="4524">
        <v>16982</v>
      </c>
      <c r="BC336" s="4638">
        <f t="shared" si="140"/>
        <v>14264.88</v>
      </c>
      <c r="BD336" s="4524">
        <v>60013</v>
      </c>
      <c r="BE336" s="4638">
        <f t="shared" si="141"/>
        <v>50410.92</v>
      </c>
      <c r="BF336" s="4524">
        <v>575010</v>
      </c>
      <c r="BG336" s="4638"/>
      <c r="BH336" s="4543"/>
      <c r="BI336" s="4543"/>
      <c r="BJ336" s="4543"/>
      <c r="BK336" s="3185"/>
      <c r="BL336" s="4543"/>
      <c r="BM336" s="4543"/>
      <c r="BN336" s="4554"/>
      <c r="BO336" s="4554"/>
      <c r="BP336" s="4554"/>
      <c r="BQ336" s="4554"/>
      <c r="BR336" s="4557"/>
    </row>
    <row r="337" spans="1:70" ht="34.5" customHeight="1" x14ac:dyDescent="0.2">
      <c r="A337" s="971"/>
      <c r="B337" s="972"/>
      <c r="C337" s="973"/>
      <c r="D337" s="972"/>
      <c r="E337" s="972"/>
      <c r="F337" s="973"/>
      <c r="G337" s="972"/>
      <c r="H337" s="972"/>
      <c r="I337" s="972"/>
      <c r="J337" s="4682"/>
      <c r="K337" s="4584"/>
      <c r="L337" s="4641"/>
      <c r="M337" s="4716"/>
      <c r="N337" s="4716"/>
      <c r="O337" s="4524"/>
      <c r="P337" s="4528"/>
      <c r="Q337" s="4521"/>
      <c r="R337" s="4530">
        <f>+SUM(W337:W338)/S333</f>
        <v>0.15151515151515152</v>
      </c>
      <c r="S337" s="4534"/>
      <c r="T337" s="4521"/>
      <c r="U337" s="4548" t="s">
        <v>1240</v>
      </c>
      <c r="V337" s="4604" t="s">
        <v>1241</v>
      </c>
      <c r="W337" s="2595">
        <v>5000000</v>
      </c>
      <c r="X337" s="1809">
        <f>1770000+1770000</f>
        <v>3540000</v>
      </c>
      <c r="Y337" s="1809">
        <v>1199400</v>
      </c>
      <c r="Z337" s="1009">
        <v>20</v>
      </c>
      <c r="AA337" s="1027" t="s">
        <v>86</v>
      </c>
      <c r="AB337" s="4524"/>
      <c r="AC337" s="4638"/>
      <c r="AD337" s="4524">
        <v>282326</v>
      </c>
      <c r="AE337" s="4638">
        <f t="shared" si="131"/>
        <v>237153.84</v>
      </c>
      <c r="AF337" s="4524">
        <v>135912</v>
      </c>
      <c r="AG337" s="4638">
        <f t="shared" si="132"/>
        <v>114166.08</v>
      </c>
      <c r="AH337" s="4524">
        <v>45122</v>
      </c>
      <c r="AI337" s="4638">
        <f t="shared" si="133"/>
        <v>37902.479999999996</v>
      </c>
      <c r="AJ337" s="4524">
        <v>307101</v>
      </c>
      <c r="AK337" s="4638">
        <v>257964.84</v>
      </c>
      <c r="AL337" s="4524">
        <v>86875</v>
      </c>
      <c r="AM337" s="4638">
        <f t="shared" si="134"/>
        <v>72975</v>
      </c>
      <c r="AN337" s="4524">
        <v>2145</v>
      </c>
      <c r="AO337" s="4638">
        <f t="shared" si="135"/>
        <v>1801.8</v>
      </c>
      <c r="AP337" s="4524">
        <v>12718</v>
      </c>
      <c r="AQ337" s="4638">
        <f t="shared" si="136"/>
        <v>10683.119999999999</v>
      </c>
      <c r="AR337" s="4524">
        <v>26</v>
      </c>
      <c r="AS337" s="4638">
        <f t="shared" si="137"/>
        <v>21.84</v>
      </c>
      <c r="AT337" s="4524">
        <v>37</v>
      </c>
      <c r="AU337" s="4638">
        <f t="shared" si="138"/>
        <v>31.08</v>
      </c>
      <c r="AV337" s="4524" t="s">
        <v>767</v>
      </c>
      <c r="AW337" s="4638" t="s">
        <v>767</v>
      </c>
      <c r="AX337" s="4524" t="s">
        <v>767</v>
      </c>
      <c r="AY337" s="4638" t="s">
        <v>767</v>
      </c>
      <c r="AZ337" s="4524">
        <v>53164</v>
      </c>
      <c r="BA337" s="4638">
        <f t="shared" si="139"/>
        <v>44657.759999999995</v>
      </c>
      <c r="BB337" s="4524">
        <v>16982</v>
      </c>
      <c r="BC337" s="4638">
        <f t="shared" si="140"/>
        <v>14264.88</v>
      </c>
      <c r="BD337" s="4524">
        <v>60013</v>
      </c>
      <c r="BE337" s="4638">
        <f t="shared" si="141"/>
        <v>50410.92</v>
      </c>
      <c r="BF337" s="4524">
        <v>575010</v>
      </c>
      <c r="BG337" s="4638"/>
      <c r="BH337" s="4543"/>
      <c r="BI337" s="4543"/>
      <c r="BJ337" s="4543"/>
      <c r="BK337" s="3185"/>
      <c r="BL337" s="4543"/>
      <c r="BM337" s="4543"/>
      <c r="BN337" s="4554"/>
      <c r="BO337" s="4554"/>
      <c r="BP337" s="4554"/>
      <c r="BQ337" s="4554"/>
      <c r="BR337" s="4557"/>
    </row>
    <row r="338" spans="1:70" ht="51" customHeight="1" x14ac:dyDescent="0.2">
      <c r="A338" s="971"/>
      <c r="B338" s="972"/>
      <c r="C338" s="973"/>
      <c r="D338" s="972"/>
      <c r="E338" s="972"/>
      <c r="F338" s="973"/>
      <c r="G338" s="972"/>
      <c r="H338" s="972"/>
      <c r="I338" s="972"/>
      <c r="J338" s="4682"/>
      <c r="K338" s="4584"/>
      <c r="L338" s="4641"/>
      <c r="M338" s="4716"/>
      <c r="N338" s="4716"/>
      <c r="O338" s="4524"/>
      <c r="P338" s="4528"/>
      <c r="Q338" s="4521"/>
      <c r="R338" s="4532"/>
      <c r="S338" s="4534"/>
      <c r="T338" s="4521"/>
      <c r="U338" s="4712"/>
      <c r="V338" s="4627"/>
      <c r="W338" s="2595">
        <v>3500000</v>
      </c>
      <c r="X338" s="1809">
        <v>0</v>
      </c>
      <c r="Y338" s="1809">
        <v>0</v>
      </c>
      <c r="Z338" s="1009">
        <v>96</v>
      </c>
      <c r="AA338" s="1027" t="s">
        <v>1155</v>
      </c>
      <c r="AB338" s="4524"/>
      <c r="AC338" s="4638"/>
      <c r="AD338" s="4524">
        <v>282326</v>
      </c>
      <c r="AE338" s="4638">
        <f t="shared" si="131"/>
        <v>237153.84</v>
      </c>
      <c r="AF338" s="4524">
        <v>135912</v>
      </c>
      <c r="AG338" s="4638">
        <f t="shared" si="132"/>
        <v>114166.08</v>
      </c>
      <c r="AH338" s="4524">
        <v>45122</v>
      </c>
      <c r="AI338" s="4638">
        <f t="shared" si="133"/>
        <v>37902.479999999996</v>
      </c>
      <c r="AJ338" s="4524">
        <v>307101</v>
      </c>
      <c r="AK338" s="4638">
        <v>257964.84</v>
      </c>
      <c r="AL338" s="4524">
        <v>86875</v>
      </c>
      <c r="AM338" s="4638">
        <f t="shared" si="134"/>
        <v>72975</v>
      </c>
      <c r="AN338" s="4524">
        <v>2145</v>
      </c>
      <c r="AO338" s="4638">
        <f t="shared" si="135"/>
        <v>1801.8</v>
      </c>
      <c r="AP338" s="4524">
        <v>12718</v>
      </c>
      <c r="AQ338" s="4638">
        <f t="shared" si="136"/>
        <v>10683.119999999999</v>
      </c>
      <c r="AR338" s="4524">
        <v>26</v>
      </c>
      <c r="AS338" s="4638">
        <f t="shared" si="137"/>
        <v>21.84</v>
      </c>
      <c r="AT338" s="4524">
        <v>37</v>
      </c>
      <c r="AU338" s="4638">
        <f t="shared" si="138"/>
        <v>31.08</v>
      </c>
      <c r="AV338" s="4524" t="s">
        <v>767</v>
      </c>
      <c r="AW338" s="4638" t="s">
        <v>767</v>
      </c>
      <c r="AX338" s="4524" t="s">
        <v>767</v>
      </c>
      <c r="AY338" s="4638" t="s">
        <v>767</v>
      </c>
      <c r="AZ338" s="4524">
        <v>53164</v>
      </c>
      <c r="BA338" s="4638">
        <f t="shared" si="139"/>
        <v>44657.759999999995</v>
      </c>
      <c r="BB338" s="4524">
        <v>16982</v>
      </c>
      <c r="BC338" s="4638">
        <f t="shared" si="140"/>
        <v>14264.88</v>
      </c>
      <c r="BD338" s="4524">
        <v>60013</v>
      </c>
      <c r="BE338" s="4638">
        <f t="shared" si="141"/>
        <v>50410.92</v>
      </c>
      <c r="BF338" s="4524">
        <v>575010</v>
      </c>
      <c r="BG338" s="4638"/>
      <c r="BH338" s="4543"/>
      <c r="BI338" s="4543"/>
      <c r="BJ338" s="4543"/>
      <c r="BK338" s="3185"/>
      <c r="BL338" s="4543"/>
      <c r="BM338" s="4543"/>
      <c r="BN338" s="4554"/>
      <c r="BO338" s="4554"/>
      <c r="BP338" s="4554"/>
      <c r="BQ338" s="4554"/>
      <c r="BR338" s="4557"/>
    </row>
    <row r="339" spans="1:70" ht="44.25" customHeight="1" x14ac:dyDescent="0.2">
      <c r="A339" s="971"/>
      <c r="B339" s="972"/>
      <c r="C339" s="973"/>
      <c r="D339" s="972"/>
      <c r="E339" s="972"/>
      <c r="F339" s="973"/>
      <c r="G339" s="972"/>
      <c r="H339" s="972"/>
      <c r="I339" s="972"/>
      <c r="J339" s="4682"/>
      <c r="K339" s="4584"/>
      <c r="L339" s="4641" t="s">
        <v>759</v>
      </c>
      <c r="M339" s="4716"/>
      <c r="N339" s="4716"/>
      <c r="O339" s="4524"/>
      <c r="P339" s="4528"/>
      <c r="Q339" s="4521"/>
      <c r="R339" s="4530">
        <f>SUM(W339:W342)/S333</f>
        <v>0.67023172905525852</v>
      </c>
      <c r="S339" s="4534"/>
      <c r="T339" s="4676"/>
      <c r="U339" s="4714" t="s">
        <v>1242</v>
      </c>
      <c r="V339" s="1130" t="s">
        <v>1243</v>
      </c>
      <c r="W339" s="2601">
        <v>3000000</v>
      </c>
      <c r="X339" s="1809">
        <v>1770000</v>
      </c>
      <c r="Y339" s="1809">
        <v>1199100</v>
      </c>
      <c r="Z339" s="977">
        <v>20</v>
      </c>
      <c r="AA339" s="1062" t="s">
        <v>86</v>
      </c>
      <c r="AB339" s="4524"/>
      <c r="AC339" s="4638"/>
      <c r="AD339" s="4524">
        <v>282326</v>
      </c>
      <c r="AE339" s="4638">
        <f t="shared" si="131"/>
        <v>237153.84</v>
      </c>
      <c r="AF339" s="4524">
        <v>135912</v>
      </c>
      <c r="AG339" s="4638">
        <f t="shared" si="132"/>
        <v>114166.08</v>
      </c>
      <c r="AH339" s="4524">
        <v>45122</v>
      </c>
      <c r="AI339" s="4638">
        <f t="shared" si="133"/>
        <v>37902.479999999996</v>
      </c>
      <c r="AJ339" s="4524">
        <v>307101</v>
      </c>
      <c r="AK339" s="4638">
        <v>257964.84</v>
      </c>
      <c r="AL339" s="4524">
        <v>86875</v>
      </c>
      <c r="AM339" s="4638">
        <f t="shared" si="134"/>
        <v>72975</v>
      </c>
      <c r="AN339" s="4524">
        <v>2145</v>
      </c>
      <c r="AO339" s="4638">
        <f t="shared" si="135"/>
        <v>1801.8</v>
      </c>
      <c r="AP339" s="4524">
        <v>12718</v>
      </c>
      <c r="AQ339" s="4638">
        <f t="shared" si="136"/>
        <v>10683.119999999999</v>
      </c>
      <c r="AR339" s="4524">
        <v>26</v>
      </c>
      <c r="AS339" s="4638">
        <f t="shared" si="137"/>
        <v>21.84</v>
      </c>
      <c r="AT339" s="4524">
        <v>37</v>
      </c>
      <c r="AU339" s="4638">
        <f t="shared" si="138"/>
        <v>31.08</v>
      </c>
      <c r="AV339" s="4524" t="s">
        <v>767</v>
      </c>
      <c r="AW339" s="4638" t="s">
        <v>767</v>
      </c>
      <c r="AX339" s="4524" t="s">
        <v>767</v>
      </c>
      <c r="AY339" s="4638" t="s">
        <v>767</v>
      </c>
      <c r="AZ339" s="4524">
        <v>53164</v>
      </c>
      <c r="BA339" s="4638">
        <f t="shared" si="139"/>
        <v>44657.759999999995</v>
      </c>
      <c r="BB339" s="4524">
        <v>16982</v>
      </c>
      <c r="BC339" s="4638">
        <f t="shared" si="140"/>
        <v>14264.88</v>
      </c>
      <c r="BD339" s="4524">
        <v>60013</v>
      </c>
      <c r="BE339" s="4638">
        <f t="shared" si="141"/>
        <v>50410.92</v>
      </c>
      <c r="BF339" s="4524">
        <v>575010</v>
      </c>
      <c r="BG339" s="4638"/>
      <c r="BH339" s="4543"/>
      <c r="BI339" s="4543"/>
      <c r="BJ339" s="4543"/>
      <c r="BK339" s="3185"/>
      <c r="BL339" s="4543"/>
      <c r="BM339" s="4543"/>
      <c r="BN339" s="4554"/>
      <c r="BO339" s="4554"/>
      <c r="BP339" s="4554"/>
      <c r="BQ339" s="4554"/>
      <c r="BR339" s="4557"/>
    </row>
    <row r="340" spans="1:70" ht="71.25" x14ac:dyDescent="0.2">
      <c r="A340" s="971"/>
      <c r="B340" s="972"/>
      <c r="C340" s="973"/>
      <c r="D340" s="972"/>
      <c r="E340" s="972"/>
      <c r="F340" s="973"/>
      <c r="G340" s="972"/>
      <c r="H340" s="972"/>
      <c r="I340" s="972"/>
      <c r="J340" s="4682"/>
      <c r="K340" s="4584"/>
      <c r="L340" s="4641"/>
      <c r="M340" s="4716"/>
      <c r="N340" s="4716"/>
      <c r="O340" s="4524"/>
      <c r="P340" s="4528"/>
      <c r="Q340" s="4521"/>
      <c r="R340" s="4531"/>
      <c r="S340" s="4534"/>
      <c r="T340" s="4676"/>
      <c r="U340" s="4714"/>
      <c r="V340" s="1130" t="s">
        <v>1244</v>
      </c>
      <c r="W340" s="2601">
        <v>3000000</v>
      </c>
      <c r="X340" s="1809">
        <v>1770000</v>
      </c>
      <c r="Y340" s="1809">
        <v>1199100</v>
      </c>
      <c r="Z340" s="977">
        <v>20</v>
      </c>
      <c r="AA340" s="1062" t="s">
        <v>86</v>
      </c>
      <c r="AB340" s="4524"/>
      <c r="AC340" s="4638"/>
      <c r="AD340" s="4524">
        <v>282326</v>
      </c>
      <c r="AE340" s="4638">
        <f t="shared" si="131"/>
        <v>237153.84</v>
      </c>
      <c r="AF340" s="4524">
        <v>135912</v>
      </c>
      <c r="AG340" s="4638">
        <f t="shared" si="132"/>
        <v>114166.08</v>
      </c>
      <c r="AH340" s="4524">
        <v>45122</v>
      </c>
      <c r="AI340" s="4638">
        <f t="shared" si="133"/>
        <v>37902.479999999996</v>
      </c>
      <c r="AJ340" s="4524">
        <v>307101</v>
      </c>
      <c r="AK340" s="4638">
        <v>257964.84</v>
      </c>
      <c r="AL340" s="4524">
        <v>86875</v>
      </c>
      <c r="AM340" s="4638">
        <f t="shared" si="134"/>
        <v>72975</v>
      </c>
      <c r="AN340" s="4524">
        <v>2145</v>
      </c>
      <c r="AO340" s="4638">
        <f t="shared" si="135"/>
        <v>1801.8</v>
      </c>
      <c r="AP340" s="4524">
        <v>12718</v>
      </c>
      <c r="AQ340" s="4638">
        <f t="shared" si="136"/>
        <v>10683.119999999999</v>
      </c>
      <c r="AR340" s="4524">
        <v>26</v>
      </c>
      <c r="AS340" s="4638">
        <f t="shared" si="137"/>
        <v>21.84</v>
      </c>
      <c r="AT340" s="4524">
        <v>37</v>
      </c>
      <c r="AU340" s="4638">
        <f t="shared" si="138"/>
        <v>31.08</v>
      </c>
      <c r="AV340" s="4524" t="s">
        <v>767</v>
      </c>
      <c r="AW340" s="4638" t="s">
        <v>767</v>
      </c>
      <c r="AX340" s="4524" t="s">
        <v>767</v>
      </c>
      <c r="AY340" s="4638" t="s">
        <v>767</v>
      </c>
      <c r="AZ340" s="4524">
        <v>53164</v>
      </c>
      <c r="BA340" s="4638">
        <f t="shared" si="139"/>
        <v>44657.759999999995</v>
      </c>
      <c r="BB340" s="4524">
        <v>16982</v>
      </c>
      <c r="BC340" s="4638">
        <f t="shared" si="140"/>
        <v>14264.88</v>
      </c>
      <c r="BD340" s="4524">
        <v>60013</v>
      </c>
      <c r="BE340" s="4638">
        <f t="shared" si="141"/>
        <v>50410.92</v>
      </c>
      <c r="BF340" s="4524">
        <v>575010</v>
      </c>
      <c r="BG340" s="4638"/>
      <c r="BH340" s="4543"/>
      <c r="BI340" s="4543"/>
      <c r="BJ340" s="4543"/>
      <c r="BK340" s="3185"/>
      <c r="BL340" s="4543"/>
      <c r="BM340" s="4543"/>
      <c r="BN340" s="4554"/>
      <c r="BO340" s="4554"/>
      <c r="BP340" s="4554"/>
      <c r="BQ340" s="4554"/>
      <c r="BR340" s="4557"/>
    </row>
    <row r="341" spans="1:70" ht="58.5" customHeight="1" x14ac:dyDescent="0.2">
      <c r="A341" s="971"/>
      <c r="B341" s="972"/>
      <c r="C341" s="973"/>
      <c r="D341" s="972"/>
      <c r="E341" s="972"/>
      <c r="F341" s="973"/>
      <c r="G341" s="972"/>
      <c r="H341" s="972"/>
      <c r="I341" s="972"/>
      <c r="J341" s="4615"/>
      <c r="K341" s="4584"/>
      <c r="L341" s="4641"/>
      <c r="M341" s="4717"/>
      <c r="N341" s="4717"/>
      <c r="O341" s="4524"/>
      <c r="P341" s="4528"/>
      <c r="Q341" s="4521"/>
      <c r="R341" s="4531"/>
      <c r="S341" s="4534"/>
      <c r="T341" s="4676"/>
      <c r="U341" s="4714"/>
      <c r="V341" s="1130" t="s">
        <v>1245</v>
      </c>
      <c r="W341" s="2601">
        <v>1600000</v>
      </c>
      <c r="X341" s="1809">
        <v>1600000</v>
      </c>
      <c r="Y341" s="1809">
        <v>1199100</v>
      </c>
      <c r="Z341" s="977">
        <v>20</v>
      </c>
      <c r="AA341" s="1062" t="s">
        <v>86</v>
      </c>
      <c r="AB341" s="4524"/>
      <c r="AC341" s="4638"/>
      <c r="AD341" s="4524">
        <v>282326</v>
      </c>
      <c r="AE341" s="4638">
        <f t="shared" si="131"/>
        <v>237153.84</v>
      </c>
      <c r="AF341" s="4524">
        <v>135912</v>
      </c>
      <c r="AG341" s="4638">
        <f t="shared" si="132"/>
        <v>114166.08</v>
      </c>
      <c r="AH341" s="4524">
        <v>45122</v>
      </c>
      <c r="AI341" s="4638">
        <f t="shared" si="133"/>
        <v>37902.479999999996</v>
      </c>
      <c r="AJ341" s="4524">
        <v>307101</v>
      </c>
      <c r="AK341" s="4638">
        <v>257964.84</v>
      </c>
      <c r="AL341" s="4524">
        <v>86875</v>
      </c>
      <c r="AM341" s="4638">
        <f t="shared" si="134"/>
        <v>72975</v>
      </c>
      <c r="AN341" s="4524">
        <v>2145</v>
      </c>
      <c r="AO341" s="4638">
        <f t="shared" si="135"/>
        <v>1801.8</v>
      </c>
      <c r="AP341" s="4524">
        <v>12718</v>
      </c>
      <c r="AQ341" s="4638">
        <f t="shared" si="136"/>
        <v>10683.119999999999</v>
      </c>
      <c r="AR341" s="4524">
        <v>26</v>
      </c>
      <c r="AS341" s="4638">
        <f t="shared" si="137"/>
        <v>21.84</v>
      </c>
      <c r="AT341" s="4524">
        <v>37</v>
      </c>
      <c r="AU341" s="4638">
        <f t="shared" si="138"/>
        <v>31.08</v>
      </c>
      <c r="AV341" s="4524" t="s">
        <v>767</v>
      </c>
      <c r="AW341" s="4638" t="s">
        <v>767</v>
      </c>
      <c r="AX341" s="4524" t="s">
        <v>767</v>
      </c>
      <c r="AY341" s="4638" t="s">
        <v>767</v>
      </c>
      <c r="AZ341" s="4524">
        <v>53164</v>
      </c>
      <c r="BA341" s="4638">
        <f t="shared" si="139"/>
        <v>44657.759999999995</v>
      </c>
      <c r="BB341" s="4524">
        <v>16982</v>
      </c>
      <c r="BC341" s="4638">
        <f t="shared" si="140"/>
        <v>14264.88</v>
      </c>
      <c r="BD341" s="4524">
        <v>60013</v>
      </c>
      <c r="BE341" s="4638">
        <f t="shared" si="141"/>
        <v>50410.92</v>
      </c>
      <c r="BF341" s="4524">
        <v>575010</v>
      </c>
      <c r="BG341" s="4638"/>
      <c r="BH341" s="4543"/>
      <c r="BI341" s="4543"/>
      <c r="BJ341" s="4543"/>
      <c r="BK341" s="3185"/>
      <c r="BL341" s="4543"/>
      <c r="BM341" s="4543"/>
      <c r="BN341" s="4554"/>
      <c r="BO341" s="4554"/>
      <c r="BP341" s="4554"/>
      <c r="BQ341" s="4554"/>
      <c r="BR341" s="4557"/>
    </row>
    <row r="342" spans="1:70" ht="60" customHeight="1" x14ac:dyDescent="0.2">
      <c r="A342" s="1115"/>
      <c r="B342" s="1116"/>
      <c r="C342" s="1055"/>
      <c r="D342" s="1116"/>
      <c r="E342" s="1116"/>
      <c r="F342" s="1055"/>
      <c r="G342" s="1131"/>
      <c r="H342" s="1131"/>
      <c r="I342" s="1131"/>
      <c r="J342" s="1025">
        <v>174</v>
      </c>
      <c r="K342" s="1132" t="s">
        <v>1246</v>
      </c>
      <c r="L342" s="4642"/>
      <c r="M342" s="1080">
        <v>150</v>
      </c>
      <c r="N342" s="2589">
        <v>49</v>
      </c>
      <c r="O342" s="4525"/>
      <c r="P342" s="4529"/>
      <c r="Q342" s="4522"/>
      <c r="R342" s="4532"/>
      <c r="S342" s="4535"/>
      <c r="T342" s="4677"/>
      <c r="U342" s="1066" t="s">
        <v>1247</v>
      </c>
      <c r="V342" s="1133" t="s">
        <v>1248</v>
      </c>
      <c r="W342" s="2601">
        <v>30000000</v>
      </c>
      <c r="X342" s="1809">
        <v>13990000</v>
      </c>
      <c r="Y342" s="1809">
        <v>13990000</v>
      </c>
      <c r="Z342" s="977">
        <v>20</v>
      </c>
      <c r="AA342" s="1062" t="s">
        <v>86</v>
      </c>
      <c r="AB342" s="4525"/>
      <c r="AC342" s="4639"/>
      <c r="AD342" s="4525">
        <v>282326</v>
      </c>
      <c r="AE342" s="4639">
        <f t="shared" si="131"/>
        <v>237153.84</v>
      </c>
      <c r="AF342" s="4525">
        <v>135912</v>
      </c>
      <c r="AG342" s="4639">
        <f t="shared" si="132"/>
        <v>114166.08</v>
      </c>
      <c r="AH342" s="4525">
        <v>45122</v>
      </c>
      <c r="AI342" s="4639">
        <f t="shared" si="133"/>
        <v>37902.479999999996</v>
      </c>
      <c r="AJ342" s="4525">
        <v>307101</v>
      </c>
      <c r="AK342" s="4639">
        <v>257964.84</v>
      </c>
      <c r="AL342" s="4525">
        <v>86875</v>
      </c>
      <c r="AM342" s="4639">
        <f t="shared" si="134"/>
        <v>72975</v>
      </c>
      <c r="AN342" s="4525">
        <v>2145</v>
      </c>
      <c r="AO342" s="4639">
        <f t="shared" si="135"/>
        <v>1801.8</v>
      </c>
      <c r="AP342" s="4525">
        <v>12718</v>
      </c>
      <c r="AQ342" s="4639">
        <f t="shared" si="136"/>
        <v>10683.119999999999</v>
      </c>
      <c r="AR342" s="4525">
        <v>26</v>
      </c>
      <c r="AS342" s="4639">
        <f t="shared" si="137"/>
        <v>21.84</v>
      </c>
      <c r="AT342" s="4525">
        <v>37</v>
      </c>
      <c r="AU342" s="4639">
        <f t="shared" si="138"/>
        <v>31.08</v>
      </c>
      <c r="AV342" s="4525" t="s">
        <v>767</v>
      </c>
      <c r="AW342" s="4639" t="s">
        <v>767</v>
      </c>
      <c r="AX342" s="4525" t="s">
        <v>767</v>
      </c>
      <c r="AY342" s="4639" t="s">
        <v>767</v>
      </c>
      <c r="AZ342" s="4525">
        <v>53164</v>
      </c>
      <c r="BA342" s="4639">
        <f t="shared" si="139"/>
        <v>44657.759999999995</v>
      </c>
      <c r="BB342" s="4525">
        <v>16982</v>
      </c>
      <c r="BC342" s="4639">
        <f t="shared" si="140"/>
        <v>14264.88</v>
      </c>
      <c r="BD342" s="4525">
        <v>60013</v>
      </c>
      <c r="BE342" s="4639">
        <f t="shared" si="141"/>
        <v>50410.92</v>
      </c>
      <c r="BF342" s="4525">
        <v>575010</v>
      </c>
      <c r="BG342" s="4639"/>
      <c r="BH342" s="4544"/>
      <c r="BI342" s="4544"/>
      <c r="BJ342" s="4544"/>
      <c r="BK342" s="3186"/>
      <c r="BL342" s="4544"/>
      <c r="BM342" s="4544"/>
      <c r="BN342" s="4555"/>
      <c r="BO342" s="4555"/>
      <c r="BP342" s="4555"/>
      <c r="BQ342" s="4555"/>
      <c r="BR342" s="4558"/>
    </row>
    <row r="343" spans="1:70" ht="36" customHeight="1" x14ac:dyDescent="0.2">
      <c r="A343" s="957"/>
      <c r="B343" s="958"/>
      <c r="C343" s="959"/>
      <c r="D343" s="958"/>
      <c r="E343" s="958"/>
      <c r="F343" s="959"/>
      <c r="G343" s="1094">
        <v>54</v>
      </c>
      <c r="H343" s="1083" t="s">
        <v>1249</v>
      </c>
      <c r="I343" s="1083"/>
      <c r="J343" s="1089"/>
      <c r="K343" s="1090"/>
      <c r="L343" s="963"/>
      <c r="M343" s="963"/>
      <c r="N343" s="963"/>
      <c r="O343" s="965"/>
      <c r="P343" s="992"/>
      <c r="Q343" s="964"/>
      <c r="R343" s="963"/>
      <c r="S343" s="993"/>
      <c r="T343" s="963"/>
      <c r="U343" s="1090"/>
      <c r="V343" s="964"/>
      <c r="W343" s="2607"/>
      <c r="X343" s="2607"/>
      <c r="Y343" s="2607"/>
      <c r="Z343" s="994"/>
      <c r="AA343" s="965"/>
      <c r="AB343" s="965"/>
      <c r="AC343" s="965"/>
      <c r="AD343" s="965"/>
      <c r="AE343" s="965"/>
      <c r="AF343" s="1128"/>
      <c r="AG343" s="1128"/>
      <c r="AH343" s="1128"/>
      <c r="AI343" s="1128"/>
      <c r="AJ343" s="1129"/>
      <c r="AK343" s="1129"/>
      <c r="AL343" s="1128"/>
      <c r="AM343" s="1128"/>
      <c r="AN343" s="1128"/>
      <c r="AO343" s="1128"/>
      <c r="AP343" s="1128"/>
      <c r="AQ343" s="1128"/>
      <c r="AR343" s="1128"/>
      <c r="AS343" s="1128"/>
      <c r="AT343" s="1114"/>
      <c r="AU343" s="1114"/>
      <c r="AV343" s="1128"/>
      <c r="AW343" s="1128"/>
      <c r="AX343" s="1129"/>
      <c r="AY343" s="1129"/>
      <c r="AZ343" s="1128"/>
      <c r="BA343" s="1128"/>
      <c r="BB343" s="1128"/>
      <c r="BC343" s="1128"/>
      <c r="BD343" s="1129"/>
      <c r="BE343" s="1129"/>
      <c r="BF343" s="1128"/>
      <c r="BG343" s="1128"/>
      <c r="BH343" s="1128"/>
      <c r="BI343" s="1128"/>
      <c r="BJ343" s="1128"/>
      <c r="BK343" s="1128"/>
      <c r="BL343" s="1128"/>
      <c r="BM343" s="1128"/>
      <c r="BN343" s="963"/>
      <c r="BO343" s="963"/>
      <c r="BP343" s="963"/>
      <c r="BQ343" s="963"/>
      <c r="BR343" s="970"/>
    </row>
    <row r="344" spans="1:70" ht="39" customHeight="1" x14ac:dyDescent="0.2">
      <c r="A344" s="971"/>
      <c r="B344" s="972"/>
      <c r="C344" s="973"/>
      <c r="D344" s="972"/>
      <c r="E344" s="972"/>
      <c r="F344" s="972"/>
      <c r="G344" s="974"/>
      <c r="H344" s="975"/>
      <c r="I344" s="976"/>
      <c r="J344" s="4517">
        <v>175</v>
      </c>
      <c r="K344" s="4628" t="s">
        <v>1250</v>
      </c>
      <c r="L344" s="4517" t="s">
        <v>759</v>
      </c>
      <c r="M344" s="4517">
        <v>14</v>
      </c>
      <c r="N344" s="4517">
        <v>6</v>
      </c>
      <c r="O344" s="4517" t="s">
        <v>1251</v>
      </c>
      <c r="P344" s="4619" t="s">
        <v>1252</v>
      </c>
      <c r="Q344" s="4600" t="s">
        <v>1253</v>
      </c>
      <c r="R344" s="4713">
        <f>+SUM(W344:W348)/S344</f>
        <v>1</v>
      </c>
      <c r="S344" s="4663">
        <f>SUM(W344:W348)</f>
        <v>340080000</v>
      </c>
      <c r="T344" s="4600" t="s">
        <v>1254</v>
      </c>
      <c r="U344" s="4517" t="s">
        <v>1255</v>
      </c>
      <c r="V344" s="1057" t="s">
        <v>1256</v>
      </c>
      <c r="W344" s="2628">
        <v>10000000</v>
      </c>
      <c r="X344" s="1809">
        <v>9950000</v>
      </c>
      <c r="Y344" s="1809">
        <v>6727300</v>
      </c>
      <c r="Z344" s="977">
        <v>20</v>
      </c>
      <c r="AA344" s="1062" t="s">
        <v>86</v>
      </c>
      <c r="AB344" s="4523">
        <v>292684</v>
      </c>
      <c r="AC344" s="4637">
        <f t="shared" ref="AC344" si="143">SUM(AB344*0.84)</f>
        <v>245854.56</v>
      </c>
      <c r="AD344" s="4523">
        <v>282326</v>
      </c>
      <c r="AE344" s="4637">
        <f t="shared" ref="AE344:AE348" si="144">SUM(AD344*0.84)</f>
        <v>237153.84</v>
      </c>
      <c r="AF344" s="4523">
        <v>135912</v>
      </c>
      <c r="AG344" s="4637">
        <f t="shared" ref="AG344:AG348" si="145">SUM(AF344*0.84)</f>
        <v>114166.08</v>
      </c>
      <c r="AH344" s="4523">
        <v>45122</v>
      </c>
      <c r="AI344" s="4637">
        <f t="shared" ref="AI344:AI348" si="146">SUM(AH344*0.84)</f>
        <v>37902.479999999996</v>
      </c>
      <c r="AJ344" s="4523">
        <v>307101</v>
      </c>
      <c r="AK344" s="4637">
        <v>257964.84</v>
      </c>
      <c r="AL344" s="4523">
        <v>86875</v>
      </c>
      <c r="AM344" s="4637">
        <f t="shared" ref="AM344:AM348" si="147">SUM(AL344*0.84)</f>
        <v>72975</v>
      </c>
      <c r="AN344" s="4523">
        <v>2145</v>
      </c>
      <c r="AO344" s="4637">
        <f t="shared" ref="AO344:AO348" si="148">SUM(AN344*0.84)</f>
        <v>1801.8</v>
      </c>
      <c r="AP344" s="4523">
        <v>12718</v>
      </c>
      <c r="AQ344" s="4637">
        <f t="shared" ref="AQ344:AQ348" si="149">SUM(AP344*0.84)</f>
        <v>10683.119999999999</v>
      </c>
      <c r="AR344" s="4523">
        <v>26</v>
      </c>
      <c r="AS344" s="4637">
        <f t="shared" ref="AS344:AS348" si="150">SUM(AR344*0.84)</f>
        <v>21.84</v>
      </c>
      <c r="AT344" s="4523">
        <v>37</v>
      </c>
      <c r="AU344" s="4637">
        <f t="shared" ref="AU344:AU348" si="151">SUM(AT344*0.84)</f>
        <v>31.08</v>
      </c>
      <c r="AV344" s="4523" t="s">
        <v>767</v>
      </c>
      <c r="AW344" s="4637" t="s">
        <v>767</v>
      </c>
      <c r="AX344" s="4523" t="s">
        <v>767</v>
      </c>
      <c r="AY344" s="4637" t="s">
        <v>767</v>
      </c>
      <c r="AZ344" s="4523">
        <v>53164</v>
      </c>
      <c r="BA344" s="4637">
        <f t="shared" ref="BA344:BA348" si="152">SUM(AZ344*0.84)</f>
        <v>44657.759999999995</v>
      </c>
      <c r="BB344" s="4523">
        <v>16982</v>
      </c>
      <c r="BC344" s="4637">
        <f t="shared" ref="BC344:BC348" si="153">SUM(BB344*0.84)</f>
        <v>14264.88</v>
      </c>
      <c r="BD344" s="4523">
        <v>60013</v>
      </c>
      <c r="BE344" s="4637">
        <f t="shared" ref="BE344:BE348" si="154">SUM(BD344*0.84)</f>
        <v>50410.92</v>
      </c>
      <c r="BF344" s="4523">
        <v>575010</v>
      </c>
      <c r="BG344" s="4637">
        <f t="shared" ref="BG344:BG348" si="155">SUM(BF344*0.84)</f>
        <v>483008.39999999997</v>
      </c>
      <c r="BH344" s="4542">
        <v>7</v>
      </c>
      <c r="BI344" s="4568">
        <f>SUM(X344:X348)</f>
        <v>339980000</v>
      </c>
      <c r="BJ344" s="4568">
        <f>SUM(Y344:Y348)</f>
        <v>25182000</v>
      </c>
      <c r="BK344" s="3184">
        <f>+BJ344/BI344</f>
        <v>7.4069062886052126E-2</v>
      </c>
      <c r="BL344" s="4542" t="s">
        <v>1257</v>
      </c>
      <c r="BM344" s="4542" t="s">
        <v>1140</v>
      </c>
      <c r="BN344" s="4719">
        <v>43467</v>
      </c>
      <c r="BO344" s="4704">
        <v>43830</v>
      </c>
      <c r="BP344" s="4719">
        <v>43830</v>
      </c>
      <c r="BQ344" s="4704">
        <v>43830</v>
      </c>
      <c r="BR344" s="4556" t="s">
        <v>770</v>
      </c>
    </row>
    <row r="345" spans="1:70" ht="37.5" customHeight="1" x14ac:dyDescent="0.2">
      <c r="A345" s="971"/>
      <c r="B345" s="972"/>
      <c r="C345" s="973"/>
      <c r="D345" s="972"/>
      <c r="E345" s="972"/>
      <c r="F345" s="972"/>
      <c r="G345" s="979"/>
      <c r="H345" s="972"/>
      <c r="I345" s="973"/>
      <c r="J345" s="4518"/>
      <c r="K345" s="4629"/>
      <c r="L345" s="4518"/>
      <c r="M345" s="4518"/>
      <c r="N345" s="4518"/>
      <c r="O345" s="4518"/>
      <c r="P345" s="4620"/>
      <c r="Q345" s="4601"/>
      <c r="R345" s="4713"/>
      <c r="S345" s="4663"/>
      <c r="T345" s="4601"/>
      <c r="U345" s="4518"/>
      <c r="V345" s="1057" t="s">
        <v>1258</v>
      </c>
      <c r="W345" s="2628">
        <v>8080000</v>
      </c>
      <c r="X345" s="1809">
        <v>8080000</v>
      </c>
      <c r="Y345" s="1809">
        <v>6727300</v>
      </c>
      <c r="Z345" s="977">
        <v>20</v>
      </c>
      <c r="AA345" s="1062" t="s">
        <v>86</v>
      </c>
      <c r="AB345" s="4524"/>
      <c r="AC345" s="4638"/>
      <c r="AD345" s="4524">
        <v>282326</v>
      </c>
      <c r="AE345" s="4638">
        <f t="shared" si="144"/>
        <v>237153.84</v>
      </c>
      <c r="AF345" s="4524">
        <v>135912</v>
      </c>
      <c r="AG345" s="4638">
        <f t="shared" si="145"/>
        <v>114166.08</v>
      </c>
      <c r="AH345" s="4524">
        <v>45122</v>
      </c>
      <c r="AI345" s="4638">
        <f t="shared" si="146"/>
        <v>37902.479999999996</v>
      </c>
      <c r="AJ345" s="4524">
        <v>307101</v>
      </c>
      <c r="AK345" s="4638">
        <v>257964.84</v>
      </c>
      <c r="AL345" s="4524">
        <v>86875</v>
      </c>
      <c r="AM345" s="4638">
        <f t="shared" si="147"/>
        <v>72975</v>
      </c>
      <c r="AN345" s="4524">
        <v>2145</v>
      </c>
      <c r="AO345" s="4638">
        <f t="shared" si="148"/>
        <v>1801.8</v>
      </c>
      <c r="AP345" s="4524">
        <v>12718</v>
      </c>
      <c r="AQ345" s="4638">
        <f t="shared" si="149"/>
        <v>10683.119999999999</v>
      </c>
      <c r="AR345" s="4524">
        <v>26</v>
      </c>
      <c r="AS345" s="4638">
        <f t="shared" si="150"/>
        <v>21.84</v>
      </c>
      <c r="AT345" s="4524">
        <v>37</v>
      </c>
      <c r="AU345" s="4638">
        <f t="shared" si="151"/>
        <v>31.08</v>
      </c>
      <c r="AV345" s="4524" t="s">
        <v>767</v>
      </c>
      <c r="AW345" s="4638" t="s">
        <v>767</v>
      </c>
      <c r="AX345" s="4524" t="s">
        <v>767</v>
      </c>
      <c r="AY345" s="4638" t="s">
        <v>767</v>
      </c>
      <c r="AZ345" s="4524">
        <v>53164</v>
      </c>
      <c r="BA345" s="4638">
        <f t="shared" si="152"/>
        <v>44657.759999999995</v>
      </c>
      <c r="BB345" s="4524">
        <v>16982</v>
      </c>
      <c r="BC345" s="4638">
        <f t="shared" si="153"/>
        <v>14264.88</v>
      </c>
      <c r="BD345" s="4524">
        <v>60013</v>
      </c>
      <c r="BE345" s="4638">
        <f t="shared" si="154"/>
        <v>50410.92</v>
      </c>
      <c r="BF345" s="4524">
        <v>575010</v>
      </c>
      <c r="BG345" s="4638">
        <f t="shared" si="155"/>
        <v>483008.39999999997</v>
      </c>
      <c r="BH345" s="4543"/>
      <c r="BI345" s="4543"/>
      <c r="BJ345" s="4543"/>
      <c r="BK345" s="3185"/>
      <c r="BL345" s="4543"/>
      <c r="BM345" s="4543"/>
      <c r="BN345" s="4719"/>
      <c r="BO345" s="4705"/>
      <c r="BP345" s="4719"/>
      <c r="BQ345" s="4705"/>
      <c r="BR345" s="4557"/>
    </row>
    <row r="346" spans="1:70" ht="48" customHeight="1" x14ac:dyDescent="0.2">
      <c r="A346" s="971"/>
      <c r="B346" s="972"/>
      <c r="C346" s="973"/>
      <c r="D346" s="972"/>
      <c r="E346" s="972"/>
      <c r="F346" s="972"/>
      <c r="G346" s="979"/>
      <c r="H346" s="972"/>
      <c r="I346" s="973"/>
      <c r="J346" s="4518"/>
      <c r="K346" s="4629"/>
      <c r="L346" s="4518"/>
      <c r="M346" s="4518"/>
      <c r="N346" s="4518"/>
      <c r="O346" s="4518"/>
      <c r="P346" s="4620"/>
      <c r="Q346" s="4601"/>
      <c r="R346" s="4713"/>
      <c r="S346" s="4663"/>
      <c r="T346" s="4601"/>
      <c r="U346" s="4518"/>
      <c r="V346" s="4604" t="s">
        <v>1259</v>
      </c>
      <c r="W346" s="2601">
        <v>10000000</v>
      </c>
      <c r="X346" s="1809">
        <v>9950000</v>
      </c>
      <c r="Y346" s="1809">
        <v>6727400</v>
      </c>
      <c r="Z346" s="977">
        <v>20</v>
      </c>
      <c r="AA346" s="1062" t="s">
        <v>86</v>
      </c>
      <c r="AB346" s="4524"/>
      <c r="AC346" s="4638"/>
      <c r="AD346" s="4524">
        <v>282326</v>
      </c>
      <c r="AE346" s="4638">
        <f t="shared" si="144"/>
        <v>237153.84</v>
      </c>
      <c r="AF346" s="4524">
        <v>135912</v>
      </c>
      <c r="AG346" s="4638">
        <f t="shared" si="145"/>
        <v>114166.08</v>
      </c>
      <c r="AH346" s="4524">
        <v>45122</v>
      </c>
      <c r="AI346" s="4638">
        <f t="shared" si="146"/>
        <v>37902.479999999996</v>
      </c>
      <c r="AJ346" s="4524">
        <v>307101</v>
      </c>
      <c r="AK346" s="4638">
        <v>257964.84</v>
      </c>
      <c r="AL346" s="4524">
        <v>86875</v>
      </c>
      <c r="AM346" s="4638">
        <f t="shared" si="147"/>
        <v>72975</v>
      </c>
      <c r="AN346" s="4524">
        <v>2145</v>
      </c>
      <c r="AO346" s="4638">
        <f t="shared" si="148"/>
        <v>1801.8</v>
      </c>
      <c r="AP346" s="4524">
        <v>12718</v>
      </c>
      <c r="AQ346" s="4638">
        <f t="shared" si="149"/>
        <v>10683.119999999999</v>
      </c>
      <c r="AR346" s="4524">
        <v>26</v>
      </c>
      <c r="AS346" s="4638">
        <f t="shared" si="150"/>
        <v>21.84</v>
      </c>
      <c r="AT346" s="4524">
        <v>37</v>
      </c>
      <c r="AU346" s="4638">
        <f t="shared" si="151"/>
        <v>31.08</v>
      </c>
      <c r="AV346" s="4524" t="s">
        <v>767</v>
      </c>
      <c r="AW346" s="4638" t="s">
        <v>767</v>
      </c>
      <c r="AX346" s="4524" t="s">
        <v>767</v>
      </c>
      <c r="AY346" s="4638" t="s">
        <v>767</v>
      </c>
      <c r="AZ346" s="4524">
        <v>53164</v>
      </c>
      <c r="BA346" s="4638">
        <f t="shared" si="152"/>
        <v>44657.759999999995</v>
      </c>
      <c r="BB346" s="4524">
        <v>16982</v>
      </c>
      <c r="BC346" s="4638">
        <f t="shared" si="153"/>
        <v>14264.88</v>
      </c>
      <c r="BD346" s="4524">
        <v>60013</v>
      </c>
      <c r="BE346" s="4638">
        <f t="shared" si="154"/>
        <v>50410.92</v>
      </c>
      <c r="BF346" s="4524">
        <v>575010</v>
      </c>
      <c r="BG346" s="4638">
        <f t="shared" si="155"/>
        <v>483008.39999999997</v>
      </c>
      <c r="BH346" s="4543"/>
      <c r="BI346" s="4543"/>
      <c r="BJ346" s="4543"/>
      <c r="BK346" s="3185"/>
      <c r="BL346" s="4543"/>
      <c r="BM346" s="4543"/>
      <c r="BN346" s="4567"/>
      <c r="BO346" s="4705"/>
      <c r="BP346" s="4567"/>
      <c r="BQ346" s="4705"/>
      <c r="BR346" s="4557"/>
    </row>
    <row r="347" spans="1:70" ht="48" customHeight="1" x14ac:dyDescent="0.2">
      <c r="A347" s="971"/>
      <c r="B347" s="972"/>
      <c r="C347" s="973"/>
      <c r="D347" s="972"/>
      <c r="E347" s="972"/>
      <c r="F347" s="972"/>
      <c r="G347" s="979"/>
      <c r="H347" s="972"/>
      <c r="I347" s="973"/>
      <c r="J347" s="1029"/>
      <c r="K347" s="1134"/>
      <c r="L347" s="1029"/>
      <c r="M347" s="1029"/>
      <c r="N347" s="4519"/>
      <c r="O347" s="4518"/>
      <c r="P347" s="4620"/>
      <c r="Q347" s="4601"/>
      <c r="R347" s="4713"/>
      <c r="S347" s="4663"/>
      <c r="T347" s="4601"/>
      <c r="U347" s="4519"/>
      <c r="V347" s="4627"/>
      <c r="W347" s="2595">
        <v>300000000</v>
      </c>
      <c r="X347" s="1809">
        <v>300000000</v>
      </c>
      <c r="Y347" s="1809">
        <v>0</v>
      </c>
      <c r="Z347" s="1009">
        <v>88</v>
      </c>
      <c r="AA347" s="1027" t="s">
        <v>1224</v>
      </c>
      <c r="AB347" s="4524"/>
      <c r="AC347" s="4638"/>
      <c r="AD347" s="4524">
        <v>282326</v>
      </c>
      <c r="AE347" s="4638">
        <f t="shared" si="144"/>
        <v>237153.84</v>
      </c>
      <c r="AF347" s="4524">
        <v>135912</v>
      </c>
      <c r="AG347" s="4638">
        <f t="shared" si="145"/>
        <v>114166.08</v>
      </c>
      <c r="AH347" s="4524">
        <v>45122</v>
      </c>
      <c r="AI347" s="4638">
        <f t="shared" si="146"/>
        <v>37902.479999999996</v>
      </c>
      <c r="AJ347" s="4524">
        <v>307101</v>
      </c>
      <c r="AK347" s="4638">
        <v>257964.84</v>
      </c>
      <c r="AL347" s="4524">
        <v>86875</v>
      </c>
      <c r="AM347" s="4638">
        <f t="shared" si="147"/>
        <v>72975</v>
      </c>
      <c r="AN347" s="4524">
        <v>2145</v>
      </c>
      <c r="AO347" s="4638">
        <f t="shared" si="148"/>
        <v>1801.8</v>
      </c>
      <c r="AP347" s="4524">
        <v>12718</v>
      </c>
      <c r="AQ347" s="4638">
        <f t="shared" si="149"/>
        <v>10683.119999999999</v>
      </c>
      <c r="AR347" s="4524">
        <v>26</v>
      </c>
      <c r="AS347" s="4638">
        <f t="shared" si="150"/>
        <v>21.84</v>
      </c>
      <c r="AT347" s="4524">
        <v>37</v>
      </c>
      <c r="AU347" s="4638">
        <f t="shared" si="151"/>
        <v>31.08</v>
      </c>
      <c r="AV347" s="4524" t="s">
        <v>767</v>
      </c>
      <c r="AW347" s="4638" t="s">
        <v>767</v>
      </c>
      <c r="AX347" s="4524" t="s">
        <v>767</v>
      </c>
      <c r="AY347" s="4638" t="s">
        <v>767</v>
      </c>
      <c r="AZ347" s="4524">
        <v>53164</v>
      </c>
      <c r="BA347" s="4638">
        <f t="shared" si="152"/>
        <v>44657.759999999995</v>
      </c>
      <c r="BB347" s="4524">
        <v>16982</v>
      </c>
      <c r="BC347" s="4638">
        <f t="shared" si="153"/>
        <v>14264.88</v>
      </c>
      <c r="BD347" s="4524">
        <v>60013</v>
      </c>
      <c r="BE347" s="4638">
        <f t="shared" si="154"/>
        <v>50410.92</v>
      </c>
      <c r="BF347" s="4524">
        <v>575010</v>
      </c>
      <c r="BG347" s="4638">
        <f t="shared" si="155"/>
        <v>483008.39999999997</v>
      </c>
      <c r="BH347" s="4543"/>
      <c r="BI347" s="4543"/>
      <c r="BJ347" s="4543"/>
      <c r="BK347" s="3185"/>
      <c r="BL347" s="4543"/>
      <c r="BM347" s="4543"/>
      <c r="BN347" s="4567"/>
      <c r="BO347" s="4705"/>
      <c r="BP347" s="4567"/>
      <c r="BQ347" s="4705"/>
      <c r="BR347" s="4557"/>
    </row>
    <row r="348" spans="1:70" ht="66.75" customHeight="1" x14ac:dyDescent="0.2">
      <c r="A348" s="971"/>
      <c r="B348" s="972"/>
      <c r="C348" s="973"/>
      <c r="D348" s="981"/>
      <c r="E348" s="981"/>
      <c r="F348" s="981"/>
      <c r="G348" s="979"/>
      <c r="H348" s="972"/>
      <c r="I348" s="973"/>
      <c r="J348" s="1027">
        <v>176</v>
      </c>
      <c r="K348" s="1135" t="s">
        <v>1260</v>
      </c>
      <c r="L348" s="1027" t="s">
        <v>18</v>
      </c>
      <c r="M348" s="1027">
        <v>2</v>
      </c>
      <c r="N348" s="2589">
        <v>1</v>
      </c>
      <c r="O348" s="4519"/>
      <c r="P348" s="4621"/>
      <c r="Q348" s="4603"/>
      <c r="R348" s="4713"/>
      <c r="S348" s="4663"/>
      <c r="T348" s="4601"/>
      <c r="U348" s="1010" t="s">
        <v>1261</v>
      </c>
      <c r="V348" s="1057" t="s">
        <v>1262</v>
      </c>
      <c r="W348" s="2601">
        <v>12000000</v>
      </c>
      <c r="X348" s="1809">
        <v>12000000</v>
      </c>
      <c r="Y348" s="1809">
        <v>5000000</v>
      </c>
      <c r="Z348" s="977">
        <v>20</v>
      </c>
      <c r="AA348" s="1062" t="s">
        <v>86</v>
      </c>
      <c r="AB348" s="4525"/>
      <c r="AC348" s="4639"/>
      <c r="AD348" s="4525">
        <v>282326</v>
      </c>
      <c r="AE348" s="4639">
        <f t="shared" si="144"/>
        <v>237153.84</v>
      </c>
      <c r="AF348" s="4525">
        <v>135912</v>
      </c>
      <c r="AG348" s="4639">
        <f t="shared" si="145"/>
        <v>114166.08</v>
      </c>
      <c r="AH348" s="4525">
        <v>45122</v>
      </c>
      <c r="AI348" s="4639">
        <f t="shared" si="146"/>
        <v>37902.479999999996</v>
      </c>
      <c r="AJ348" s="4525">
        <v>307101</v>
      </c>
      <c r="AK348" s="4639">
        <v>257964.84</v>
      </c>
      <c r="AL348" s="4525">
        <v>86875</v>
      </c>
      <c r="AM348" s="4639">
        <f t="shared" si="147"/>
        <v>72975</v>
      </c>
      <c r="AN348" s="4525">
        <v>2145</v>
      </c>
      <c r="AO348" s="4639">
        <f t="shared" si="148"/>
        <v>1801.8</v>
      </c>
      <c r="AP348" s="4525">
        <v>12718</v>
      </c>
      <c r="AQ348" s="4639">
        <f t="shared" si="149"/>
        <v>10683.119999999999</v>
      </c>
      <c r="AR348" s="4525">
        <v>26</v>
      </c>
      <c r="AS348" s="4639">
        <f t="shared" si="150"/>
        <v>21.84</v>
      </c>
      <c r="AT348" s="4525">
        <v>37</v>
      </c>
      <c r="AU348" s="4639">
        <f t="shared" si="151"/>
        <v>31.08</v>
      </c>
      <c r="AV348" s="4525" t="s">
        <v>767</v>
      </c>
      <c r="AW348" s="4639" t="s">
        <v>767</v>
      </c>
      <c r="AX348" s="4525" t="s">
        <v>767</v>
      </c>
      <c r="AY348" s="4639" t="s">
        <v>767</v>
      </c>
      <c r="AZ348" s="4525">
        <v>53164</v>
      </c>
      <c r="BA348" s="4639">
        <f t="shared" si="152"/>
        <v>44657.759999999995</v>
      </c>
      <c r="BB348" s="4525">
        <v>16982</v>
      </c>
      <c r="BC348" s="4639">
        <f t="shared" si="153"/>
        <v>14264.88</v>
      </c>
      <c r="BD348" s="4525">
        <v>60013</v>
      </c>
      <c r="BE348" s="4639">
        <f t="shared" si="154"/>
        <v>50410.92</v>
      </c>
      <c r="BF348" s="4525">
        <v>575010</v>
      </c>
      <c r="BG348" s="4639">
        <f t="shared" si="155"/>
        <v>483008.39999999997</v>
      </c>
      <c r="BH348" s="4544"/>
      <c r="BI348" s="4544"/>
      <c r="BJ348" s="4544"/>
      <c r="BK348" s="3186"/>
      <c r="BL348" s="4544"/>
      <c r="BM348" s="4544"/>
      <c r="BN348" s="4567"/>
      <c r="BO348" s="4706"/>
      <c r="BP348" s="4567"/>
      <c r="BQ348" s="4706"/>
      <c r="BR348" s="4558"/>
    </row>
    <row r="349" spans="1:70" ht="36" customHeight="1" x14ac:dyDescent="0.2">
      <c r="A349" s="957"/>
      <c r="C349" s="984"/>
      <c r="D349" s="1093">
        <v>15</v>
      </c>
      <c r="E349" s="948" t="s">
        <v>1263</v>
      </c>
      <c r="F349" s="948"/>
      <c r="G349" s="1069"/>
      <c r="H349" s="1069"/>
      <c r="I349" s="1069"/>
      <c r="J349" s="949"/>
      <c r="K349" s="950"/>
      <c r="L349" s="949"/>
      <c r="M349" s="949"/>
      <c r="N349" s="949"/>
      <c r="O349" s="951"/>
      <c r="P349" s="988"/>
      <c r="Q349" s="950"/>
      <c r="R349" s="949"/>
      <c r="S349" s="989"/>
      <c r="T349" s="949"/>
      <c r="U349" s="950"/>
      <c r="V349" s="950"/>
      <c r="W349" s="1493"/>
      <c r="X349" s="1493"/>
      <c r="Y349" s="1493"/>
      <c r="Z349" s="990"/>
      <c r="AA349" s="951"/>
      <c r="AB349" s="951"/>
      <c r="AC349" s="951"/>
      <c r="AD349" s="951"/>
      <c r="AE349" s="951"/>
      <c r="AF349" s="1136"/>
      <c r="AG349" s="1136"/>
      <c r="AH349" s="1136"/>
      <c r="AI349" s="1136"/>
      <c r="AJ349" s="1137"/>
      <c r="AK349" s="1137"/>
      <c r="AL349" s="1136"/>
      <c r="AM349" s="1136"/>
      <c r="AN349" s="1136"/>
      <c r="AO349" s="1136"/>
      <c r="AP349" s="1136"/>
      <c r="AQ349" s="1136"/>
      <c r="AR349" s="1136"/>
      <c r="AS349" s="1136"/>
      <c r="AT349" s="1138"/>
      <c r="AU349" s="1138"/>
      <c r="AV349" s="1136"/>
      <c r="AW349" s="1136"/>
      <c r="AX349" s="1137"/>
      <c r="AY349" s="1137"/>
      <c r="AZ349" s="1136"/>
      <c r="BA349" s="1136"/>
      <c r="BB349" s="1136"/>
      <c r="BC349" s="1136"/>
      <c r="BD349" s="1137"/>
      <c r="BE349" s="1137"/>
      <c r="BF349" s="1136"/>
      <c r="BG349" s="1136"/>
      <c r="BH349" s="1136"/>
      <c r="BI349" s="1136"/>
      <c r="BJ349" s="1136"/>
      <c r="BK349" s="1136"/>
      <c r="BL349" s="1136"/>
      <c r="BM349" s="1136"/>
      <c r="BN349" s="949"/>
      <c r="BO349" s="949"/>
      <c r="BP349" s="949"/>
      <c r="BQ349" s="949"/>
      <c r="BR349" s="956"/>
    </row>
    <row r="350" spans="1:70" ht="36" customHeight="1" x14ac:dyDescent="0.2">
      <c r="A350" s="957"/>
      <c r="B350" s="958"/>
      <c r="C350" s="959"/>
      <c r="D350" s="960"/>
      <c r="E350" s="960"/>
      <c r="F350" s="961"/>
      <c r="G350" s="991">
        <v>55</v>
      </c>
      <c r="H350" s="963" t="s">
        <v>1264</v>
      </c>
      <c r="I350" s="963"/>
      <c r="J350" s="963"/>
      <c r="K350" s="964"/>
      <c r="L350" s="963"/>
      <c r="M350" s="963"/>
      <c r="N350" s="963"/>
      <c r="O350" s="965"/>
      <c r="P350" s="992"/>
      <c r="Q350" s="964"/>
      <c r="R350" s="963"/>
      <c r="S350" s="993"/>
      <c r="T350" s="963"/>
      <c r="U350" s="964"/>
      <c r="V350" s="964"/>
      <c r="W350" s="2607"/>
      <c r="X350" s="2607"/>
      <c r="Y350" s="2607"/>
      <c r="Z350" s="994"/>
      <c r="AA350" s="1139"/>
      <c r="AB350" s="1139"/>
      <c r="AC350" s="1139"/>
      <c r="AD350" s="1139"/>
      <c r="AE350" s="1139"/>
      <c r="AF350" s="1140"/>
      <c r="AG350" s="1140"/>
      <c r="AH350" s="1140"/>
      <c r="AI350" s="1140"/>
      <c r="AJ350" s="1141"/>
      <c r="AK350" s="1141"/>
      <c r="AL350" s="1140"/>
      <c r="AM350" s="1140"/>
      <c r="AN350" s="1140"/>
      <c r="AO350" s="1140"/>
      <c r="AP350" s="1140"/>
      <c r="AQ350" s="1140"/>
      <c r="AR350" s="1140"/>
      <c r="AS350" s="1140"/>
      <c r="AT350" s="1142"/>
      <c r="AU350" s="1142"/>
      <c r="AV350" s="1140"/>
      <c r="AW350" s="1140"/>
      <c r="AX350" s="1141"/>
      <c r="AY350" s="1141"/>
      <c r="AZ350" s="1140"/>
      <c r="BA350" s="1140"/>
      <c r="BB350" s="1140"/>
      <c r="BC350" s="1140"/>
      <c r="BD350" s="1141"/>
      <c r="BE350" s="1141"/>
      <c r="BF350" s="1140"/>
      <c r="BG350" s="1140"/>
      <c r="BH350" s="1140"/>
      <c r="BI350" s="1140"/>
      <c r="BJ350" s="1140"/>
      <c r="BK350" s="1140"/>
      <c r="BL350" s="1140"/>
      <c r="BM350" s="1140"/>
      <c r="BN350" s="963"/>
      <c r="BO350" s="963"/>
      <c r="BP350" s="963"/>
      <c r="BQ350" s="963"/>
      <c r="BR350" s="970"/>
    </row>
    <row r="351" spans="1:70" s="978" customFormat="1" ht="59.25" customHeight="1" x14ac:dyDescent="0.2">
      <c r="A351" s="995"/>
      <c r="B351" s="996"/>
      <c r="C351" s="997"/>
      <c r="D351" s="996"/>
      <c r="E351" s="996"/>
      <c r="F351" s="997"/>
      <c r="G351" s="999"/>
      <c r="H351" s="999"/>
      <c r="I351" s="1000"/>
      <c r="J351" s="1058">
        <v>177</v>
      </c>
      <c r="K351" s="1012" t="s">
        <v>1265</v>
      </c>
      <c r="L351" s="1058" t="s">
        <v>759</v>
      </c>
      <c r="M351" s="1058">
        <v>2</v>
      </c>
      <c r="N351" s="1062">
        <v>1</v>
      </c>
      <c r="O351" s="4523" t="s">
        <v>1266</v>
      </c>
      <c r="P351" s="4527" t="s">
        <v>1267</v>
      </c>
      <c r="Q351" s="4520" t="s">
        <v>1268</v>
      </c>
      <c r="R351" s="1143">
        <v>0</v>
      </c>
      <c r="S351" s="4533">
        <f>SUM(W351:W357)</f>
        <v>150000000</v>
      </c>
      <c r="T351" s="4520" t="s">
        <v>1269</v>
      </c>
      <c r="U351" s="1008" t="s">
        <v>1270</v>
      </c>
      <c r="V351" s="1005" t="s">
        <v>1271</v>
      </c>
      <c r="W351" s="1505">
        <v>0</v>
      </c>
      <c r="X351" s="1505">
        <v>0</v>
      </c>
      <c r="Y351" s="1505">
        <v>0</v>
      </c>
      <c r="Z351" s="1144"/>
      <c r="AA351" s="1062"/>
      <c r="AB351" s="4523">
        <v>292684</v>
      </c>
      <c r="AC351" s="4637">
        <f t="shared" ref="AC351" si="156">SUM(AB351*0.84)</f>
        <v>245854.56</v>
      </c>
      <c r="AD351" s="4523">
        <v>282326</v>
      </c>
      <c r="AE351" s="4637">
        <f t="shared" ref="AE351:AE357" si="157">SUM(AD351*0.84)</f>
        <v>237153.84</v>
      </c>
      <c r="AF351" s="4523">
        <v>135912</v>
      </c>
      <c r="AG351" s="4637">
        <f t="shared" ref="AG351:AG357" si="158">SUM(AF351*0.84)</f>
        <v>114166.08</v>
      </c>
      <c r="AH351" s="4523">
        <v>45122</v>
      </c>
      <c r="AI351" s="4637">
        <f t="shared" ref="AI351:AI357" si="159">SUM(AH351*0.84)</f>
        <v>37902.479999999996</v>
      </c>
      <c r="AJ351" s="4523">
        <v>307101</v>
      </c>
      <c r="AK351" s="4637">
        <v>257964.84</v>
      </c>
      <c r="AL351" s="4523">
        <v>86875</v>
      </c>
      <c r="AM351" s="4637">
        <f t="shared" ref="AM351:AM357" si="160">SUM(AL351*0.84)</f>
        <v>72975</v>
      </c>
      <c r="AN351" s="4523">
        <v>2145</v>
      </c>
      <c r="AO351" s="4637">
        <f t="shared" ref="AO351:AO357" si="161">SUM(AN351*0.84)</f>
        <v>1801.8</v>
      </c>
      <c r="AP351" s="4523">
        <v>12718</v>
      </c>
      <c r="AQ351" s="4637">
        <f t="shared" ref="AQ351:AQ357" si="162">SUM(AP351*0.84)</f>
        <v>10683.119999999999</v>
      </c>
      <c r="AR351" s="4523">
        <v>26</v>
      </c>
      <c r="AS351" s="4637">
        <f t="shared" ref="AS351:AS357" si="163">SUM(AR351*0.84)</f>
        <v>21.84</v>
      </c>
      <c r="AT351" s="4523">
        <v>37</v>
      </c>
      <c r="AU351" s="4637">
        <f t="shared" ref="AU351:AU357" si="164">SUM(AT351*0.84)</f>
        <v>31.08</v>
      </c>
      <c r="AV351" s="4523" t="s">
        <v>767</v>
      </c>
      <c r="AW351" s="4637" t="s">
        <v>767</v>
      </c>
      <c r="AX351" s="4523" t="s">
        <v>767</v>
      </c>
      <c r="AY351" s="4637" t="s">
        <v>767</v>
      </c>
      <c r="AZ351" s="4523">
        <v>53164</v>
      </c>
      <c r="BA351" s="4637">
        <f t="shared" ref="BA351:BA357" si="165">SUM(AZ351*0.84)</f>
        <v>44657.759999999995</v>
      </c>
      <c r="BB351" s="4523">
        <v>16982</v>
      </c>
      <c r="BC351" s="4637">
        <f t="shared" ref="BC351:BC357" si="166">SUM(BB351*0.84)</f>
        <v>14264.88</v>
      </c>
      <c r="BD351" s="4523">
        <v>60013</v>
      </c>
      <c r="BE351" s="4637">
        <f t="shared" ref="BE351:BE357" si="167">SUM(BD351*0.84)</f>
        <v>50410.92</v>
      </c>
      <c r="BF351" s="4523">
        <v>575010</v>
      </c>
      <c r="BG351" s="4637">
        <f t="shared" ref="BG351:BG357" si="168">SUM(BF351*0.84)</f>
        <v>483008.39999999997</v>
      </c>
      <c r="BH351" s="4542">
        <v>6</v>
      </c>
      <c r="BI351" s="4568">
        <f>SUM(X352:X356)</f>
        <v>36374000</v>
      </c>
      <c r="BJ351" s="4568">
        <f>SUM(Y352:Y356)</f>
        <v>23596466</v>
      </c>
      <c r="BK351" s="3184">
        <f>+BJ351/BI351</f>
        <v>0.64871793038983894</v>
      </c>
      <c r="BL351" s="4542" t="s">
        <v>1272</v>
      </c>
      <c r="BM351" s="4542" t="s">
        <v>1140</v>
      </c>
      <c r="BN351" s="4553">
        <v>43467</v>
      </c>
      <c r="BO351" s="4553">
        <v>43830</v>
      </c>
      <c r="BP351" s="4553">
        <v>43830</v>
      </c>
      <c r="BQ351" s="4553">
        <v>43830</v>
      </c>
      <c r="BR351" s="4556" t="s">
        <v>770</v>
      </c>
    </row>
    <row r="352" spans="1:70" ht="54.75" customHeight="1" x14ac:dyDescent="0.2">
      <c r="A352" s="995"/>
      <c r="B352" s="996"/>
      <c r="C352" s="997"/>
      <c r="D352" s="996"/>
      <c r="E352" s="996"/>
      <c r="F352" s="997"/>
      <c r="G352" s="996"/>
      <c r="H352" s="996"/>
      <c r="I352" s="997"/>
      <c r="J352" s="4523">
        <v>178</v>
      </c>
      <c r="K352" s="4520" t="s">
        <v>1273</v>
      </c>
      <c r="L352" s="4523" t="s">
        <v>759</v>
      </c>
      <c r="M352" s="4523">
        <v>3</v>
      </c>
      <c r="N352" s="4523">
        <v>1.5</v>
      </c>
      <c r="O352" s="4524"/>
      <c r="P352" s="4528"/>
      <c r="Q352" s="4521"/>
      <c r="R352" s="4576">
        <f>+SUM(W352:W354)/S351</f>
        <v>0.8</v>
      </c>
      <c r="S352" s="4534"/>
      <c r="T352" s="4521"/>
      <c r="U352" s="4589" t="s">
        <v>1274</v>
      </c>
      <c r="V352" s="980" t="s">
        <v>1275</v>
      </c>
      <c r="W352" s="2300">
        <v>60000000</v>
      </c>
      <c r="X352" s="1809">
        <v>7274800</v>
      </c>
      <c r="Y352" s="1809">
        <v>4719466</v>
      </c>
      <c r="Z352" s="1144">
        <v>72</v>
      </c>
      <c r="AA352" s="1062" t="s">
        <v>1276</v>
      </c>
      <c r="AB352" s="4524"/>
      <c r="AC352" s="4638"/>
      <c r="AD352" s="4524">
        <v>282326</v>
      </c>
      <c r="AE352" s="4638">
        <f t="shared" si="157"/>
        <v>237153.84</v>
      </c>
      <c r="AF352" s="4524">
        <v>135912</v>
      </c>
      <c r="AG352" s="4638">
        <f t="shared" si="158"/>
        <v>114166.08</v>
      </c>
      <c r="AH352" s="4524">
        <v>45122</v>
      </c>
      <c r="AI352" s="4638">
        <f t="shared" si="159"/>
        <v>37902.479999999996</v>
      </c>
      <c r="AJ352" s="4524">
        <v>307101</v>
      </c>
      <c r="AK352" s="4638">
        <v>257964.84</v>
      </c>
      <c r="AL352" s="4524">
        <v>86875</v>
      </c>
      <c r="AM352" s="4638">
        <f t="shared" si="160"/>
        <v>72975</v>
      </c>
      <c r="AN352" s="4524">
        <v>2145</v>
      </c>
      <c r="AO352" s="4638">
        <f t="shared" si="161"/>
        <v>1801.8</v>
      </c>
      <c r="AP352" s="4524">
        <v>12718</v>
      </c>
      <c r="AQ352" s="4638">
        <f t="shared" si="162"/>
        <v>10683.119999999999</v>
      </c>
      <c r="AR352" s="4524">
        <v>26</v>
      </c>
      <c r="AS352" s="4638">
        <f t="shared" si="163"/>
        <v>21.84</v>
      </c>
      <c r="AT352" s="4524">
        <v>37</v>
      </c>
      <c r="AU352" s="4638">
        <f t="shared" si="164"/>
        <v>31.08</v>
      </c>
      <c r="AV352" s="4524" t="s">
        <v>767</v>
      </c>
      <c r="AW352" s="4638" t="s">
        <v>767</v>
      </c>
      <c r="AX352" s="4524" t="s">
        <v>767</v>
      </c>
      <c r="AY352" s="4638" t="s">
        <v>767</v>
      </c>
      <c r="AZ352" s="4524">
        <v>53164</v>
      </c>
      <c r="BA352" s="4638">
        <f t="shared" si="165"/>
        <v>44657.759999999995</v>
      </c>
      <c r="BB352" s="4524">
        <v>16982</v>
      </c>
      <c r="BC352" s="4638">
        <f t="shared" si="166"/>
        <v>14264.88</v>
      </c>
      <c r="BD352" s="4524">
        <v>60013</v>
      </c>
      <c r="BE352" s="4638">
        <f t="shared" si="167"/>
        <v>50410.92</v>
      </c>
      <c r="BF352" s="4524">
        <v>575010</v>
      </c>
      <c r="BG352" s="4638">
        <f t="shared" si="168"/>
        <v>483008.39999999997</v>
      </c>
      <c r="BH352" s="4543"/>
      <c r="BI352" s="4543"/>
      <c r="BJ352" s="4543"/>
      <c r="BK352" s="3185"/>
      <c r="BL352" s="4543"/>
      <c r="BM352" s="4543"/>
      <c r="BN352" s="4554"/>
      <c r="BO352" s="4554"/>
      <c r="BP352" s="4554"/>
      <c r="BQ352" s="4554"/>
      <c r="BR352" s="4557"/>
    </row>
    <row r="353" spans="1:332" ht="37.5" customHeight="1" x14ac:dyDescent="0.2">
      <c r="A353" s="995"/>
      <c r="B353" s="996"/>
      <c r="C353" s="997"/>
      <c r="D353" s="996"/>
      <c r="E353" s="996"/>
      <c r="F353" s="997"/>
      <c r="G353" s="996"/>
      <c r="H353" s="996"/>
      <c r="I353" s="997"/>
      <c r="J353" s="4524"/>
      <c r="K353" s="4521"/>
      <c r="L353" s="4524"/>
      <c r="M353" s="4524"/>
      <c r="N353" s="4524"/>
      <c r="O353" s="4524"/>
      <c r="P353" s="4528"/>
      <c r="Q353" s="4521"/>
      <c r="R353" s="4576"/>
      <c r="S353" s="4534"/>
      <c r="T353" s="4521"/>
      <c r="U353" s="4589"/>
      <c r="V353" s="980" t="s">
        <v>1277</v>
      </c>
      <c r="W353" s="2300">
        <v>40000000</v>
      </c>
      <c r="X353" s="1809">
        <v>7274800</v>
      </c>
      <c r="Y353" s="1809">
        <v>4719400</v>
      </c>
      <c r="Z353" s="1144">
        <v>72</v>
      </c>
      <c r="AA353" s="1062" t="s">
        <v>1276</v>
      </c>
      <c r="AB353" s="4524"/>
      <c r="AC353" s="4638"/>
      <c r="AD353" s="4524">
        <v>282326</v>
      </c>
      <c r="AE353" s="4638">
        <f t="shared" si="157"/>
        <v>237153.84</v>
      </c>
      <c r="AF353" s="4524">
        <v>135912</v>
      </c>
      <c r="AG353" s="4638">
        <f t="shared" si="158"/>
        <v>114166.08</v>
      </c>
      <c r="AH353" s="4524">
        <v>45122</v>
      </c>
      <c r="AI353" s="4638">
        <f t="shared" si="159"/>
        <v>37902.479999999996</v>
      </c>
      <c r="AJ353" s="4524">
        <v>307101</v>
      </c>
      <c r="AK353" s="4638">
        <v>257964.84</v>
      </c>
      <c r="AL353" s="4524">
        <v>86875</v>
      </c>
      <c r="AM353" s="4638">
        <f t="shared" si="160"/>
        <v>72975</v>
      </c>
      <c r="AN353" s="4524">
        <v>2145</v>
      </c>
      <c r="AO353" s="4638">
        <f t="shared" si="161"/>
        <v>1801.8</v>
      </c>
      <c r="AP353" s="4524">
        <v>12718</v>
      </c>
      <c r="AQ353" s="4638">
        <f t="shared" si="162"/>
        <v>10683.119999999999</v>
      </c>
      <c r="AR353" s="4524">
        <v>26</v>
      </c>
      <c r="AS353" s="4638">
        <f t="shared" si="163"/>
        <v>21.84</v>
      </c>
      <c r="AT353" s="4524">
        <v>37</v>
      </c>
      <c r="AU353" s="4638">
        <f t="shared" si="164"/>
        <v>31.08</v>
      </c>
      <c r="AV353" s="4524" t="s">
        <v>767</v>
      </c>
      <c r="AW353" s="4638" t="s">
        <v>767</v>
      </c>
      <c r="AX353" s="4524" t="s">
        <v>767</v>
      </c>
      <c r="AY353" s="4638" t="s">
        <v>767</v>
      </c>
      <c r="AZ353" s="4524">
        <v>53164</v>
      </c>
      <c r="BA353" s="4638">
        <f t="shared" si="165"/>
        <v>44657.759999999995</v>
      </c>
      <c r="BB353" s="4524">
        <v>16982</v>
      </c>
      <c r="BC353" s="4638">
        <f t="shared" si="166"/>
        <v>14264.88</v>
      </c>
      <c r="BD353" s="4524">
        <v>60013</v>
      </c>
      <c r="BE353" s="4638">
        <f t="shared" si="167"/>
        <v>50410.92</v>
      </c>
      <c r="BF353" s="4524">
        <v>575010</v>
      </c>
      <c r="BG353" s="4638">
        <f t="shared" si="168"/>
        <v>483008.39999999997</v>
      </c>
      <c r="BH353" s="4543"/>
      <c r="BI353" s="4543"/>
      <c r="BJ353" s="4543"/>
      <c r="BK353" s="3185"/>
      <c r="BL353" s="4543"/>
      <c r="BM353" s="4543"/>
      <c r="BN353" s="4554"/>
      <c r="BO353" s="4554"/>
      <c r="BP353" s="4554"/>
      <c r="BQ353" s="4554"/>
      <c r="BR353" s="4557"/>
    </row>
    <row r="354" spans="1:332" ht="38.25" customHeight="1" x14ac:dyDescent="0.2">
      <c r="A354" s="995"/>
      <c r="B354" s="996"/>
      <c r="C354" s="997"/>
      <c r="D354" s="996"/>
      <c r="E354" s="996"/>
      <c r="F354" s="997"/>
      <c r="G354" s="996"/>
      <c r="H354" s="996"/>
      <c r="I354" s="997"/>
      <c r="J354" s="4524"/>
      <c r="K354" s="4521"/>
      <c r="L354" s="4524"/>
      <c r="M354" s="4524"/>
      <c r="N354" s="4524"/>
      <c r="O354" s="4524"/>
      <c r="P354" s="4528"/>
      <c r="Q354" s="4521"/>
      <c r="R354" s="4576"/>
      <c r="S354" s="4534"/>
      <c r="T354" s="4521"/>
      <c r="U354" s="4589"/>
      <c r="V354" s="980" t="s">
        <v>1278</v>
      </c>
      <c r="W354" s="2300">
        <v>20000000</v>
      </c>
      <c r="X354" s="1809">
        <v>7274800</v>
      </c>
      <c r="Y354" s="1809">
        <v>4719200</v>
      </c>
      <c r="Z354" s="1144">
        <v>72</v>
      </c>
      <c r="AA354" s="1062" t="s">
        <v>1276</v>
      </c>
      <c r="AB354" s="4524"/>
      <c r="AC354" s="4638"/>
      <c r="AD354" s="4524">
        <v>282326</v>
      </c>
      <c r="AE354" s="4638">
        <f t="shared" si="157"/>
        <v>237153.84</v>
      </c>
      <c r="AF354" s="4524">
        <v>135912</v>
      </c>
      <c r="AG354" s="4638">
        <f t="shared" si="158"/>
        <v>114166.08</v>
      </c>
      <c r="AH354" s="4524">
        <v>45122</v>
      </c>
      <c r="AI354" s="4638">
        <f t="shared" si="159"/>
        <v>37902.479999999996</v>
      </c>
      <c r="AJ354" s="4524">
        <v>307101</v>
      </c>
      <c r="AK354" s="4638">
        <v>257964.84</v>
      </c>
      <c r="AL354" s="4524">
        <v>86875</v>
      </c>
      <c r="AM354" s="4638">
        <f t="shared" si="160"/>
        <v>72975</v>
      </c>
      <c r="AN354" s="4524">
        <v>2145</v>
      </c>
      <c r="AO354" s="4638">
        <f t="shared" si="161"/>
        <v>1801.8</v>
      </c>
      <c r="AP354" s="4524">
        <v>12718</v>
      </c>
      <c r="AQ354" s="4638">
        <f t="shared" si="162"/>
        <v>10683.119999999999</v>
      </c>
      <c r="AR354" s="4524">
        <v>26</v>
      </c>
      <c r="AS354" s="4638">
        <f t="shared" si="163"/>
        <v>21.84</v>
      </c>
      <c r="AT354" s="4524">
        <v>37</v>
      </c>
      <c r="AU354" s="4638">
        <f t="shared" si="164"/>
        <v>31.08</v>
      </c>
      <c r="AV354" s="4524" t="s">
        <v>767</v>
      </c>
      <c r="AW354" s="4638" t="s">
        <v>767</v>
      </c>
      <c r="AX354" s="4524" t="s">
        <v>767</v>
      </c>
      <c r="AY354" s="4638" t="s">
        <v>767</v>
      </c>
      <c r="AZ354" s="4524">
        <v>53164</v>
      </c>
      <c r="BA354" s="4638">
        <f t="shared" si="165"/>
        <v>44657.759999999995</v>
      </c>
      <c r="BB354" s="4524">
        <v>16982</v>
      </c>
      <c r="BC354" s="4638">
        <f t="shared" si="166"/>
        <v>14264.88</v>
      </c>
      <c r="BD354" s="4524">
        <v>60013</v>
      </c>
      <c r="BE354" s="4638">
        <f t="shared" si="167"/>
        <v>50410.92</v>
      </c>
      <c r="BF354" s="4524">
        <v>575010</v>
      </c>
      <c r="BG354" s="4638">
        <f t="shared" si="168"/>
        <v>483008.39999999997</v>
      </c>
      <c r="BH354" s="4543"/>
      <c r="BI354" s="4543"/>
      <c r="BJ354" s="4543"/>
      <c r="BK354" s="3185"/>
      <c r="BL354" s="4543"/>
      <c r="BM354" s="4543"/>
      <c r="BN354" s="4554"/>
      <c r="BO354" s="4554"/>
      <c r="BP354" s="4554"/>
      <c r="BQ354" s="4554"/>
      <c r="BR354" s="4557"/>
    </row>
    <row r="355" spans="1:332" ht="37.5" customHeight="1" x14ac:dyDescent="0.2">
      <c r="A355" s="995"/>
      <c r="B355" s="996"/>
      <c r="C355" s="997"/>
      <c r="D355" s="996"/>
      <c r="E355" s="996"/>
      <c r="F355" s="997"/>
      <c r="G355" s="996"/>
      <c r="H355" s="996"/>
      <c r="I355" s="997"/>
      <c r="J355" s="4524"/>
      <c r="K355" s="4521"/>
      <c r="L355" s="4524"/>
      <c r="M355" s="4524"/>
      <c r="N355" s="4524"/>
      <c r="O355" s="4524"/>
      <c r="P355" s="4528"/>
      <c r="Q355" s="4521"/>
      <c r="R355" s="4531">
        <f>+SUM(W355:W356)/S351</f>
        <v>0.2</v>
      </c>
      <c r="S355" s="4534"/>
      <c r="T355" s="4521"/>
      <c r="U355" s="4589" t="s">
        <v>1279</v>
      </c>
      <c r="V355" s="1145" t="s">
        <v>1280</v>
      </c>
      <c r="W355" s="2300">
        <v>15000000</v>
      </c>
      <c r="X355" s="1809">
        <v>7274800</v>
      </c>
      <c r="Y355" s="1809">
        <v>4719200</v>
      </c>
      <c r="Z355" s="1144">
        <v>72</v>
      </c>
      <c r="AA355" s="1062" t="s">
        <v>1276</v>
      </c>
      <c r="AB355" s="4524"/>
      <c r="AC355" s="4638"/>
      <c r="AD355" s="4524">
        <v>282326</v>
      </c>
      <c r="AE355" s="4638">
        <f t="shared" si="157"/>
        <v>237153.84</v>
      </c>
      <c r="AF355" s="4524">
        <v>135912</v>
      </c>
      <c r="AG355" s="4638">
        <f t="shared" si="158"/>
        <v>114166.08</v>
      </c>
      <c r="AH355" s="4524">
        <v>45122</v>
      </c>
      <c r="AI355" s="4638">
        <f t="shared" si="159"/>
        <v>37902.479999999996</v>
      </c>
      <c r="AJ355" s="4524">
        <v>307101</v>
      </c>
      <c r="AK355" s="4638">
        <v>257964.84</v>
      </c>
      <c r="AL355" s="4524">
        <v>86875</v>
      </c>
      <c r="AM355" s="4638">
        <f t="shared" si="160"/>
        <v>72975</v>
      </c>
      <c r="AN355" s="4524">
        <v>2145</v>
      </c>
      <c r="AO355" s="4638">
        <f t="shared" si="161"/>
        <v>1801.8</v>
      </c>
      <c r="AP355" s="4524">
        <v>12718</v>
      </c>
      <c r="AQ355" s="4638">
        <f t="shared" si="162"/>
        <v>10683.119999999999</v>
      </c>
      <c r="AR355" s="4524">
        <v>26</v>
      </c>
      <c r="AS355" s="4638">
        <f t="shared" si="163"/>
        <v>21.84</v>
      </c>
      <c r="AT355" s="4524">
        <v>37</v>
      </c>
      <c r="AU355" s="4638">
        <f t="shared" si="164"/>
        <v>31.08</v>
      </c>
      <c r="AV355" s="4524" t="s">
        <v>767</v>
      </c>
      <c r="AW355" s="4638" t="s">
        <v>767</v>
      </c>
      <c r="AX355" s="4524" t="s">
        <v>767</v>
      </c>
      <c r="AY355" s="4638" t="s">
        <v>767</v>
      </c>
      <c r="AZ355" s="4524">
        <v>53164</v>
      </c>
      <c r="BA355" s="4638">
        <f t="shared" si="165"/>
        <v>44657.759999999995</v>
      </c>
      <c r="BB355" s="4524">
        <v>16982</v>
      </c>
      <c r="BC355" s="4638">
        <f t="shared" si="166"/>
        <v>14264.88</v>
      </c>
      <c r="BD355" s="4524">
        <v>60013</v>
      </c>
      <c r="BE355" s="4638">
        <f t="shared" si="167"/>
        <v>50410.92</v>
      </c>
      <c r="BF355" s="4524">
        <v>575010</v>
      </c>
      <c r="BG355" s="4638">
        <f t="shared" si="168"/>
        <v>483008.39999999997</v>
      </c>
      <c r="BH355" s="4543"/>
      <c r="BI355" s="4543"/>
      <c r="BJ355" s="4543"/>
      <c r="BK355" s="3185"/>
      <c r="BL355" s="4543"/>
      <c r="BM355" s="4543"/>
      <c r="BN355" s="4554"/>
      <c r="BO355" s="4554"/>
      <c r="BP355" s="4554"/>
      <c r="BQ355" s="4554"/>
      <c r="BR355" s="4557"/>
    </row>
    <row r="356" spans="1:332" ht="40.5" customHeight="1" x14ac:dyDescent="0.2">
      <c r="A356" s="995"/>
      <c r="B356" s="996"/>
      <c r="C356" s="997"/>
      <c r="D356" s="996"/>
      <c r="E356" s="996"/>
      <c r="F356" s="997"/>
      <c r="G356" s="996"/>
      <c r="H356" s="996"/>
      <c r="I356" s="997"/>
      <c r="J356" s="4525"/>
      <c r="K356" s="4522"/>
      <c r="L356" s="4525"/>
      <c r="M356" s="4525"/>
      <c r="N356" s="4525"/>
      <c r="O356" s="4524"/>
      <c r="P356" s="4528"/>
      <c r="Q356" s="4521"/>
      <c r="R356" s="4532"/>
      <c r="S356" s="4534"/>
      <c r="T356" s="4521"/>
      <c r="U356" s="4589"/>
      <c r="V356" s="1145" t="s">
        <v>1281</v>
      </c>
      <c r="W356" s="2300">
        <v>15000000</v>
      </c>
      <c r="X356" s="1809">
        <v>7274800</v>
      </c>
      <c r="Y356" s="1809">
        <v>4719200</v>
      </c>
      <c r="Z356" s="1144">
        <v>72</v>
      </c>
      <c r="AA356" s="1062" t="s">
        <v>1276</v>
      </c>
      <c r="AB356" s="4524"/>
      <c r="AC356" s="4638"/>
      <c r="AD356" s="4524">
        <v>282326</v>
      </c>
      <c r="AE356" s="4638">
        <f t="shared" si="157"/>
        <v>237153.84</v>
      </c>
      <c r="AF356" s="4524">
        <v>135912</v>
      </c>
      <c r="AG356" s="4638">
        <f t="shared" si="158"/>
        <v>114166.08</v>
      </c>
      <c r="AH356" s="4524">
        <v>45122</v>
      </c>
      <c r="AI356" s="4638">
        <f t="shared" si="159"/>
        <v>37902.479999999996</v>
      </c>
      <c r="AJ356" s="4524">
        <v>307101</v>
      </c>
      <c r="AK356" s="4638">
        <v>257964.84</v>
      </c>
      <c r="AL356" s="4524">
        <v>86875</v>
      </c>
      <c r="AM356" s="4638">
        <f t="shared" si="160"/>
        <v>72975</v>
      </c>
      <c r="AN356" s="4524">
        <v>2145</v>
      </c>
      <c r="AO356" s="4638">
        <f t="shared" si="161"/>
        <v>1801.8</v>
      </c>
      <c r="AP356" s="4524">
        <v>12718</v>
      </c>
      <c r="AQ356" s="4638">
        <f t="shared" si="162"/>
        <v>10683.119999999999</v>
      </c>
      <c r="AR356" s="4524">
        <v>26</v>
      </c>
      <c r="AS356" s="4638">
        <f t="shared" si="163"/>
        <v>21.84</v>
      </c>
      <c r="AT356" s="4524">
        <v>37</v>
      </c>
      <c r="AU356" s="4638">
        <f t="shared" si="164"/>
        <v>31.08</v>
      </c>
      <c r="AV356" s="4524" t="s">
        <v>767</v>
      </c>
      <c r="AW356" s="4638" t="s">
        <v>767</v>
      </c>
      <c r="AX356" s="4524" t="s">
        <v>767</v>
      </c>
      <c r="AY356" s="4638" t="s">
        <v>767</v>
      </c>
      <c r="AZ356" s="4524">
        <v>53164</v>
      </c>
      <c r="BA356" s="4638">
        <f t="shared" si="165"/>
        <v>44657.759999999995</v>
      </c>
      <c r="BB356" s="4524">
        <v>16982</v>
      </c>
      <c r="BC356" s="4638">
        <f t="shared" si="166"/>
        <v>14264.88</v>
      </c>
      <c r="BD356" s="4524">
        <v>60013</v>
      </c>
      <c r="BE356" s="4638">
        <f t="shared" si="167"/>
        <v>50410.92</v>
      </c>
      <c r="BF356" s="4524">
        <v>575010</v>
      </c>
      <c r="BG356" s="4638">
        <f t="shared" si="168"/>
        <v>483008.39999999997</v>
      </c>
      <c r="BH356" s="4543"/>
      <c r="BI356" s="4543"/>
      <c r="BJ356" s="4543"/>
      <c r="BK356" s="3185"/>
      <c r="BL356" s="4543"/>
      <c r="BM356" s="4543"/>
      <c r="BN356" s="4554"/>
      <c r="BO356" s="4554"/>
      <c r="BP356" s="4554"/>
      <c r="BQ356" s="4554"/>
      <c r="BR356" s="4557"/>
    </row>
    <row r="357" spans="1:332" s="1148" customFormat="1" ht="81" customHeight="1" thickBot="1" x14ac:dyDescent="0.25">
      <c r="A357" s="995"/>
      <c r="B357" s="996"/>
      <c r="C357" s="997"/>
      <c r="D357" s="996"/>
      <c r="E357" s="996"/>
      <c r="F357" s="997"/>
      <c r="G357" s="996"/>
      <c r="H357" s="996"/>
      <c r="I357" s="997"/>
      <c r="J357" s="1041">
        <v>179</v>
      </c>
      <c r="K357" s="1008" t="s">
        <v>1282</v>
      </c>
      <c r="L357" s="1041" t="s">
        <v>759</v>
      </c>
      <c r="M357" s="1041">
        <v>4</v>
      </c>
      <c r="N357" s="1053">
        <v>2</v>
      </c>
      <c r="O357" s="4524"/>
      <c r="P357" s="4528"/>
      <c r="Q357" s="4521"/>
      <c r="R357" s="1100">
        <v>0</v>
      </c>
      <c r="S357" s="4534"/>
      <c r="T357" s="4521"/>
      <c r="U357" s="1008" t="s">
        <v>1283</v>
      </c>
      <c r="V357" s="1146" t="s">
        <v>1284</v>
      </c>
      <c r="W357" s="2599">
        <v>0</v>
      </c>
      <c r="X357" s="2599">
        <v>0</v>
      </c>
      <c r="Y357" s="2599">
        <v>0</v>
      </c>
      <c r="Z357" s="1147"/>
      <c r="AA357" s="1041"/>
      <c r="AB357" s="4718"/>
      <c r="AC357" s="4720"/>
      <c r="AD357" s="4718">
        <v>282326</v>
      </c>
      <c r="AE357" s="4720">
        <f t="shared" si="157"/>
        <v>237153.84</v>
      </c>
      <c r="AF357" s="4718">
        <v>135912</v>
      </c>
      <c r="AG357" s="4720">
        <f t="shared" si="158"/>
        <v>114166.08</v>
      </c>
      <c r="AH357" s="4718">
        <v>45122</v>
      </c>
      <c r="AI357" s="4720">
        <f t="shared" si="159"/>
        <v>37902.479999999996</v>
      </c>
      <c r="AJ357" s="4718">
        <v>307101</v>
      </c>
      <c r="AK357" s="4720">
        <v>257964.84</v>
      </c>
      <c r="AL357" s="4718">
        <v>86875</v>
      </c>
      <c r="AM357" s="4720">
        <f t="shared" si="160"/>
        <v>72975</v>
      </c>
      <c r="AN357" s="4718">
        <v>2145</v>
      </c>
      <c r="AO357" s="4720">
        <f t="shared" si="161"/>
        <v>1801.8</v>
      </c>
      <c r="AP357" s="4718">
        <v>12718</v>
      </c>
      <c r="AQ357" s="4720">
        <f t="shared" si="162"/>
        <v>10683.119999999999</v>
      </c>
      <c r="AR357" s="4718">
        <v>26</v>
      </c>
      <c r="AS357" s="4720">
        <f t="shared" si="163"/>
        <v>21.84</v>
      </c>
      <c r="AT357" s="4718">
        <v>37</v>
      </c>
      <c r="AU357" s="4720">
        <f t="shared" si="164"/>
        <v>31.08</v>
      </c>
      <c r="AV357" s="4718" t="s">
        <v>767</v>
      </c>
      <c r="AW357" s="4720" t="s">
        <v>767</v>
      </c>
      <c r="AX357" s="4718" t="s">
        <v>767</v>
      </c>
      <c r="AY357" s="4720" t="s">
        <v>767</v>
      </c>
      <c r="AZ357" s="4718">
        <v>53164</v>
      </c>
      <c r="BA357" s="4720">
        <f t="shared" si="165"/>
        <v>44657.759999999995</v>
      </c>
      <c r="BB357" s="4718">
        <v>16982</v>
      </c>
      <c r="BC357" s="4720">
        <f t="shared" si="166"/>
        <v>14264.88</v>
      </c>
      <c r="BD357" s="4718">
        <v>60013</v>
      </c>
      <c r="BE357" s="4720">
        <f t="shared" si="167"/>
        <v>50410.92</v>
      </c>
      <c r="BF357" s="4718">
        <v>575010</v>
      </c>
      <c r="BG357" s="4720">
        <f t="shared" si="168"/>
        <v>483008.39999999997</v>
      </c>
      <c r="BH357" s="4726"/>
      <c r="BI357" s="4726"/>
      <c r="BJ357" s="4726"/>
      <c r="BK357" s="4728"/>
      <c r="BL357" s="4726"/>
      <c r="BM357" s="4726"/>
      <c r="BN357" s="4554"/>
      <c r="BO357" s="4727"/>
      <c r="BP357" s="4554"/>
      <c r="BQ357" s="4727"/>
      <c r="BR357" s="4557"/>
      <c r="BS357" s="946"/>
      <c r="BT357" s="946"/>
      <c r="BU357" s="946"/>
      <c r="BV357" s="946"/>
      <c r="BW357" s="946"/>
      <c r="BX357" s="946"/>
      <c r="BY357" s="946"/>
      <c r="BZ357" s="946"/>
      <c r="CA357" s="946"/>
      <c r="CB357" s="946"/>
      <c r="CC357" s="946"/>
      <c r="CD357" s="946"/>
      <c r="CE357" s="946"/>
      <c r="CF357" s="946"/>
      <c r="CG357" s="946"/>
      <c r="CH357" s="946"/>
      <c r="CI357" s="946"/>
      <c r="CJ357" s="946"/>
      <c r="CK357" s="946"/>
      <c r="CL357" s="946"/>
      <c r="CM357" s="946"/>
      <c r="CN357" s="946"/>
      <c r="CO357" s="946"/>
      <c r="CP357" s="946"/>
      <c r="CQ357" s="946"/>
      <c r="CR357" s="946"/>
      <c r="CS357" s="946"/>
      <c r="CT357" s="946"/>
      <c r="CU357" s="946"/>
      <c r="CV357" s="946"/>
      <c r="CW357" s="946"/>
      <c r="CX357" s="946"/>
      <c r="CY357" s="946"/>
      <c r="CZ357" s="946"/>
      <c r="DA357" s="946"/>
      <c r="DB357" s="946"/>
      <c r="DC357" s="946"/>
      <c r="DD357" s="946"/>
      <c r="DE357" s="946"/>
      <c r="DF357" s="946"/>
      <c r="DG357" s="946"/>
      <c r="DH357" s="946"/>
      <c r="DI357" s="946"/>
      <c r="DJ357" s="946"/>
      <c r="DK357" s="946"/>
      <c r="DL357" s="946"/>
      <c r="DM357" s="946"/>
      <c r="DN357" s="946"/>
      <c r="DO357" s="946"/>
      <c r="DP357" s="946"/>
      <c r="DQ357" s="946"/>
      <c r="DR357" s="946"/>
      <c r="DS357" s="946"/>
      <c r="DT357" s="946"/>
      <c r="DU357" s="946"/>
      <c r="DV357" s="946"/>
      <c r="DW357" s="946"/>
      <c r="DX357" s="946"/>
      <c r="DY357" s="946"/>
      <c r="DZ357" s="946"/>
      <c r="EA357" s="946"/>
      <c r="EB357" s="946"/>
      <c r="EC357" s="946"/>
      <c r="ED357" s="946"/>
      <c r="EE357" s="946"/>
      <c r="EF357" s="946"/>
      <c r="EG357" s="946"/>
      <c r="EH357" s="946"/>
      <c r="EI357" s="946"/>
      <c r="EJ357" s="946"/>
      <c r="EK357" s="946"/>
      <c r="EL357" s="946"/>
      <c r="EM357" s="946"/>
      <c r="EN357" s="946"/>
      <c r="EO357" s="946"/>
      <c r="EP357" s="946"/>
      <c r="EQ357" s="946"/>
      <c r="ER357" s="946"/>
      <c r="ES357" s="946"/>
      <c r="ET357" s="946"/>
      <c r="EU357" s="946"/>
      <c r="EV357" s="946"/>
      <c r="EW357" s="946"/>
      <c r="EX357" s="946"/>
      <c r="EY357" s="946"/>
      <c r="EZ357" s="946"/>
      <c r="FA357" s="946"/>
      <c r="FB357" s="946"/>
      <c r="FC357" s="946"/>
      <c r="FD357" s="946"/>
      <c r="FE357" s="946"/>
      <c r="FF357" s="946"/>
      <c r="FG357" s="946"/>
      <c r="FH357" s="946"/>
      <c r="FI357" s="946"/>
      <c r="FJ357" s="946"/>
      <c r="FK357" s="946"/>
      <c r="FL357" s="946"/>
      <c r="FM357" s="946"/>
      <c r="FN357" s="946"/>
      <c r="FO357" s="946"/>
      <c r="FP357" s="946"/>
      <c r="FQ357" s="946"/>
      <c r="FR357" s="946"/>
      <c r="FS357" s="946"/>
      <c r="FT357" s="946"/>
      <c r="FU357" s="946"/>
      <c r="FV357" s="946"/>
      <c r="FW357" s="946"/>
      <c r="FX357" s="946"/>
      <c r="FY357" s="946"/>
      <c r="FZ357" s="946"/>
      <c r="GA357" s="946"/>
      <c r="GB357" s="946"/>
      <c r="GC357" s="946"/>
      <c r="GD357" s="946"/>
      <c r="GE357" s="946"/>
      <c r="GF357" s="946"/>
      <c r="GG357" s="946"/>
      <c r="GH357" s="946"/>
      <c r="GI357" s="946"/>
      <c r="GJ357" s="946"/>
      <c r="GK357" s="946"/>
      <c r="GL357" s="946"/>
      <c r="GM357" s="946"/>
      <c r="GN357" s="946"/>
      <c r="GO357" s="946"/>
      <c r="GP357" s="946"/>
      <c r="GQ357" s="946"/>
      <c r="GR357" s="946"/>
      <c r="GS357" s="946"/>
      <c r="GT357" s="946"/>
      <c r="GU357" s="946"/>
      <c r="GV357" s="946"/>
      <c r="GW357" s="946"/>
      <c r="GX357" s="946"/>
      <c r="GY357" s="946"/>
      <c r="GZ357" s="946"/>
      <c r="HA357" s="946"/>
      <c r="HB357" s="946"/>
      <c r="HC357" s="946"/>
      <c r="HD357" s="946"/>
      <c r="HE357" s="946"/>
      <c r="HF357" s="946"/>
      <c r="HG357" s="946"/>
      <c r="HH357" s="946"/>
      <c r="HI357" s="946"/>
      <c r="HJ357" s="946"/>
      <c r="HK357" s="946"/>
      <c r="HL357" s="946"/>
      <c r="HM357" s="946"/>
      <c r="HN357" s="946"/>
      <c r="HO357" s="946"/>
      <c r="HP357" s="946"/>
      <c r="HQ357" s="946"/>
      <c r="HR357" s="946"/>
      <c r="HS357" s="946"/>
      <c r="HT357" s="946"/>
      <c r="HU357" s="946"/>
      <c r="HV357" s="946"/>
      <c r="HW357" s="946"/>
      <c r="HX357" s="946"/>
      <c r="HY357" s="946"/>
      <c r="HZ357" s="946"/>
      <c r="IA357" s="946"/>
      <c r="IB357" s="946"/>
      <c r="IC357" s="946"/>
      <c r="ID357" s="946"/>
      <c r="IE357" s="946"/>
      <c r="IF357" s="946"/>
      <c r="IG357" s="946"/>
      <c r="IH357" s="946"/>
      <c r="II357" s="946"/>
      <c r="IJ357" s="946"/>
      <c r="IK357" s="946"/>
      <c r="IL357" s="946"/>
      <c r="IM357" s="946"/>
      <c r="IN357" s="946"/>
      <c r="IO357" s="946"/>
      <c r="IP357" s="946"/>
      <c r="IQ357" s="946"/>
      <c r="IR357" s="946"/>
      <c r="IS357" s="946"/>
      <c r="IT357" s="946"/>
      <c r="IU357" s="946"/>
      <c r="IV357" s="946"/>
      <c r="IW357" s="946"/>
      <c r="IX357" s="946"/>
      <c r="IY357" s="946"/>
      <c r="IZ357" s="946"/>
      <c r="JA357" s="946"/>
      <c r="JB357" s="946"/>
      <c r="JC357" s="946"/>
      <c r="JD357" s="946"/>
      <c r="JE357" s="946"/>
      <c r="JF357" s="946"/>
      <c r="JG357" s="946"/>
      <c r="JH357" s="946"/>
      <c r="JI357" s="946"/>
      <c r="JJ357" s="946"/>
      <c r="JK357" s="946"/>
      <c r="JL357" s="946"/>
      <c r="JM357" s="946"/>
      <c r="JN357" s="946"/>
      <c r="JO357" s="946"/>
      <c r="JP357" s="946"/>
      <c r="JQ357" s="946"/>
      <c r="JR357" s="946"/>
      <c r="JS357" s="946"/>
      <c r="JT357" s="946"/>
      <c r="JU357" s="946"/>
      <c r="JV357" s="946"/>
      <c r="JW357" s="946"/>
      <c r="JX357" s="946"/>
      <c r="JY357" s="946"/>
      <c r="JZ357" s="946"/>
      <c r="KA357" s="946"/>
      <c r="KB357" s="946"/>
      <c r="KC357" s="946"/>
      <c r="KD357" s="946"/>
      <c r="KE357" s="946"/>
      <c r="KF357" s="946"/>
      <c r="KG357" s="946"/>
      <c r="KH357" s="946"/>
      <c r="KI357" s="946"/>
      <c r="KJ357" s="946"/>
      <c r="KK357" s="946"/>
      <c r="KL357" s="946"/>
      <c r="KM357" s="946"/>
      <c r="KN357" s="946"/>
      <c r="KO357" s="946"/>
      <c r="KP357" s="946"/>
      <c r="KQ357" s="946"/>
      <c r="KR357" s="946"/>
      <c r="KS357" s="946"/>
      <c r="KT357" s="946"/>
      <c r="KU357" s="946"/>
      <c r="KV357" s="946"/>
      <c r="KW357" s="946"/>
      <c r="KX357" s="946"/>
      <c r="KY357" s="946"/>
      <c r="KZ357" s="946"/>
      <c r="LA357" s="946"/>
      <c r="LB357" s="946"/>
      <c r="LC357" s="946"/>
      <c r="LD357" s="946"/>
      <c r="LE357" s="946"/>
      <c r="LF357" s="946"/>
      <c r="LG357" s="946"/>
      <c r="LH357" s="946"/>
      <c r="LI357" s="946"/>
      <c r="LJ357" s="946"/>
      <c r="LK357" s="946"/>
      <c r="LL357" s="946"/>
      <c r="LM357" s="946"/>
      <c r="LN357" s="946"/>
      <c r="LO357" s="946"/>
      <c r="LP357" s="946"/>
      <c r="LQ357" s="946"/>
      <c r="LR357" s="946"/>
      <c r="LS357" s="946"/>
      <c r="LT357" s="946"/>
    </row>
    <row r="358" spans="1:332" ht="30" customHeight="1" thickBot="1" x14ac:dyDescent="0.25">
      <c r="A358" s="4721"/>
      <c r="B358" s="4722"/>
      <c r="C358" s="4722"/>
      <c r="D358" s="4722"/>
      <c r="E358" s="4722"/>
      <c r="F358" s="4722"/>
      <c r="G358" s="4722"/>
      <c r="H358" s="4722"/>
      <c r="I358" s="4722"/>
      <c r="J358" s="4722"/>
      <c r="K358" s="4722"/>
      <c r="L358" s="4722"/>
      <c r="M358" s="4722"/>
      <c r="N358" s="4722"/>
      <c r="O358" s="4722"/>
      <c r="P358" s="4722"/>
      <c r="Q358" s="4722"/>
      <c r="R358" s="4723"/>
      <c r="S358" s="1149">
        <f>SUM(S13:S357)</f>
        <v>46219609782</v>
      </c>
      <c r="T358" s="1150"/>
      <c r="U358" s="1151"/>
      <c r="V358" s="1152"/>
      <c r="W358" s="1153">
        <f>SUM(W13:W357)</f>
        <v>46219609782</v>
      </c>
      <c r="X358" s="1153">
        <f t="shared" ref="X358:Y358" si="169">SUM(X13:X357)</f>
        <v>22190709678</v>
      </c>
      <c r="Y358" s="1153">
        <f t="shared" si="169"/>
        <v>11857310728</v>
      </c>
      <c r="Z358" s="1154"/>
      <c r="AA358" s="1154"/>
      <c r="AB358" s="1155"/>
      <c r="AC358" s="1155"/>
      <c r="AD358" s="1155"/>
      <c r="AE358" s="1155"/>
      <c r="AF358" s="1156"/>
      <c r="AG358" s="1156"/>
      <c r="AH358" s="1155"/>
      <c r="AI358" s="1155"/>
      <c r="AJ358" s="1155"/>
      <c r="AK358" s="1155"/>
      <c r="AL358" s="1155"/>
      <c r="AM358" s="1155"/>
      <c r="AN358" s="1155"/>
      <c r="AO358" s="1155"/>
      <c r="AP358" s="1157"/>
      <c r="AQ358" s="1157"/>
      <c r="AR358" s="1155"/>
      <c r="AS358" s="1155"/>
      <c r="AT358" s="1156"/>
      <c r="AU358" s="1156"/>
      <c r="AV358" s="1155"/>
      <c r="AW358" s="1155"/>
      <c r="AX358" s="1155"/>
      <c r="AY358" s="1155"/>
      <c r="AZ358" s="1156"/>
      <c r="BA358" s="1156"/>
      <c r="BB358" s="1156"/>
      <c r="BC358" s="1156"/>
      <c r="BD358" s="1156"/>
      <c r="BE358" s="1156"/>
      <c r="BF358" s="1156"/>
      <c r="BG358" s="1156"/>
      <c r="BH358" s="1170">
        <f t="shared" ref="BH358:BJ358" si="170">SUM(BH13:BH357)</f>
        <v>375</v>
      </c>
      <c r="BI358" s="1153">
        <f t="shared" si="170"/>
        <v>22190709678</v>
      </c>
      <c r="BJ358" s="1153">
        <f t="shared" si="170"/>
        <v>11857310728</v>
      </c>
      <c r="BK358" s="1156"/>
      <c r="BL358" s="1156"/>
      <c r="BM358" s="1156"/>
      <c r="BN358" s="1158"/>
      <c r="BO358" s="1158"/>
      <c r="BP358" s="1158"/>
      <c r="BQ358" s="1158"/>
      <c r="BR358" s="1158"/>
    </row>
    <row r="359" spans="1:332" x14ac:dyDescent="0.2">
      <c r="W359" s="1162"/>
      <c r="X359" s="1162"/>
      <c r="Y359" s="1162"/>
    </row>
    <row r="360" spans="1:332" ht="43.5" customHeight="1" x14ac:dyDescent="0.2"/>
    <row r="361" spans="1:332" ht="43.5" customHeight="1" x14ac:dyDescent="0.2">
      <c r="S361" s="1166"/>
      <c r="W361" s="1167"/>
      <c r="X361" s="1167"/>
      <c r="Y361" s="1167"/>
    </row>
    <row r="362" spans="1:332" ht="43.5" customHeight="1" x14ac:dyDescent="0.25">
      <c r="K362" s="4724" t="s">
        <v>1285</v>
      </c>
      <c r="L362" s="4724"/>
      <c r="M362" s="4724"/>
      <c r="N362" s="1168"/>
      <c r="W362" s="1169"/>
      <c r="X362" s="1169"/>
      <c r="Y362" s="1169"/>
    </row>
    <row r="363" spans="1:332" s="1160" customFormat="1" ht="43.5" customHeight="1" x14ac:dyDescent="0.2">
      <c r="A363" s="946"/>
      <c r="B363" s="946"/>
      <c r="C363" s="946"/>
      <c r="D363" s="946"/>
      <c r="E363" s="946"/>
      <c r="F363" s="946"/>
      <c r="G363" s="946"/>
      <c r="H363" s="946"/>
      <c r="I363" s="946"/>
      <c r="J363" s="946"/>
      <c r="K363" s="4725" t="s">
        <v>1286</v>
      </c>
      <c r="L363" s="4725"/>
      <c r="M363" s="4725"/>
      <c r="N363" s="1060"/>
      <c r="O363" s="1060"/>
      <c r="P363" s="978"/>
      <c r="Q363" s="1159"/>
      <c r="S363" s="1060"/>
      <c r="T363" s="978"/>
      <c r="U363" s="1159"/>
      <c r="V363" s="1161"/>
      <c r="W363" s="1161"/>
      <c r="X363" s="1161"/>
      <c r="Y363" s="1161"/>
      <c r="AB363" s="1163"/>
      <c r="AC363" s="1163"/>
      <c r="AD363" s="1163"/>
      <c r="AE363" s="1163"/>
      <c r="AF363" s="1164"/>
      <c r="AG363" s="1164"/>
      <c r="AH363" s="1163"/>
      <c r="AI363" s="1163"/>
      <c r="AJ363" s="1163"/>
      <c r="AK363" s="1163"/>
      <c r="AL363" s="1163"/>
      <c r="AM363" s="1163"/>
      <c r="AN363" s="1163"/>
      <c r="AO363" s="1163"/>
      <c r="AP363" s="1165"/>
      <c r="AQ363" s="1165"/>
      <c r="AR363" s="1163"/>
      <c r="AS363" s="1163"/>
      <c r="AT363" s="1164"/>
      <c r="AU363" s="1164"/>
      <c r="AV363" s="1163"/>
      <c r="AW363" s="1163"/>
      <c r="AX363" s="1163"/>
      <c r="AY363" s="1163"/>
      <c r="AZ363" s="1164"/>
      <c r="BA363" s="1164"/>
      <c r="BB363" s="1164"/>
      <c r="BC363" s="1164"/>
      <c r="BD363" s="1164"/>
      <c r="BE363" s="1164"/>
      <c r="BF363" s="1164"/>
      <c r="BG363" s="1164"/>
      <c r="BH363" s="1164"/>
      <c r="BI363" s="1164"/>
      <c r="BJ363" s="1164"/>
      <c r="BK363" s="1164"/>
      <c r="BL363" s="1164"/>
      <c r="BM363" s="1164"/>
      <c r="BN363" s="946"/>
      <c r="BO363" s="946"/>
      <c r="BP363" s="946"/>
      <c r="BQ363" s="946"/>
      <c r="BR363" s="946"/>
      <c r="BS363" s="946"/>
      <c r="BT363" s="946"/>
      <c r="BU363" s="946"/>
      <c r="BV363" s="946"/>
      <c r="BW363" s="946"/>
      <c r="BX363" s="946"/>
      <c r="BY363" s="946"/>
      <c r="BZ363" s="946"/>
      <c r="CA363" s="946"/>
      <c r="CB363" s="946"/>
      <c r="CC363" s="946"/>
      <c r="CD363" s="946"/>
      <c r="CE363" s="946"/>
      <c r="CF363" s="946"/>
      <c r="CG363" s="946"/>
      <c r="CH363" s="946"/>
      <c r="CI363" s="946"/>
      <c r="CJ363" s="946"/>
      <c r="CK363" s="946"/>
      <c r="CL363" s="946"/>
      <c r="CM363" s="946"/>
      <c r="CN363" s="946"/>
      <c r="CO363" s="946"/>
      <c r="CP363" s="946"/>
      <c r="CQ363" s="946"/>
      <c r="CR363" s="946"/>
      <c r="CS363" s="946"/>
      <c r="CT363" s="946"/>
      <c r="CU363" s="946"/>
      <c r="CV363" s="946"/>
      <c r="CW363" s="946"/>
      <c r="CX363" s="946"/>
      <c r="CY363" s="946"/>
      <c r="CZ363" s="946"/>
      <c r="DA363" s="946"/>
      <c r="DB363" s="946"/>
      <c r="DC363" s="946"/>
      <c r="DD363" s="946"/>
      <c r="DE363" s="946"/>
      <c r="DF363" s="946"/>
      <c r="DG363" s="946"/>
      <c r="DH363" s="946"/>
      <c r="DI363" s="946"/>
      <c r="DJ363" s="946"/>
      <c r="DK363" s="946"/>
      <c r="DL363" s="946"/>
      <c r="DM363" s="946"/>
      <c r="DN363" s="946"/>
      <c r="DO363" s="946"/>
      <c r="DP363" s="946"/>
      <c r="DQ363" s="946"/>
      <c r="DR363" s="946"/>
      <c r="DS363" s="946"/>
      <c r="DT363" s="946"/>
      <c r="DU363" s="946"/>
      <c r="DV363" s="946"/>
      <c r="DW363" s="946"/>
      <c r="DX363" s="946"/>
      <c r="DY363" s="946"/>
      <c r="DZ363" s="946"/>
      <c r="EA363" s="946"/>
      <c r="EB363" s="946"/>
      <c r="EC363" s="946"/>
      <c r="ED363" s="946"/>
      <c r="EE363" s="946"/>
      <c r="EF363" s="946"/>
      <c r="EG363" s="946"/>
      <c r="EH363" s="946"/>
      <c r="EI363" s="946"/>
      <c r="EJ363" s="946"/>
      <c r="EK363" s="946"/>
      <c r="EL363" s="946"/>
      <c r="EM363" s="946"/>
      <c r="EN363" s="946"/>
      <c r="EO363" s="946"/>
      <c r="EP363" s="946"/>
      <c r="EQ363" s="946"/>
      <c r="ER363" s="946"/>
      <c r="ES363" s="946"/>
      <c r="ET363" s="946"/>
      <c r="EU363" s="946"/>
      <c r="EV363" s="946"/>
      <c r="EW363" s="946"/>
      <c r="EX363" s="946"/>
      <c r="EY363" s="946"/>
      <c r="EZ363" s="946"/>
      <c r="FA363" s="946"/>
      <c r="FB363" s="946"/>
      <c r="FC363" s="946"/>
      <c r="FD363" s="946"/>
      <c r="FE363" s="946"/>
      <c r="FF363" s="946"/>
      <c r="FG363" s="946"/>
      <c r="FH363" s="946"/>
      <c r="FI363" s="946"/>
      <c r="FJ363" s="946"/>
      <c r="FK363" s="946"/>
      <c r="FL363" s="946"/>
      <c r="FM363" s="946"/>
      <c r="FN363" s="946"/>
      <c r="FO363" s="946"/>
      <c r="FP363" s="946"/>
      <c r="FQ363" s="946"/>
      <c r="FR363" s="946"/>
      <c r="FS363" s="946"/>
      <c r="FT363" s="946"/>
      <c r="FU363" s="946"/>
      <c r="FV363" s="946"/>
      <c r="FW363" s="946"/>
      <c r="FX363" s="946"/>
      <c r="FY363" s="946"/>
      <c r="FZ363" s="946"/>
      <c r="GA363" s="946"/>
      <c r="GB363" s="946"/>
      <c r="GC363" s="946"/>
      <c r="GD363" s="946"/>
      <c r="GE363" s="946"/>
      <c r="GF363" s="946"/>
      <c r="GG363" s="946"/>
      <c r="GH363" s="946"/>
      <c r="GI363" s="946"/>
      <c r="GJ363" s="946"/>
      <c r="GK363" s="946"/>
      <c r="GL363" s="946"/>
      <c r="GM363" s="946"/>
      <c r="GN363" s="946"/>
      <c r="GO363" s="946"/>
      <c r="GP363" s="946"/>
      <c r="GQ363" s="946"/>
      <c r="GR363" s="946"/>
      <c r="GS363" s="946"/>
      <c r="GT363" s="946"/>
      <c r="GU363" s="946"/>
      <c r="GV363" s="946"/>
      <c r="GW363" s="946"/>
      <c r="GX363" s="946"/>
      <c r="GY363" s="946"/>
      <c r="GZ363" s="946"/>
      <c r="HA363" s="946"/>
      <c r="HB363" s="946"/>
      <c r="HC363" s="946"/>
      <c r="HD363" s="946"/>
      <c r="HE363" s="946"/>
      <c r="HF363" s="946"/>
      <c r="HG363" s="946"/>
      <c r="HH363" s="946"/>
      <c r="HI363" s="946"/>
      <c r="HJ363" s="946"/>
      <c r="HK363" s="946"/>
      <c r="HL363" s="946"/>
      <c r="HM363" s="946"/>
      <c r="HN363" s="946"/>
      <c r="HO363" s="946"/>
      <c r="HP363" s="946"/>
      <c r="HQ363" s="946"/>
      <c r="HR363" s="946"/>
      <c r="HS363" s="946"/>
      <c r="HT363" s="946"/>
      <c r="HU363" s="946"/>
      <c r="HV363" s="946"/>
      <c r="HW363" s="946"/>
      <c r="HX363" s="946"/>
      <c r="HY363" s="946"/>
      <c r="HZ363" s="946"/>
      <c r="IA363" s="946"/>
      <c r="IB363" s="946"/>
      <c r="IC363" s="946"/>
      <c r="ID363" s="946"/>
      <c r="IE363" s="946"/>
      <c r="IF363" s="946"/>
      <c r="IG363" s="946"/>
      <c r="IH363" s="946"/>
      <c r="II363" s="946"/>
      <c r="IJ363" s="946"/>
      <c r="IK363" s="946"/>
      <c r="IL363" s="946"/>
      <c r="IM363" s="946"/>
      <c r="IN363" s="946"/>
      <c r="IO363" s="946"/>
      <c r="IP363" s="946"/>
      <c r="IQ363" s="946"/>
      <c r="IR363" s="946"/>
      <c r="IS363" s="946"/>
      <c r="IT363" s="946"/>
      <c r="IU363" s="946"/>
      <c r="IV363" s="946"/>
      <c r="IW363" s="946"/>
      <c r="IX363" s="946"/>
      <c r="IY363" s="946"/>
      <c r="IZ363" s="946"/>
      <c r="JA363" s="946"/>
      <c r="JB363" s="946"/>
      <c r="JC363" s="946"/>
      <c r="JD363" s="946"/>
      <c r="JE363" s="946"/>
      <c r="JF363" s="946"/>
      <c r="JG363" s="946"/>
      <c r="JH363" s="946"/>
      <c r="JI363" s="946"/>
      <c r="JJ363" s="946"/>
      <c r="JK363" s="946"/>
      <c r="JL363" s="946"/>
      <c r="JM363" s="946"/>
      <c r="JN363" s="946"/>
      <c r="JO363" s="946"/>
      <c r="JP363" s="946"/>
      <c r="JQ363" s="946"/>
      <c r="JR363" s="946"/>
      <c r="JS363" s="946"/>
      <c r="JT363" s="946"/>
      <c r="JU363" s="946"/>
      <c r="JV363" s="946"/>
      <c r="JW363" s="946"/>
      <c r="JX363" s="946"/>
      <c r="JY363" s="946"/>
      <c r="JZ363" s="946"/>
      <c r="KA363" s="946"/>
      <c r="KB363" s="946"/>
      <c r="KC363" s="946"/>
      <c r="KD363" s="946"/>
      <c r="KE363" s="946"/>
      <c r="KF363" s="946"/>
      <c r="KG363" s="946"/>
      <c r="KH363" s="946"/>
      <c r="KI363" s="946"/>
      <c r="KJ363" s="946"/>
      <c r="KK363" s="946"/>
      <c r="KL363" s="946"/>
      <c r="KM363" s="946"/>
      <c r="KN363" s="946"/>
      <c r="KO363" s="946"/>
      <c r="KP363" s="946"/>
      <c r="KQ363" s="946"/>
      <c r="KR363" s="946"/>
      <c r="KS363" s="946"/>
      <c r="KT363" s="946"/>
      <c r="KU363" s="946"/>
      <c r="KV363" s="946"/>
      <c r="KW363" s="946"/>
      <c r="KX363" s="946"/>
      <c r="KY363" s="946"/>
      <c r="KZ363" s="946"/>
      <c r="LA363" s="946"/>
      <c r="LB363" s="946"/>
      <c r="LC363" s="946"/>
      <c r="LD363" s="946"/>
      <c r="LE363" s="946"/>
      <c r="LF363" s="946"/>
      <c r="LG363" s="946"/>
      <c r="LH363" s="946"/>
      <c r="LI363" s="946"/>
      <c r="LJ363" s="946"/>
      <c r="LK363" s="946"/>
      <c r="LL363" s="946"/>
      <c r="LM363" s="946"/>
      <c r="LN363" s="946"/>
      <c r="LO363" s="946"/>
      <c r="LP363" s="946"/>
      <c r="LQ363" s="946"/>
      <c r="LR363" s="946"/>
      <c r="LS363" s="946"/>
      <c r="LT363" s="946"/>
    </row>
    <row r="364" spans="1:332" s="1160" customFormat="1" ht="43.5" customHeight="1" x14ac:dyDescent="0.2">
      <c r="A364" s="946"/>
      <c r="B364" s="946"/>
      <c r="C364" s="946"/>
      <c r="D364" s="946"/>
      <c r="E364" s="946"/>
      <c r="F364" s="946"/>
      <c r="G364" s="946"/>
      <c r="H364" s="946"/>
      <c r="I364" s="946"/>
      <c r="J364" s="946"/>
      <c r="K364" s="1159"/>
      <c r="L364" s="978"/>
      <c r="M364" s="978"/>
      <c r="N364" s="978"/>
      <c r="O364" s="1060"/>
      <c r="P364" s="978"/>
      <c r="Q364" s="1159"/>
      <c r="S364" s="1060"/>
      <c r="T364" s="978"/>
      <c r="U364" s="1159"/>
      <c r="V364" s="1161"/>
      <c r="W364" s="1169"/>
      <c r="X364" s="1169"/>
      <c r="Y364" s="1169"/>
      <c r="AB364" s="1163"/>
      <c r="AC364" s="1163"/>
      <c r="AD364" s="1163"/>
      <c r="AE364" s="1163"/>
      <c r="AF364" s="1164"/>
      <c r="AG364" s="1164"/>
      <c r="AH364" s="1163"/>
      <c r="AI364" s="1163"/>
      <c r="AJ364" s="1163"/>
      <c r="AK364" s="1163"/>
      <c r="AL364" s="1163"/>
      <c r="AM364" s="1163"/>
      <c r="AN364" s="1163"/>
      <c r="AO364" s="1163"/>
      <c r="AP364" s="1165"/>
      <c r="AQ364" s="1165"/>
      <c r="AR364" s="1163"/>
      <c r="AS364" s="1163"/>
      <c r="AT364" s="1164"/>
      <c r="AU364" s="1164"/>
      <c r="AV364" s="1163"/>
      <c r="AW364" s="1163"/>
      <c r="AX364" s="1163"/>
      <c r="AY364" s="1163"/>
      <c r="AZ364" s="1164"/>
      <c r="BA364" s="1164"/>
      <c r="BB364" s="1164"/>
      <c r="BC364" s="1164"/>
      <c r="BD364" s="1164"/>
      <c r="BE364" s="1164"/>
      <c r="BF364" s="1164"/>
      <c r="BG364" s="1164"/>
      <c r="BH364" s="1164"/>
      <c r="BI364" s="1164"/>
      <c r="BJ364" s="1164"/>
      <c r="BK364" s="1164"/>
      <c r="BL364" s="1164"/>
      <c r="BM364" s="1164"/>
      <c r="BN364" s="946"/>
      <c r="BO364" s="946"/>
      <c r="BP364" s="946"/>
      <c r="BQ364" s="946"/>
      <c r="BR364" s="946"/>
      <c r="BS364" s="946"/>
      <c r="BT364" s="946"/>
      <c r="BU364" s="946"/>
      <c r="BV364" s="946"/>
      <c r="BW364" s="946"/>
      <c r="BX364" s="946"/>
      <c r="BY364" s="946"/>
      <c r="BZ364" s="946"/>
      <c r="CA364" s="946"/>
      <c r="CB364" s="946"/>
      <c r="CC364" s="946"/>
      <c r="CD364" s="946"/>
      <c r="CE364" s="946"/>
      <c r="CF364" s="946"/>
      <c r="CG364" s="946"/>
      <c r="CH364" s="946"/>
      <c r="CI364" s="946"/>
      <c r="CJ364" s="946"/>
      <c r="CK364" s="946"/>
      <c r="CL364" s="946"/>
      <c r="CM364" s="946"/>
      <c r="CN364" s="946"/>
      <c r="CO364" s="946"/>
      <c r="CP364" s="946"/>
      <c r="CQ364" s="946"/>
      <c r="CR364" s="946"/>
      <c r="CS364" s="946"/>
      <c r="CT364" s="946"/>
      <c r="CU364" s="946"/>
      <c r="CV364" s="946"/>
      <c r="CW364" s="946"/>
      <c r="CX364" s="946"/>
      <c r="CY364" s="946"/>
      <c r="CZ364" s="946"/>
      <c r="DA364" s="946"/>
      <c r="DB364" s="946"/>
      <c r="DC364" s="946"/>
      <c r="DD364" s="946"/>
      <c r="DE364" s="946"/>
      <c r="DF364" s="946"/>
      <c r="DG364" s="946"/>
      <c r="DH364" s="946"/>
      <c r="DI364" s="946"/>
      <c r="DJ364" s="946"/>
      <c r="DK364" s="946"/>
      <c r="DL364" s="946"/>
      <c r="DM364" s="946"/>
      <c r="DN364" s="946"/>
      <c r="DO364" s="946"/>
      <c r="DP364" s="946"/>
      <c r="DQ364" s="946"/>
      <c r="DR364" s="946"/>
      <c r="DS364" s="946"/>
      <c r="DT364" s="946"/>
      <c r="DU364" s="946"/>
      <c r="DV364" s="946"/>
      <c r="DW364" s="946"/>
      <c r="DX364" s="946"/>
      <c r="DY364" s="946"/>
      <c r="DZ364" s="946"/>
      <c r="EA364" s="946"/>
      <c r="EB364" s="946"/>
      <c r="EC364" s="946"/>
      <c r="ED364" s="946"/>
      <c r="EE364" s="946"/>
      <c r="EF364" s="946"/>
      <c r="EG364" s="946"/>
      <c r="EH364" s="946"/>
      <c r="EI364" s="946"/>
      <c r="EJ364" s="946"/>
      <c r="EK364" s="946"/>
      <c r="EL364" s="946"/>
      <c r="EM364" s="946"/>
      <c r="EN364" s="946"/>
      <c r="EO364" s="946"/>
      <c r="EP364" s="946"/>
      <c r="EQ364" s="946"/>
      <c r="ER364" s="946"/>
      <c r="ES364" s="946"/>
      <c r="ET364" s="946"/>
      <c r="EU364" s="946"/>
      <c r="EV364" s="946"/>
      <c r="EW364" s="946"/>
      <c r="EX364" s="946"/>
      <c r="EY364" s="946"/>
      <c r="EZ364" s="946"/>
      <c r="FA364" s="946"/>
      <c r="FB364" s="946"/>
      <c r="FC364" s="946"/>
      <c r="FD364" s="946"/>
      <c r="FE364" s="946"/>
      <c r="FF364" s="946"/>
      <c r="FG364" s="946"/>
      <c r="FH364" s="946"/>
      <c r="FI364" s="946"/>
      <c r="FJ364" s="946"/>
      <c r="FK364" s="946"/>
      <c r="FL364" s="946"/>
      <c r="FM364" s="946"/>
      <c r="FN364" s="946"/>
      <c r="FO364" s="946"/>
      <c r="FP364" s="946"/>
      <c r="FQ364" s="946"/>
      <c r="FR364" s="946"/>
      <c r="FS364" s="946"/>
      <c r="FT364" s="946"/>
      <c r="FU364" s="946"/>
      <c r="FV364" s="946"/>
      <c r="FW364" s="946"/>
      <c r="FX364" s="946"/>
      <c r="FY364" s="946"/>
      <c r="FZ364" s="946"/>
      <c r="GA364" s="946"/>
      <c r="GB364" s="946"/>
      <c r="GC364" s="946"/>
      <c r="GD364" s="946"/>
      <c r="GE364" s="946"/>
      <c r="GF364" s="946"/>
      <c r="GG364" s="946"/>
      <c r="GH364" s="946"/>
      <c r="GI364" s="946"/>
      <c r="GJ364" s="946"/>
      <c r="GK364" s="946"/>
      <c r="GL364" s="946"/>
      <c r="GM364" s="946"/>
      <c r="GN364" s="946"/>
      <c r="GO364" s="946"/>
      <c r="GP364" s="946"/>
      <c r="GQ364" s="946"/>
      <c r="GR364" s="946"/>
      <c r="GS364" s="946"/>
      <c r="GT364" s="946"/>
      <c r="GU364" s="946"/>
      <c r="GV364" s="946"/>
      <c r="GW364" s="946"/>
      <c r="GX364" s="946"/>
      <c r="GY364" s="946"/>
      <c r="GZ364" s="946"/>
      <c r="HA364" s="946"/>
      <c r="HB364" s="946"/>
      <c r="HC364" s="946"/>
      <c r="HD364" s="946"/>
      <c r="HE364" s="946"/>
      <c r="HF364" s="946"/>
      <c r="HG364" s="946"/>
      <c r="HH364" s="946"/>
      <c r="HI364" s="946"/>
      <c r="HJ364" s="946"/>
      <c r="HK364" s="946"/>
      <c r="HL364" s="946"/>
      <c r="HM364" s="946"/>
      <c r="HN364" s="946"/>
      <c r="HO364" s="946"/>
      <c r="HP364" s="946"/>
      <c r="HQ364" s="946"/>
      <c r="HR364" s="946"/>
      <c r="HS364" s="946"/>
      <c r="HT364" s="946"/>
      <c r="HU364" s="946"/>
      <c r="HV364" s="946"/>
      <c r="HW364" s="946"/>
      <c r="HX364" s="946"/>
      <c r="HY364" s="946"/>
      <c r="HZ364" s="946"/>
      <c r="IA364" s="946"/>
      <c r="IB364" s="946"/>
      <c r="IC364" s="946"/>
      <c r="ID364" s="946"/>
      <c r="IE364" s="946"/>
      <c r="IF364" s="946"/>
      <c r="IG364" s="946"/>
      <c r="IH364" s="946"/>
      <c r="II364" s="946"/>
      <c r="IJ364" s="946"/>
      <c r="IK364" s="946"/>
      <c r="IL364" s="946"/>
      <c r="IM364" s="946"/>
      <c r="IN364" s="946"/>
      <c r="IO364" s="946"/>
      <c r="IP364" s="946"/>
      <c r="IQ364" s="946"/>
      <c r="IR364" s="946"/>
      <c r="IS364" s="946"/>
      <c r="IT364" s="946"/>
      <c r="IU364" s="946"/>
      <c r="IV364" s="946"/>
      <c r="IW364" s="946"/>
      <c r="IX364" s="946"/>
      <c r="IY364" s="946"/>
      <c r="IZ364" s="946"/>
      <c r="JA364" s="946"/>
      <c r="JB364" s="946"/>
      <c r="JC364" s="946"/>
      <c r="JD364" s="946"/>
      <c r="JE364" s="946"/>
      <c r="JF364" s="946"/>
      <c r="JG364" s="946"/>
      <c r="JH364" s="946"/>
      <c r="JI364" s="946"/>
      <c r="JJ364" s="946"/>
      <c r="JK364" s="946"/>
      <c r="JL364" s="946"/>
      <c r="JM364" s="946"/>
      <c r="JN364" s="946"/>
      <c r="JO364" s="946"/>
      <c r="JP364" s="946"/>
      <c r="JQ364" s="946"/>
      <c r="JR364" s="946"/>
      <c r="JS364" s="946"/>
      <c r="JT364" s="946"/>
      <c r="JU364" s="946"/>
      <c r="JV364" s="946"/>
      <c r="JW364" s="946"/>
      <c r="JX364" s="946"/>
      <c r="JY364" s="946"/>
      <c r="JZ364" s="946"/>
      <c r="KA364" s="946"/>
      <c r="KB364" s="946"/>
      <c r="KC364" s="946"/>
      <c r="KD364" s="946"/>
      <c r="KE364" s="946"/>
      <c r="KF364" s="946"/>
      <c r="KG364" s="946"/>
      <c r="KH364" s="946"/>
      <c r="KI364" s="946"/>
      <c r="KJ364" s="946"/>
      <c r="KK364" s="946"/>
      <c r="KL364" s="946"/>
      <c r="KM364" s="946"/>
      <c r="KN364" s="946"/>
      <c r="KO364" s="946"/>
      <c r="KP364" s="946"/>
      <c r="KQ364" s="946"/>
      <c r="KR364" s="946"/>
      <c r="KS364" s="946"/>
      <c r="KT364" s="946"/>
      <c r="KU364" s="946"/>
      <c r="KV364" s="946"/>
      <c r="KW364" s="946"/>
      <c r="KX364" s="946"/>
      <c r="KY364" s="946"/>
      <c r="KZ364" s="946"/>
      <c r="LA364" s="946"/>
      <c r="LB364" s="946"/>
      <c r="LC364" s="946"/>
      <c r="LD364" s="946"/>
      <c r="LE364" s="946"/>
      <c r="LF364" s="946"/>
      <c r="LG364" s="946"/>
      <c r="LH364" s="946"/>
      <c r="LI364" s="946"/>
      <c r="LJ364" s="946"/>
      <c r="LK364" s="946"/>
      <c r="LL364" s="946"/>
      <c r="LM364" s="946"/>
      <c r="LN364" s="946"/>
      <c r="LO364" s="946"/>
      <c r="LP364" s="946"/>
      <c r="LQ364" s="946"/>
      <c r="LR364" s="946"/>
      <c r="LS364" s="946"/>
      <c r="LT364" s="946"/>
    </row>
    <row r="365" spans="1:332" s="1160" customFormat="1" ht="43.5" customHeight="1" x14ac:dyDescent="0.2">
      <c r="A365" s="946"/>
      <c r="B365" s="946"/>
      <c r="C365" s="946"/>
      <c r="D365" s="946"/>
      <c r="E365" s="946"/>
      <c r="F365" s="946"/>
      <c r="G365" s="946"/>
      <c r="H365" s="946"/>
      <c r="I365" s="946"/>
      <c r="J365" s="946"/>
      <c r="K365" s="1159"/>
      <c r="L365" s="978"/>
      <c r="M365" s="978"/>
      <c r="N365" s="978"/>
      <c r="O365" s="1060"/>
      <c r="P365" s="978"/>
      <c r="Q365" s="1159"/>
      <c r="S365" s="1060"/>
      <c r="T365" s="978"/>
      <c r="U365" s="1159"/>
      <c r="V365" s="1161"/>
      <c r="W365" s="1161"/>
      <c r="X365" s="1161"/>
      <c r="Y365" s="1161"/>
      <c r="AB365" s="1163"/>
      <c r="AC365" s="1163"/>
      <c r="AD365" s="1163"/>
      <c r="AE365" s="1163"/>
      <c r="AF365" s="1164"/>
      <c r="AG365" s="1164"/>
      <c r="AH365" s="1163"/>
      <c r="AI365" s="1163"/>
      <c r="AJ365" s="1163"/>
      <c r="AK365" s="1163"/>
      <c r="AL365" s="1163"/>
      <c r="AM365" s="1163"/>
      <c r="AN365" s="1163"/>
      <c r="AO365" s="1163"/>
      <c r="AP365" s="1165"/>
      <c r="AQ365" s="1165"/>
      <c r="AR365" s="1163"/>
      <c r="AS365" s="1163"/>
      <c r="AT365" s="1164"/>
      <c r="AU365" s="1164"/>
      <c r="AV365" s="1163"/>
      <c r="AW365" s="1163"/>
      <c r="AX365" s="1163"/>
      <c r="AY365" s="1163"/>
      <c r="AZ365" s="1164"/>
      <c r="BA365" s="1164"/>
      <c r="BB365" s="1164"/>
      <c r="BC365" s="1164"/>
      <c r="BD365" s="1164"/>
      <c r="BE365" s="1164"/>
      <c r="BF365" s="1164"/>
      <c r="BG365" s="1164"/>
      <c r="BH365" s="1164"/>
      <c r="BI365" s="1164"/>
      <c r="BJ365" s="1164"/>
      <c r="BK365" s="1164"/>
      <c r="BL365" s="1164"/>
      <c r="BM365" s="1164"/>
      <c r="BN365" s="946"/>
      <c r="BO365" s="946"/>
      <c r="BP365" s="946"/>
      <c r="BQ365" s="946"/>
      <c r="BR365" s="946"/>
      <c r="BS365" s="946"/>
      <c r="BT365" s="946"/>
      <c r="BU365" s="946"/>
      <c r="BV365" s="946"/>
      <c r="BW365" s="946"/>
      <c r="BX365" s="946"/>
      <c r="BY365" s="946"/>
      <c r="BZ365" s="946"/>
      <c r="CA365" s="946"/>
      <c r="CB365" s="946"/>
      <c r="CC365" s="946"/>
      <c r="CD365" s="946"/>
      <c r="CE365" s="946"/>
      <c r="CF365" s="946"/>
      <c r="CG365" s="946"/>
      <c r="CH365" s="946"/>
      <c r="CI365" s="946"/>
      <c r="CJ365" s="946"/>
      <c r="CK365" s="946"/>
      <c r="CL365" s="946"/>
      <c r="CM365" s="946"/>
      <c r="CN365" s="946"/>
      <c r="CO365" s="946"/>
      <c r="CP365" s="946"/>
      <c r="CQ365" s="946"/>
      <c r="CR365" s="946"/>
      <c r="CS365" s="946"/>
      <c r="CT365" s="946"/>
      <c r="CU365" s="946"/>
      <c r="CV365" s="946"/>
      <c r="CW365" s="946"/>
      <c r="CX365" s="946"/>
      <c r="CY365" s="946"/>
      <c r="CZ365" s="946"/>
      <c r="DA365" s="946"/>
      <c r="DB365" s="946"/>
      <c r="DC365" s="946"/>
      <c r="DD365" s="946"/>
      <c r="DE365" s="946"/>
      <c r="DF365" s="946"/>
      <c r="DG365" s="946"/>
      <c r="DH365" s="946"/>
      <c r="DI365" s="946"/>
      <c r="DJ365" s="946"/>
      <c r="DK365" s="946"/>
      <c r="DL365" s="946"/>
      <c r="DM365" s="946"/>
      <c r="DN365" s="946"/>
      <c r="DO365" s="946"/>
      <c r="DP365" s="946"/>
      <c r="DQ365" s="946"/>
      <c r="DR365" s="946"/>
      <c r="DS365" s="946"/>
      <c r="DT365" s="946"/>
      <c r="DU365" s="946"/>
      <c r="DV365" s="946"/>
      <c r="DW365" s="946"/>
      <c r="DX365" s="946"/>
      <c r="DY365" s="946"/>
      <c r="DZ365" s="946"/>
      <c r="EA365" s="946"/>
      <c r="EB365" s="946"/>
      <c r="EC365" s="946"/>
      <c r="ED365" s="946"/>
      <c r="EE365" s="946"/>
      <c r="EF365" s="946"/>
      <c r="EG365" s="946"/>
      <c r="EH365" s="946"/>
      <c r="EI365" s="946"/>
      <c r="EJ365" s="946"/>
      <c r="EK365" s="946"/>
      <c r="EL365" s="946"/>
      <c r="EM365" s="946"/>
      <c r="EN365" s="946"/>
      <c r="EO365" s="946"/>
      <c r="EP365" s="946"/>
      <c r="EQ365" s="946"/>
      <c r="ER365" s="946"/>
      <c r="ES365" s="946"/>
      <c r="ET365" s="946"/>
      <c r="EU365" s="946"/>
      <c r="EV365" s="946"/>
      <c r="EW365" s="946"/>
      <c r="EX365" s="946"/>
      <c r="EY365" s="946"/>
      <c r="EZ365" s="946"/>
      <c r="FA365" s="946"/>
      <c r="FB365" s="946"/>
      <c r="FC365" s="946"/>
      <c r="FD365" s="946"/>
      <c r="FE365" s="946"/>
      <c r="FF365" s="946"/>
      <c r="FG365" s="946"/>
      <c r="FH365" s="946"/>
      <c r="FI365" s="946"/>
      <c r="FJ365" s="946"/>
      <c r="FK365" s="946"/>
      <c r="FL365" s="946"/>
      <c r="FM365" s="946"/>
      <c r="FN365" s="946"/>
      <c r="FO365" s="946"/>
      <c r="FP365" s="946"/>
      <c r="FQ365" s="946"/>
      <c r="FR365" s="946"/>
      <c r="FS365" s="946"/>
      <c r="FT365" s="946"/>
      <c r="FU365" s="946"/>
      <c r="FV365" s="946"/>
      <c r="FW365" s="946"/>
      <c r="FX365" s="946"/>
      <c r="FY365" s="946"/>
      <c r="FZ365" s="946"/>
      <c r="GA365" s="946"/>
      <c r="GB365" s="946"/>
      <c r="GC365" s="946"/>
      <c r="GD365" s="946"/>
      <c r="GE365" s="946"/>
      <c r="GF365" s="946"/>
      <c r="GG365" s="946"/>
      <c r="GH365" s="946"/>
      <c r="GI365" s="946"/>
      <c r="GJ365" s="946"/>
      <c r="GK365" s="946"/>
      <c r="GL365" s="946"/>
      <c r="GM365" s="946"/>
      <c r="GN365" s="946"/>
      <c r="GO365" s="946"/>
      <c r="GP365" s="946"/>
      <c r="GQ365" s="946"/>
      <c r="GR365" s="946"/>
      <c r="GS365" s="946"/>
      <c r="GT365" s="946"/>
      <c r="GU365" s="946"/>
      <c r="GV365" s="946"/>
      <c r="GW365" s="946"/>
      <c r="GX365" s="946"/>
      <c r="GY365" s="946"/>
      <c r="GZ365" s="946"/>
      <c r="HA365" s="946"/>
      <c r="HB365" s="946"/>
      <c r="HC365" s="946"/>
      <c r="HD365" s="946"/>
      <c r="HE365" s="946"/>
      <c r="HF365" s="946"/>
      <c r="HG365" s="946"/>
      <c r="HH365" s="946"/>
      <c r="HI365" s="946"/>
      <c r="HJ365" s="946"/>
      <c r="HK365" s="946"/>
      <c r="HL365" s="946"/>
      <c r="HM365" s="946"/>
      <c r="HN365" s="946"/>
      <c r="HO365" s="946"/>
      <c r="HP365" s="946"/>
      <c r="HQ365" s="946"/>
      <c r="HR365" s="946"/>
      <c r="HS365" s="946"/>
      <c r="HT365" s="946"/>
      <c r="HU365" s="946"/>
      <c r="HV365" s="946"/>
      <c r="HW365" s="946"/>
      <c r="HX365" s="946"/>
      <c r="HY365" s="946"/>
      <c r="HZ365" s="946"/>
      <c r="IA365" s="946"/>
      <c r="IB365" s="946"/>
      <c r="IC365" s="946"/>
      <c r="ID365" s="946"/>
      <c r="IE365" s="946"/>
      <c r="IF365" s="946"/>
      <c r="IG365" s="946"/>
      <c r="IH365" s="946"/>
      <c r="II365" s="946"/>
      <c r="IJ365" s="946"/>
      <c r="IK365" s="946"/>
      <c r="IL365" s="946"/>
      <c r="IM365" s="946"/>
      <c r="IN365" s="946"/>
      <c r="IO365" s="946"/>
      <c r="IP365" s="946"/>
      <c r="IQ365" s="946"/>
      <c r="IR365" s="946"/>
      <c r="IS365" s="946"/>
      <c r="IT365" s="946"/>
      <c r="IU365" s="946"/>
      <c r="IV365" s="946"/>
      <c r="IW365" s="946"/>
      <c r="IX365" s="946"/>
      <c r="IY365" s="946"/>
      <c r="IZ365" s="946"/>
      <c r="JA365" s="946"/>
      <c r="JB365" s="946"/>
      <c r="JC365" s="946"/>
      <c r="JD365" s="946"/>
      <c r="JE365" s="946"/>
      <c r="JF365" s="946"/>
      <c r="JG365" s="946"/>
      <c r="JH365" s="946"/>
      <c r="JI365" s="946"/>
      <c r="JJ365" s="946"/>
      <c r="JK365" s="946"/>
      <c r="JL365" s="946"/>
      <c r="JM365" s="946"/>
      <c r="JN365" s="946"/>
      <c r="JO365" s="946"/>
      <c r="JP365" s="946"/>
      <c r="JQ365" s="946"/>
      <c r="JR365" s="946"/>
      <c r="JS365" s="946"/>
      <c r="JT365" s="946"/>
      <c r="JU365" s="946"/>
      <c r="JV365" s="946"/>
      <c r="JW365" s="946"/>
      <c r="JX365" s="946"/>
      <c r="JY365" s="946"/>
      <c r="JZ365" s="946"/>
      <c r="KA365" s="946"/>
      <c r="KB365" s="946"/>
      <c r="KC365" s="946"/>
      <c r="KD365" s="946"/>
      <c r="KE365" s="946"/>
      <c r="KF365" s="946"/>
      <c r="KG365" s="946"/>
      <c r="KH365" s="946"/>
      <c r="KI365" s="946"/>
      <c r="KJ365" s="946"/>
      <c r="KK365" s="946"/>
      <c r="KL365" s="946"/>
      <c r="KM365" s="946"/>
      <c r="KN365" s="946"/>
      <c r="KO365" s="946"/>
      <c r="KP365" s="946"/>
      <c r="KQ365" s="946"/>
      <c r="KR365" s="946"/>
      <c r="KS365" s="946"/>
      <c r="KT365" s="946"/>
      <c r="KU365" s="946"/>
      <c r="KV365" s="946"/>
      <c r="KW365" s="946"/>
      <c r="KX365" s="946"/>
      <c r="KY365" s="946"/>
      <c r="KZ365" s="946"/>
      <c r="LA365" s="946"/>
      <c r="LB365" s="946"/>
      <c r="LC365" s="946"/>
      <c r="LD365" s="946"/>
      <c r="LE365" s="946"/>
      <c r="LF365" s="946"/>
      <c r="LG365" s="946"/>
      <c r="LH365" s="946"/>
      <c r="LI365" s="946"/>
      <c r="LJ365" s="946"/>
      <c r="LK365" s="946"/>
      <c r="LL365" s="946"/>
      <c r="LM365" s="946"/>
      <c r="LN365" s="946"/>
      <c r="LO365" s="946"/>
      <c r="LP365" s="946"/>
      <c r="LQ365" s="946"/>
      <c r="LR365" s="946"/>
      <c r="LS365" s="946"/>
      <c r="LT365" s="946"/>
    </row>
  </sheetData>
  <sheetProtection password="CBEB" sheet="1" objects="1" scenarios="1"/>
  <mergeCells count="1541">
    <mergeCell ref="BO351:BO357"/>
    <mergeCell ref="BP351:BP357"/>
    <mergeCell ref="BQ351:BQ357"/>
    <mergeCell ref="BR351:BR357"/>
    <mergeCell ref="BG351:BG357"/>
    <mergeCell ref="BH351:BH357"/>
    <mergeCell ref="BI351:BI357"/>
    <mergeCell ref="BJ351:BJ357"/>
    <mergeCell ref="BK351:BK357"/>
    <mergeCell ref="BL351:BL357"/>
    <mergeCell ref="BA351:BA357"/>
    <mergeCell ref="BB351:BB357"/>
    <mergeCell ref="BC351:BC357"/>
    <mergeCell ref="BD351:BD357"/>
    <mergeCell ref="BE351:BE357"/>
    <mergeCell ref="BF351:BF357"/>
    <mergeCell ref="AU351:AU357"/>
    <mergeCell ref="AV351:AV357"/>
    <mergeCell ref="AW351:AW357"/>
    <mergeCell ref="AX351:AX357"/>
    <mergeCell ref="AD351:AD357"/>
    <mergeCell ref="AE351:AE357"/>
    <mergeCell ref="AF351:AF357"/>
    <mergeCell ref="AG351:AG357"/>
    <mergeCell ref="AH351:AH357"/>
    <mergeCell ref="A358:R358"/>
    <mergeCell ref="K362:M362"/>
    <mergeCell ref="K363:M363"/>
    <mergeCell ref="J352:J356"/>
    <mergeCell ref="K352:K356"/>
    <mergeCell ref="L352:L356"/>
    <mergeCell ref="M352:M356"/>
    <mergeCell ref="N352:N356"/>
    <mergeCell ref="R352:R354"/>
    <mergeCell ref="R355:R356"/>
    <mergeCell ref="BM351:BM357"/>
    <mergeCell ref="BN351:BN357"/>
    <mergeCell ref="BO344:BO348"/>
    <mergeCell ref="BP344:BP348"/>
    <mergeCell ref="BQ344:BQ348"/>
    <mergeCell ref="BR344:BR348"/>
    <mergeCell ref="BG344:BG348"/>
    <mergeCell ref="BH344:BH348"/>
    <mergeCell ref="BI344:BI348"/>
    <mergeCell ref="BJ344:BJ348"/>
    <mergeCell ref="BK344:BK348"/>
    <mergeCell ref="BL344:BL348"/>
    <mergeCell ref="BA344:BA348"/>
    <mergeCell ref="BB344:BB348"/>
    <mergeCell ref="BC344:BC348"/>
    <mergeCell ref="BD344:BD348"/>
    <mergeCell ref="BE344:BE348"/>
    <mergeCell ref="BF344:BF348"/>
    <mergeCell ref="AU344:AU348"/>
    <mergeCell ref="AV344:AV348"/>
    <mergeCell ref="AW344:AW348"/>
    <mergeCell ref="AX344:AX348"/>
    <mergeCell ref="AY344:AY348"/>
    <mergeCell ref="AZ344:AZ348"/>
    <mergeCell ref="AN344:AN348"/>
    <mergeCell ref="AC344:AC348"/>
    <mergeCell ref="AD344:AD348"/>
    <mergeCell ref="AE344:AE348"/>
    <mergeCell ref="AF344:AF348"/>
    <mergeCell ref="AG344:AG348"/>
    <mergeCell ref="AH344:AH348"/>
    <mergeCell ref="O351:O357"/>
    <mergeCell ref="P351:P357"/>
    <mergeCell ref="Q351:Q357"/>
    <mergeCell ref="S351:S357"/>
    <mergeCell ref="T351:T357"/>
    <mergeCell ref="AB351:AB357"/>
    <mergeCell ref="U352:U354"/>
    <mergeCell ref="U355:U356"/>
    <mergeCell ref="BM344:BM348"/>
    <mergeCell ref="BN344:BN348"/>
    <mergeCell ref="AY351:AY357"/>
    <mergeCell ref="AZ351:AZ357"/>
    <mergeCell ref="AO351:AO357"/>
    <mergeCell ref="AP351:AP357"/>
    <mergeCell ref="AQ351:AQ357"/>
    <mergeCell ref="AR351:AR357"/>
    <mergeCell ref="AS351:AS357"/>
    <mergeCell ref="AT351:AT357"/>
    <mergeCell ref="AI351:AI357"/>
    <mergeCell ref="AJ351:AJ357"/>
    <mergeCell ref="AK351:AK357"/>
    <mergeCell ref="AL351:AL357"/>
    <mergeCell ref="AM351:AM357"/>
    <mergeCell ref="AN351:AN357"/>
    <mergeCell ref="AC351:AC357"/>
    <mergeCell ref="L339:L342"/>
    <mergeCell ref="R339:R342"/>
    <mergeCell ref="U339:U341"/>
    <mergeCell ref="J344:J346"/>
    <mergeCell ref="K344:K346"/>
    <mergeCell ref="L344:L346"/>
    <mergeCell ref="M344:M346"/>
    <mergeCell ref="N344:N347"/>
    <mergeCell ref="O344:O348"/>
    <mergeCell ref="P344:P348"/>
    <mergeCell ref="J333:J341"/>
    <mergeCell ref="K333:K341"/>
    <mergeCell ref="L333:L338"/>
    <mergeCell ref="M333:M341"/>
    <mergeCell ref="N333:N341"/>
    <mergeCell ref="O333:O342"/>
    <mergeCell ref="P333:P342"/>
    <mergeCell ref="BQ333:BQ342"/>
    <mergeCell ref="BR333:BR342"/>
    <mergeCell ref="BG333:BG342"/>
    <mergeCell ref="BH333:BH342"/>
    <mergeCell ref="BI333:BI342"/>
    <mergeCell ref="BJ333:BJ342"/>
    <mergeCell ref="BK333:BK342"/>
    <mergeCell ref="BL333:BL342"/>
    <mergeCell ref="BA333:BA342"/>
    <mergeCell ref="BB333:BB342"/>
    <mergeCell ref="BC333:BC342"/>
    <mergeCell ref="BD333:BD342"/>
    <mergeCell ref="BE333:BE342"/>
    <mergeCell ref="BF333:BF342"/>
    <mergeCell ref="Q344:Q348"/>
    <mergeCell ref="R344:R348"/>
    <mergeCell ref="S344:S348"/>
    <mergeCell ref="T344:T348"/>
    <mergeCell ref="U344:U347"/>
    <mergeCell ref="AB344:AB348"/>
    <mergeCell ref="V346:V347"/>
    <mergeCell ref="AO344:AO348"/>
    <mergeCell ref="AP344:AP348"/>
    <mergeCell ref="AQ344:AQ348"/>
    <mergeCell ref="AR344:AR348"/>
    <mergeCell ref="AS344:AS348"/>
    <mergeCell ref="AT344:AT348"/>
    <mergeCell ref="AI344:AI348"/>
    <mergeCell ref="AJ344:AJ348"/>
    <mergeCell ref="AK344:AK348"/>
    <mergeCell ref="AL344:AL348"/>
    <mergeCell ref="AM344:AM348"/>
    <mergeCell ref="AZ333:AZ342"/>
    <mergeCell ref="AO333:AO342"/>
    <mergeCell ref="AP333:AP342"/>
    <mergeCell ref="AQ333:AQ342"/>
    <mergeCell ref="AR333:AR342"/>
    <mergeCell ref="AS333:AS342"/>
    <mergeCell ref="AT333:AT342"/>
    <mergeCell ref="AI333:AI342"/>
    <mergeCell ref="AJ333:AJ342"/>
    <mergeCell ref="AK333:AK342"/>
    <mergeCell ref="AL333:AL342"/>
    <mergeCell ref="AM333:AM342"/>
    <mergeCell ref="AN333:AN342"/>
    <mergeCell ref="BM333:BM342"/>
    <mergeCell ref="BN333:BN342"/>
    <mergeCell ref="BO333:BO342"/>
    <mergeCell ref="BP333:BP342"/>
    <mergeCell ref="AH333:AH342"/>
    <mergeCell ref="Q333:Q342"/>
    <mergeCell ref="R333:R336"/>
    <mergeCell ref="S333:S342"/>
    <mergeCell ref="T333:T342"/>
    <mergeCell ref="U333:U336"/>
    <mergeCell ref="AB333:AB342"/>
    <mergeCell ref="V335:V336"/>
    <mergeCell ref="R337:R338"/>
    <mergeCell ref="U337:U338"/>
    <mergeCell ref="V337:V338"/>
    <mergeCell ref="BQ324:BQ331"/>
    <mergeCell ref="AX324:AX331"/>
    <mergeCell ref="AM324:AM331"/>
    <mergeCell ref="AN324:AN331"/>
    <mergeCell ref="AO324:AO331"/>
    <mergeCell ref="AP324:AP331"/>
    <mergeCell ref="AQ324:AQ331"/>
    <mergeCell ref="AR324:AR331"/>
    <mergeCell ref="AG324:AG331"/>
    <mergeCell ref="AH324:AH331"/>
    <mergeCell ref="AI324:AI331"/>
    <mergeCell ref="AJ324:AJ331"/>
    <mergeCell ref="AK324:AK331"/>
    <mergeCell ref="AL324:AL331"/>
    <mergeCell ref="V324:V325"/>
    <mergeCell ref="AB324:AB331"/>
    <mergeCell ref="AU333:AU342"/>
    <mergeCell ref="AV333:AV342"/>
    <mergeCell ref="AW333:AW342"/>
    <mergeCell ref="AX333:AX342"/>
    <mergeCell ref="AY333:AY342"/>
    <mergeCell ref="AC333:AC342"/>
    <mergeCell ref="AD333:AD342"/>
    <mergeCell ref="BN319:BN323"/>
    <mergeCell ref="AL319:AL323"/>
    <mergeCell ref="AM319:AM323"/>
    <mergeCell ref="AN319:AN323"/>
    <mergeCell ref="AO319:AO323"/>
    <mergeCell ref="AD319:AD323"/>
    <mergeCell ref="AE319:AE323"/>
    <mergeCell ref="AF319:AF323"/>
    <mergeCell ref="AG319:AG323"/>
    <mergeCell ref="AH319:AH323"/>
    <mergeCell ref="AI319:AI323"/>
    <mergeCell ref="BK324:BK331"/>
    <mergeCell ref="BL324:BL331"/>
    <mergeCell ref="BM324:BM331"/>
    <mergeCell ref="BN324:BN331"/>
    <mergeCell ref="BE324:BE331"/>
    <mergeCell ref="BF324:BF331"/>
    <mergeCell ref="BG324:BG331"/>
    <mergeCell ref="BH324:BH331"/>
    <mergeCell ref="BI324:BI331"/>
    <mergeCell ref="BJ324:BJ331"/>
    <mergeCell ref="AY324:AY331"/>
    <mergeCell ref="AZ324:AZ331"/>
    <mergeCell ref="BA324:BA331"/>
    <mergeCell ref="BB324:BB331"/>
    <mergeCell ref="BC324:BC331"/>
    <mergeCell ref="BD324:BD331"/>
    <mergeCell ref="AE333:AE342"/>
    <mergeCell ref="AF333:AF342"/>
    <mergeCell ref="AG333:AG342"/>
    <mergeCell ref="BR324:BR331"/>
    <mergeCell ref="V327:V328"/>
    <mergeCell ref="AJ319:AJ323"/>
    <mergeCell ref="AK319:AK323"/>
    <mergeCell ref="AC324:AC331"/>
    <mergeCell ref="AD324:AD331"/>
    <mergeCell ref="AE324:AE331"/>
    <mergeCell ref="AF324:AF331"/>
    <mergeCell ref="P324:P331"/>
    <mergeCell ref="Q324:Q331"/>
    <mergeCell ref="R324:R331"/>
    <mergeCell ref="S324:S331"/>
    <mergeCell ref="T324:T331"/>
    <mergeCell ref="U324:U330"/>
    <mergeCell ref="AS324:AS331"/>
    <mergeCell ref="AT324:AT331"/>
    <mergeCell ref="AU324:AU331"/>
    <mergeCell ref="AV324:AV331"/>
    <mergeCell ref="AW324:AW331"/>
    <mergeCell ref="BO324:BO331"/>
    <mergeCell ref="BP324:BP331"/>
    <mergeCell ref="J324:J331"/>
    <mergeCell ref="K324:K331"/>
    <mergeCell ref="L324:L331"/>
    <mergeCell ref="M324:M331"/>
    <mergeCell ref="N324:N331"/>
    <mergeCell ref="O324:O331"/>
    <mergeCell ref="BK319:BK323"/>
    <mergeCell ref="BL319:BL323"/>
    <mergeCell ref="BM319:BM323"/>
    <mergeCell ref="BB319:BB323"/>
    <mergeCell ref="BC319:BC323"/>
    <mergeCell ref="BD319:BD323"/>
    <mergeCell ref="BE319:BE323"/>
    <mergeCell ref="BF319:BF323"/>
    <mergeCell ref="BG319:BG323"/>
    <mergeCell ref="AV319:AV323"/>
    <mergeCell ref="AW319:AW323"/>
    <mergeCell ref="AX319:AX323"/>
    <mergeCell ref="AY319:AY323"/>
    <mergeCell ref="AZ319:AZ323"/>
    <mergeCell ref="BA319:BA323"/>
    <mergeCell ref="AP319:AP323"/>
    <mergeCell ref="AQ319:AQ323"/>
    <mergeCell ref="AR319:AR323"/>
    <mergeCell ref="AS319:AS323"/>
    <mergeCell ref="AT319:AT323"/>
    <mergeCell ref="AU319:AU323"/>
    <mergeCell ref="AC319:AC323"/>
    <mergeCell ref="R319:R321"/>
    <mergeCell ref="S319:S323"/>
    <mergeCell ref="T319:T323"/>
    <mergeCell ref="U319:U321"/>
    <mergeCell ref="BR315:BR317"/>
    <mergeCell ref="AF318:BD318"/>
    <mergeCell ref="J319:J322"/>
    <mergeCell ref="K319:K322"/>
    <mergeCell ref="L319:L322"/>
    <mergeCell ref="M319:M322"/>
    <mergeCell ref="N319:N322"/>
    <mergeCell ref="O319:O323"/>
    <mergeCell ref="P319:P323"/>
    <mergeCell ref="Q319:Q323"/>
    <mergeCell ref="BL315:BL317"/>
    <mergeCell ref="BM315:BM317"/>
    <mergeCell ref="BN315:BN317"/>
    <mergeCell ref="BO315:BO317"/>
    <mergeCell ref="BP315:BP317"/>
    <mergeCell ref="BQ315:BQ317"/>
    <mergeCell ref="S315:S317"/>
    <mergeCell ref="T315:T317"/>
    <mergeCell ref="BH315:BH317"/>
    <mergeCell ref="BI315:BI317"/>
    <mergeCell ref="BJ315:BJ317"/>
    <mergeCell ref="BK315:BK317"/>
    <mergeCell ref="BO319:BO323"/>
    <mergeCell ref="BP319:BP323"/>
    <mergeCell ref="BQ319:BQ323"/>
    <mergeCell ref="BR319:BR323"/>
    <mergeCell ref="R322:R323"/>
    <mergeCell ref="U322:U323"/>
    <mergeCell ref="BH319:BH323"/>
    <mergeCell ref="BI319:BI323"/>
    <mergeCell ref="BJ319:BJ323"/>
    <mergeCell ref="AB319:AB323"/>
    <mergeCell ref="AF314:BD314"/>
    <mergeCell ref="J315:J317"/>
    <mergeCell ref="K315:K317"/>
    <mergeCell ref="L315:L317"/>
    <mergeCell ref="M315:M317"/>
    <mergeCell ref="N315:N317"/>
    <mergeCell ref="O315:O317"/>
    <mergeCell ref="P315:P317"/>
    <mergeCell ref="Q315:Q317"/>
    <mergeCell ref="R315:R317"/>
    <mergeCell ref="J312:J313"/>
    <mergeCell ref="K312:K313"/>
    <mergeCell ref="L312:L313"/>
    <mergeCell ref="M312:M313"/>
    <mergeCell ref="N312:N313"/>
    <mergeCell ref="R312:R313"/>
    <mergeCell ref="J299:J311"/>
    <mergeCell ref="K299:K311"/>
    <mergeCell ref="L299:L311"/>
    <mergeCell ref="M299:M311"/>
    <mergeCell ref="N299:N311"/>
    <mergeCell ref="R299:R311"/>
    <mergeCell ref="AU298:AU313"/>
    <mergeCell ref="AV298:AV313"/>
    <mergeCell ref="AW298:AW313"/>
    <mergeCell ref="AX298:AX313"/>
    <mergeCell ref="AY298:AY313"/>
    <mergeCell ref="AZ298:AZ313"/>
    <mergeCell ref="AO298:AO313"/>
    <mergeCell ref="AP298:AP313"/>
    <mergeCell ref="AQ298:AQ313"/>
    <mergeCell ref="AR298:AR313"/>
    <mergeCell ref="BM298:BM313"/>
    <mergeCell ref="BN298:BN313"/>
    <mergeCell ref="BO298:BO313"/>
    <mergeCell ref="BP298:BP313"/>
    <mergeCell ref="BQ298:BQ313"/>
    <mergeCell ref="BR298:BR313"/>
    <mergeCell ref="BG298:BG313"/>
    <mergeCell ref="BH298:BH313"/>
    <mergeCell ref="BI298:BI313"/>
    <mergeCell ref="BJ298:BJ313"/>
    <mergeCell ref="BK298:BK313"/>
    <mergeCell ref="BL298:BL313"/>
    <mergeCell ref="BA298:BA313"/>
    <mergeCell ref="BB298:BB313"/>
    <mergeCell ref="BC298:BC313"/>
    <mergeCell ref="BD298:BD313"/>
    <mergeCell ref="BE298:BE313"/>
    <mergeCell ref="BF298:BF313"/>
    <mergeCell ref="AS298:AS313"/>
    <mergeCell ref="AT298:AT313"/>
    <mergeCell ref="AI298:AI313"/>
    <mergeCell ref="AJ298:AJ313"/>
    <mergeCell ref="AK298:AK313"/>
    <mergeCell ref="AL298:AL313"/>
    <mergeCell ref="AM298:AM313"/>
    <mergeCell ref="AN298:AN313"/>
    <mergeCell ref="AC298:AC313"/>
    <mergeCell ref="AD298:AD313"/>
    <mergeCell ref="AE298:AE313"/>
    <mergeCell ref="AF298:AF313"/>
    <mergeCell ref="AG298:AG313"/>
    <mergeCell ref="AH298:AH313"/>
    <mergeCell ref="O298:O313"/>
    <mergeCell ref="P298:P313"/>
    <mergeCell ref="Q298:Q313"/>
    <mergeCell ref="S298:S313"/>
    <mergeCell ref="T298:T313"/>
    <mergeCell ref="AB298:AB313"/>
    <mergeCell ref="U299:U311"/>
    <mergeCell ref="V299:V311"/>
    <mergeCell ref="U312:U313"/>
    <mergeCell ref="BP285:BP295"/>
    <mergeCell ref="BQ285:BQ295"/>
    <mergeCell ref="BR285:BR295"/>
    <mergeCell ref="G288:I290"/>
    <mergeCell ref="J288:J290"/>
    <mergeCell ref="K288:K290"/>
    <mergeCell ref="L288:L290"/>
    <mergeCell ref="M288:M290"/>
    <mergeCell ref="N288:N290"/>
    <mergeCell ref="O288:O290"/>
    <mergeCell ref="BJ285:BJ295"/>
    <mergeCell ref="BK285:BK295"/>
    <mergeCell ref="BL285:BL295"/>
    <mergeCell ref="BM285:BM295"/>
    <mergeCell ref="BN285:BN295"/>
    <mergeCell ref="BO285:BO295"/>
    <mergeCell ref="BD285:BD295"/>
    <mergeCell ref="BE285:BE295"/>
    <mergeCell ref="BF285:BF295"/>
    <mergeCell ref="BG285:BG295"/>
    <mergeCell ref="BH285:BH295"/>
    <mergeCell ref="BI285:BI295"/>
    <mergeCell ref="AX285:AX295"/>
    <mergeCell ref="AY285:AY295"/>
    <mergeCell ref="AZ285:AZ295"/>
    <mergeCell ref="BA285:BA295"/>
    <mergeCell ref="BB285:BB295"/>
    <mergeCell ref="BC285:BC295"/>
    <mergeCell ref="AR285:AR295"/>
    <mergeCell ref="AS285:AS295"/>
    <mergeCell ref="AT285:AT295"/>
    <mergeCell ref="AU285:AU295"/>
    <mergeCell ref="AV285:AV295"/>
    <mergeCell ref="AW285:AW295"/>
    <mergeCell ref="AL285:AL295"/>
    <mergeCell ref="AM285:AM295"/>
    <mergeCell ref="AN285:AN295"/>
    <mergeCell ref="AO285:AO295"/>
    <mergeCell ref="AP285:AP295"/>
    <mergeCell ref="AQ285:AQ295"/>
    <mergeCell ref="AF285:AF295"/>
    <mergeCell ref="AG285:AG295"/>
    <mergeCell ref="AH285:AH295"/>
    <mergeCell ref="AI285:AI295"/>
    <mergeCell ref="AJ285:AJ295"/>
    <mergeCell ref="AK285:AK295"/>
    <mergeCell ref="T285:T295"/>
    <mergeCell ref="U285:U286"/>
    <mergeCell ref="AB285:AB295"/>
    <mergeCell ref="AC285:AC295"/>
    <mergeCell ref="AD285:AD295"/>
    <mergeCell ref="AE285:AE295"/>
    <mergeCell ref="U288:U290"/>
    <mergeCell ref="V288:V290"/>
    <mergeCell ref="U292:U295"/>
    <mergeCell ref="V292:V293"/>
    <mergeCell ref="V294:V295"/>
    <mergeCell ref="N285:N286"/>
    <mergeCell ref="O285:O286"/>
    <mergeCell ref="P285:P295"/>
    <mergeCell ref="Q285:Q295"/>
    <mergeCell ref="R285:R286"/>
    <mergeCell ref="S285:S295"/>
    <mergeCell ref="R288:R290"/>
    <mergeCell ref="D284:F295"/>
    <mergeCell ref="G285:I286"/>
    <mergeCell ref="J285:J286"/>
    <mergeCell ref="K285:K286"/>
    <mergeCell ref="L285:L286"/>
    <mergeCell ref="M285:M286"/>
    <mergeCell ref="G292:I295"/>
    <mergeCell ref="J292:J295"/>
    <mergeCell ref="K292:K295"/>
    <mergeCell ref="L292:L295"/>
    <mergeCell ref="M292:M295"/>
    <mergeCell ref="N292:N295"/>
    <mergeCell ref="O292:O295"/>
    <mergeCell ref="R292:R295"/>
    <mergeCell ref="BQ271:BQ282"/>
    <mergeCell ref="BR271:BR282"/>
    <mergeCell ref="V272:V273"/>
    <mergeCell ref="V274:V275"/>
    <mergeCell ref="J277:J282"/>
    <mergeCell ref="K277:K282"/>
    <mergeCell ref="L277:L282"/>
    <mergeCell ref="M277:M282"/>
    <mergeCell ref="N277:N282"/>
    <mergeCell ref="R277:R282"/>
    <mergeCell ref="BK271:BK282"/>
    <mergeCell ref="BL271:BL282"/>
    <mergeCell ref="BM271:BM282"/>
    <mergeCell ref="BN271:BN282"/>
    <mergeCell ref="BO271:BO282"/>
    <mergeCell ref="BP271:BP282"/>
    <mergeCell ref="BE271:BE282"/>
    <mergeCell ref="BF271:BF282"/>
    <mergeCell ref="BG271:BG282"/>
    <mergeCell ref="BH271:BH282"/>
    <mergeCell ref="BI271:BI282"/>
    <mergeCell ref="BJ271:BJ282"/>
    <mergeCell ref="AY271:AY282"/>
    <mergeCell ref="AZ271:AZ282"/>
    <mergeCell ref="BA271:BA282"/>
    <mergeCell ref="BB271:BB282"/>
    <mergeCell ref="BC271:BC282"/>
    <mergeCell ref="BD271:BD282"/>
    <mergeCell ref="AS271:AS282"/>
    <mergeCell ref="AT271:AT282"/>
    <mergeCell ref="AU271:AU282"/>
    <mergeCell ref="AV271:AV282"/>
    <mergeCell ref="AW271:AW282"/>
    <mergeCell ref="AX271:AX282"/>
    <mergeCell ref="AM271:AM282"/>
    <mergeCell ref="AN271:AN282"/>
    <mergeCell ref="AO271:AO282"/>
    <mergeCell ref="AP271:AP282"/>
    <mergeCell ref="AQ271:AQ282"/>
    <mergeCell ref="AR271:AR282"/>
    <mergeCell ref="AG271:AG282"/>
    <mergeCell ref="AH271:AH282"/>
    <mergeCell ref="AI271:AI282"/>
    <mergeCell ref="AJ271:AJ282"/>
    <mergeCell ref="AK271:AK282"/>
    <mergeCell ref="AL271:AL282"/>
    <mergeCell ref="U271:U276"/>
    <mergeCell ref="AB271:AB282"/>
    <mergeCell ref="AC271:AC282"/>
    <mergeCell ref="AD271:AD282"/>
    <mergeCell ref="AE271:AE282"/>
    <mergeCell ref="AF271:AF282"/>
    <mergeCell ref="U277:U282"/>
    <mergeCell ref="V279:V280"/>
    <mergeCell ref="O271:O282"/>
    <mergeCell ref="P271:P282"/>
    <mergeCell ref="Q271:Q282"/>
    <mergeCell ref="R271:R276"/>
    <mergeCell ref="S271:S282"/>
    <mergeCell ref="T271:T282"/>
    <mergeCell ref="BQ260:BQ270"/>
    <mergeCell ref="BR260:BR270"/>
    <mergeCell ref="U267:U268"/>
    <mergeCell ref="U269:U270"/>
    <mergeCell ref="V269:V270"/>
    <mergeCell ref="J271:J276"/>
    <mergeCell ref="K271:K276"/>
    <mergeCell ref="L271:L276"/>
    <mergeCell ref="M271:M276"/>
    <mergeCell ref="N271:N276"/>
    <mergeCell ref="BK260:BK270"/>
    <mergeCell ref="BL260:BL270"/>
    <mergeCell ref="BM260:BM270"/>
    <mergeCell ref="BN260:BN270"/>
    <mergeCell ref="BO260:BO270"/>
    <mergeCell ref="BP260:BP270"/>
    <mergeCell ref="BE260:BE270"/>
    <mergeCell ref="BF260:BF270"/>
    <mergeCell ref="BG260:BG270"/>
    <mergeCell ref="BH260:BH270"/>
    <mergeCell ref="BI260:BI270"/>
    <mergeCell ref="BJ260:BJ270"/>
    <mergeCell ref="AY260:AY270"/>
    <mergeCell ref="AZ260:AZ270"/>
    <mergeCell ref="BA260:BA270"/>
    <mergeCell ref="BB260:BB270"/>
    <mergeCell ref="BC260:BC270"/>
    <mergeCell ref="BD260:BD270"/>
    <mergeCell ref="AS260:AS270"/>
    <mergeCell ref="AT260:AT270"/>
    <mergeCell ref="AU260:AU270"/>
    <mergeCell ref="AV260:AV270"/>
    <mergeCell ref="AW260:AW270"/>
    <mergeCell ref="AX260:AX270"/>
    <mergeCell ref="AM260:AM270"/>
    <mergeCell ref="AN260:AN270"/>
    <mergeCell ref="AO260:AO270"/>
    <mergeCell ref="AP260:AP270"/>
    <mergeCell ref="AQ260:AQ270"/>
    <mergeCell ref="AR260:AR270"/>
    <mergeCell ref="AG260:AG270"/>
    <mergeCell ref="AH260:AH270"/>
    <mergeCell ref="AI260:AI270"/>
    <mergeCell ref="AJ260:AJ270"/>
    <mergeCell ref="AK260:AK270"/>
    <mergeCell ref="AL260:AL270"/>
    <mergeCell ref="V260:V263"/>
    <mergeCell ref="AB260:AB270"/>
    <mergeCell ref="AC260:AC270"/>
    <mergeCell ref="AD260:AD270"/>
    <mergeCell ref="AE260:AE270"/>
    <mergeCell ref="AF260:AF270"/>
    <mergeCell ref="P260:P270"/>
    <mergeCell ref="Q260:Q270"/>
    <mergeCell ref="R260:R270"/>
    <mergeCell ref="S260:S270"/>
    <mergeCell ref="T260:T270"/>
    <mergeCell ref="U260:U266"/>
    <mergeCell ref="BQ251:BQ258"/>
    <mergeCell ref="BR251:BR258"/>
    <mergeCell ref="V253:V254"/>
    <mergeCell ref="V256:V257"/>
    <mergeCell ref="J260:J270"/>
    <mergeCell ref="K260:K270"/>
    <mergeCell ref="L260:L270"/>
    <mergeCell ref="M260:M270"/>
    <mergeCell ref="N260:N270"/>
    <mergeCell ref="O260:O270"/>
    <mergeCell ref="BK251:BK258"/>
    <mergeCell ref="BL251:BL258"/>
    <mergeCell ref="BM251:BM258"/>
    <mergeCell ref="BN251:BN258"/>
    <mergeCell ref="BO251:BO258"/>
    <mergeCell ref="BP251:BP258"/>
    <mergeCell ref="BE251:BE258"/>
    <mergeCell ref="BF251:BF258"/>
    <mergeCell ref="BG251:BG258"/>
    <mergeCell ref="BH251:BH258"/>
    <mergeCell ref="BI251:BI258"/>
    <mergeCell ref="BJ251:BJ258"/>
    <mergeCell ref="AY251:AY258"/>
    <mergeCell ref="AZ251:AZ258"/>
    <mergeCell ref="BA251:BA258"/>
    <mergeCell ref="BB251:BB258"/>
    <mergeCell ref="BC251:BC258"/>
    <mergeCell ref="BD251:BD258"/>
    <mergeCell ref="AS251:AS258"/>
    <mergeCell ref="AT251:AT258"/>
    <mergeCell ref="AU251:AU258"/>
    <mergeCell ref="AV251:AV258"/>
    <mergeCell ref="AW251:AW258"/>
    <mergeCell ref="AX251:AX258"/>
    <mergeCell ref="AM251:AM258"/>
    <mergeCell ref="AN251:AN258"/>
    <mergeCell ref="AO251:AO258"/>
    <mergeCell ref="AP251:AP258"/>
    <mergeCell ref="AQ251:AQ258"/>
    <mergeCell ref="AR251:AR258"/>
    <mergeCell ref="AG251:AG258"/>
    <mergeCell ref="AH251:AH258"/>
    <mergeCell ref="AI251:AI258"/>
    <mergeCell ref="AJ251:AJ258"/>
    <mergeCell ref="AK251:AK258"/>
    <mergeCell ref="AL251:AL258"/>
    <mergeCell ref="V251:V252"/>
    <mergeCell ref="AB251:AB258"/>
    <mergeCell ref="AC251:AC258"/>
    <mergeCell ref="AD251:AD258"/>
    <mergeCell ref="AE251:AE258"/>
    <mergeCell ref="AF251:AF258"/>
    <mergeCell ref="P251:P258"/>
    <mergeCell ref="Q251:Q258"/>
    <mergeCell ref="R251:R257"/>
    <mergeCell ref="S251:S258"/>
    <mergeCell ref="T251:T258"/>
    <mergeCell ref="U251:U257"/>
    <mergeCell ref="J251:J257"/>
    <mergeCell ref="K251:K257"/>
    <mergeCell ref="L251:L255"/>
    <mergeCell ref="M251:M257"/>
    <mergeCell ref="N251:N257"/>
    <mergeCell ref="O251:O258"/>
    <mergeCell ref="N235:N241"/>
    <mergeCell ref="R235:R241"/>
    <mergeCell ref="U235:U241"/>
    <mergeCell ref="V238:V239"/>
    <mergeCell ref="J242:J249"/>
    <mergeCell ref="K242:K249"/>
    <mergeCell ref="L242:L249"/>
    <mergeCell ref="M242:M249"/>
    <mergeCell ref="N242:N249"/>
    <mergeCell ref="R242:R249"/>
    <mergeCell ref="BR219:BR249"/>
    <mergeCell ref="V224:V225"/>
    <mergeCell ref="J226:J234"/>
    <mergeCell ref="K226:K234"/>
    <mergeCell ref="L226:L234"/>
    <mergeCell ref="M226:M234"/>
    <mergeCell ref="N226:N234"/>
    <mergeCell ref="R226:R234"/>
    <mergeCell ref="U226:U234"/>
    <mergeCell ref="V228:V229"/>
    <mergeCell ref="BL219:BL249"/>
    <mergeCell ref="BM219:BM249"/>
    <mergeCell ref="BN219:BN249"/>
    <mergeCell ref="BO219:BO249"/>
    <mergeCell ref="BP219:BP249"/>
    <mergeCell ref="BQ219:BQ249"/>
    <mergeCell ref="BF219:BF249"/>
    <mergeCell ref="BG219:BG249"/>
    <mergeCell ref="BH219:BH249"/>
    <mergeCell ref="BI219:BI249"/>
    <mergeCell ref="BJ219:BJ249"/>
    <mergeCell ref="BK219:BK249"/>
    <mergeCell ref="AZ219:AZ249"/>
    <mergeCell ref="BA219:BA249"/>
    <mergeCell ref="BB219:BB249"/>
    <mergeCell ref="BC219:BC249"/>
    <mergeCell ref="BD219:BD249"/>
    <mergeCell ref="BE219:BE249"/>
    <mergeCell ref="AT219:AT249"/>
    <mergeCell ref="AU219:AU249"/>
    <mergeCell ref="AV219:AV249"/>
    <mergeCell ref="AW219:AW249"/>
    <mergeCell ref="AX219:AX249"/>
    <mergeCell ref="AY219:AY249"/>
    <mergeCell ref="AN219:AN249"/>
    <mergeCell ref="AO219:AO249"/>
    <mergeCell ref="AP219:AP249"/>
    <mergeCell ref="AQ219:AQ249"/>
    <mergeCell ref="AR219:AR249"/>
    <mergeCell ref="AS219:AS249"/>
    <mergeCell ref="AH219:AH249"/>
    <mergeCell ref="AI219:AI249"/>
    <mergeCell ref="AJ219:AJ249"/>
    <mergeCell ref="AK219:AK249"/>
    <mergeCell ref="AL219:AL249"/>
    <mergeCell ref="AM219:AM249"/>
    <mergeCell ref="AB219:AB249"/>
    <mergeCell ref="AC219:AC249"/>
    <mergeCell ref="AD219:AD249"/>
    <mergeCell ref="AE219:AE249"/>
    <mergeCell ref="AF219:AF249"/>
    <mergeCell ref="AG219:AG249"/>
    <mergeCell ref="P219:P249"/>
    <mergeCell ref="Q219:Q249"/>
    <mergeCell ref="R219:R225"/>
    <mergeCell ref="S219:S249"/>
    <mergeCell ref="T219:T249"/>
    <mergeCell ref="U219:U225"/>
    <mergeCell ref="U242:U249"/>
    <mergeCell ref="J219:J225"/>
    <mergeCell ref="K219:K225"/>
    <mergeCell ref="L219:L225"/>
    <mergeCell ref="M219:M225"/>
    <mergeCell ref="N219:N225"/>
    <mergeCell ref="O219:O249"/>
    <mergeCell ref="J235:J241"/>
    <mergeCell ref="K235:K241"/>
    <mergeCell ref="L235:L241"/>
    <mergeCell ref="M235:M241"/>
    <mergeCell ref="BM202:BM217"/>
    <mergeCell ref="BN202:BN217"/>
    <mergeCell ref="BO202:BO217"/>
    <mergeCell ref="BP202:BP217"/>
    <mergeCell ref="BQ202:BQ217"/>
    <mergeCell ref="BR202:BR217"/>
    <mergeCell ref="BG202:BG217"/>
    <mergeCell ref="BH202:BH217"/>
    <mergeCell ref="BI202:BI217"/>
    <mergeCell ref="BJ202:BJ217"/>
    <mergeCell ref="BK202:BK217"/>
    <mergeCell ref="BL202:BL217"/>
    <mergeCell ref="BA202:BA217"/>
    <mergeCell ref="BB202:BB217"/>
    <mergeCell ref="BC202:BC217"/>
    <mergeCell ref="BD202:BD217"/>
    <mergeCell ref="BE202:BE217"/>
    <mergeCell ref="BF202:BF217"/>
    <mergeCell ref="AY202:AY217"/>
    <mergeCell ref="AZ202:AZ217"/>
    <mergeCell ref="AO202:AO217"/>
    <mergeCell ref="AP202:AP217"/>
    <mergeCell ref="AQ202:AQ217"/>
    <mergeCell ref="AR202:AR217"/>
    <mergeCell ref="AS202:AS217"/>
    <mergeCell ref="AT202:AT217"/>
    <mergeCell ref="AI202:AI217"/>
    <mergeCell ref="AJ202:AJ217"/>
    <mergeCell ref="AK202:AK217"/>
    <mergeCell ref="AL202:AL217"/>
    <mergeCell ref="AM202:AM217"/>
    <mergeCell ref="AN202:AN217"/>
    <mergeCell ref="AC202:AC217"/>
    <mergeCell ref="AD202:AD217"/>
    <mergeCell ref="AE202:AE217"/>
    <mergeCell ref="AF202:AF217"/>
    <mergeCell ref="AG202:AG217"/>
    <mergeCell ref="AH202:AH217"/>
    <mergeCell ref="AU202:AU217"/>
    <mergeCell ref="AV202:AV217"/>
    <mergeCell ref="AW202:AW217"/>
    <mergeCell ref="AX202:AX217"/>
    <mergeCell ref="Q202:Q217"/>
    <mergeCell ref="R202:R206"/>
    <mergeCell ref="S202:S217"/>
    <mergeCell ref="T202:T217"/>
    <mergeCell ref="U202:U206"/>
    <mergeCell ref="AB202:AB217"/>
    <mergeCell ref="V203:V205"/>
    <mergeCell ref="V210:V211"/>
    <mergeCell ref="J202:J206"/>
    <mergeCell ref="K202:K206"/>
    <mergeCell ref="L202:L206"/>
    <mergeCell ref="M202:M206"/>
    <mergeCell ref="N202:N206"/>
    <mergeCell ref="P202:P217"/>
    <mergeCell ref="J207:J208"/>
    <mergeCell ref="K207:K208"/>
    <mergeCell ref="L207:L208"/>
    <mergeCell ref="M207:M208"/>
    <mergeCell ref="N207:N208"/>
    <mergeCell ref="R207:R208"/>
    <mergeCell ref="U207:U217"/>
    <mergeCell ref="V207:V208"/>
    <mergeCell ref="J209:J217"/>
    <mergeCell ref="K209:K217"/>
    <mergeCell ref="L209:L217"/>
    <mergeCell ref="M209:M217"/>
    <mergeCell ref="N209:N217"/>
    <mergeCell ref="R209:R217"/>
    <mergeCell ref="BR190:BR200"/>
    <mergeCell ref="J196:J200"/>
    <mergeCell ref="K196:K200"/>
    <mergeCell ref="L196:L200"/>
    <mergeCell ref="M196:M200"/>
    <mergeCell ref="N196:N200"/>
    <mergeCell ref="R196:R200"/>
    <mergeCell ref="U196:U200"/>
    <mergeCell ref="BL190:BL200"/>
    <mergeCell ref="BM190:BM200"/>
    <mergeCell ref="BN190:BN200"/>
    <mergeCell ref="BO190:BO200"/>
    <mergeCell ref="BP190:BP200"/>
    <mergeCell ref="BQ190:BQ200"/>
    <mergeCell ref="BF190:BF200"/>
    <mergeCell ref="BG190:BG200"/>
    <mergeCell ref="BH190:BH200"/>
    <mergeCell ref="BI190:BI200"/>
    <mergeCell ref="BJ190:BJ200"/>
    <mergeCell ref="BK190:BK200"/>
    <mergeCell ref="AZ190:AZ200"/>
    <mergeCell ref="BA190:BA200"/>
    <mergeCell ref="BB190:BB200"/>
    <mergeCell ref="BC190:BC200"/>
    <mergeCell ref="BD190:BD200"/>
    <mergeCell ref="BE190:BE200"/>
    <mergeCell ref="AT190:AT200"/>
    <mergeCell ref="AU190:AU200"/>
    <mergeCell ref="AV190:AV200"/>
    <mergeCell ref="AW190:AW200"/>
    <mergeCell ref="AX190:AX200"/>
    <mergeCell ref="AY190:AY200"/>
    <mergeCell ref="AN190:AN200"/>
    <mergeCell ref="AO190:AO200"/>
    <mergeCell ref="AP190:AP200"/>
    <mergeCell ref="AQ190:AQ200"/>
    <mergeCell ref="AR190:AR200"/>
    <mergeCell ref="AS190:AS200"/>
    <mergeCell ref="AH190:AH200"/>
    <mergeCell ref="AI190:AI200"/>
    <mergeCell ref="AJ190:AJ200"/>
    <mergeCell ref="AK190:AK200"/>
    <mergeCell ref="AL190:AL200"/>
    <mergeCell ref="AM190:AM200"/>
    <mergeCell ref="AB190:AB200"/>
    <mergeCell ref="AC190:AC200"/>
    <mergeCell ref="AD190:AD200"/>
    <mergeCell ref="AE190:AE200"/>
    <mergeCell ref="AF190:AF200"/>
    <mergeCell ref="AG190:AG200"/>
    <mergeCell ref="P190:P200"/>
    <mergeCell ref="Q190:Q200"/>
    <mergeCell ref="R190:R195"/>
    <mergeCell ref="S190:S200"/>
    <mergeCell ref="T190:T200"/>
    <mergeCell ref="U190:U195"/>
    <mergeCell ref="N184:N188"/>
    <mergeCell ref="R184:R188"/>
    <mergeCell ref="U184:U188"/>
    <mergeCell ref="V184:V185"/>
    <mergeCell ref="J190:J195"/>
    <mergeCell ref="K190:K195"/>
    <mergeCell ref="L190:L195"/>
    <mergeCell ref="M190:M195"/>
    <mergeCell ref="N190:N195"/>
    <mergeCell ref="O190:O200"/>
    <mergeCell ref="BK180:BK188"/>
    <mergeCell ref="AS180:AS188"/>
    <mergeCell ref="AT180:AT188"/>
    <mergeCell ref="AU180:AU188"/>
    <mergeCell ref="AV180:AV188"/>
    <mergeCell ref="AW180:AW188"/>
    <mergeCell ref="AX180:AX188"/>
    <mergeCell ref="AM180:AM188"/>
    <mergeCell ref="AN180:AN188"/>
    <mergeCell ref="AO180:AO188"/>
    <mergeCell ref="AP180:AP188"/>
    <mergeCell ref="AQ180:AQ188"/>
    <mergeCell ref="AR180:AR188"/>
    <mergeCell ref="AG180:AG188"/>
    <mergeCell ref="AH180:AH188"/>
    <mergeCell ref="AI180:AI188"/>
    <mergeCell ref="BL180:BL188"/>
    <mergeCell ref="BM180:BM188"/>
    <mergeCell ref="BN180:BN188"/>
    <mergeCell ref="BP180:BP188"/>
    <mergeCell ref="BR180:BR188"/>
    <mergeCell ref="BE180:BE188"/>
    <mergeCell ref="BF180:BF188"/>
    <mergeCell ref="BG180:BG188"/>
    <mergeCell ref="BH180:BH188"/>
    <mergeCell ref="BI180:BI188"/>
    <mergeCell ref="BJ180:BJ188"/>
    <mergeCell ref="AY180:AY188"/>
    <mergeCell ref="AZ180:AZ188"/>
    <mergeCell ref="BA180:BA188"/>
    <mergeCell ref="BB180:BB188"/>
    <mergeCell ref="BC180:BC188"/>
    <mergeCell ref="BD180:BD188"/>
    <mergeCell ref="AJ180:AJ188"/>
    <mergeCell ref="AK180:AK188"/>
    <mergeCell ref="AL180:AL188"/>
    <mergeCell ref="V180:V181"/>
    <mergeCell ref="AB180:AB188"/>
    <mergeCell ref="AC180:AC188"/>
    <mergeCell ref="AD180:AD188"/>
    <mergeCell ref="AE180:AE188"/>
    <mergeCell ref="AF180:AF188"/>
    <mergeCell ref="P180:P188"/>
    <mergeCell ref="Q180:Q188"/>
    <mergeCell ref="R180:R183"/>
    <mergeCell ref="S180:S188"/>
    <mergeCell ref="T180:T188"/>
    <mergeCell ref="U180:U183"/>
    <mergeCell ref="J180:J183"/>
    <mergeCell ref="K180:K183"/>
    <mergeCell ref="L180:L183"/>
    <mergeCell ref="M180:M183"/>
    <mergeCell ref="N180:N183"/>
    <mergeCell ref="O180:O188"/>
    <mergeCell ref="J184:J188"/>
    <mergeCell ref="K184:K188"/>
    <mergeCell ref="L184:L188"/>
    <mergeCell ref="M184:M188"/>
    <mergeCell ref="BQ155:BQ178"/>
    <mergeCell ref="BR155:BR178"/>
    <mergeCell ref="V158:V161"/>
    <mergeCell ref="V163:V165"/>
    <mergeCell ref="U166:U171"/>
    <mergeCell ref="V166:V168"/>
    <mergeCell ref="V169:V171"/>
    <mergeCell ref="U172:U178"/>
    <mergeCell ref="V173:V175"/>
    <mergeCell ref="V176:V178"/>
    <mergeCell ref="BK155:BK178"/>
    <mergeCell ref="BL155:BL178"/>
    <mergeCell ref="BM155:BM178"/>
    <mergeCell ref="BN155:BN178"/>
    <mergeCell ref="BO155:BO178"/>
    <mergeCell ref="BP155:BP178"/>
    <mergeCell ref="BE155:BE178"/>
    <mergeCell ref="BF155:BF178"/>
    <mergeCell ref="BG155:BG178"/>
    <mergeCell ref="BH155:BH178"/>
    <mergeCell ref="BI155:BI178"/>
    <mergeCell ref="BJ155:BJ178"/>
    <mergeCell ref="AY155:AY178"/>
    <mergeCell ref="AZ155:AZ178"/>
    <mergeCell ref="BA155:BA178"/>
    <mergeCell ref="BB155:BB178"/>
    <mergeCell ref="BC155:BC178"/>
    <mergeCell ref="BD155:BD178"/>
    <mergeCell ref="AS155:AS178"/>
    <mergeCell ref="AT155:AT178"/>
    <mergeCell ref="AU155:AU178"/>
    <mergeCell ref="AV155:AV178"/>
    <mergeCell ref="AW155:AW178"/>
    <mergeCell ref="AX155:AX178"/>
    <mergeCell ref="AM155:AM178"/>
    <mergeCell ref="AN155:AN178"/>
    <mergeCell ref="AO155:AO178"/>
    <mergeCell ref="AP155:AP178"/>
    <mergeCell ref="AQ155:AQ178"/>
    <mergeCell ref="AR155:AR178"/>
    <mergeCell ref="AG155:AG178"/>
    <mergeCell ref="AH155:AH178"/>
    <mergeCell ref="AI155:AI178"/>
    <mergeCell ref="AJ155:AJ178"/>
    <mergeCell ref="AK155:AK178"/>
    <mergeCell ref="AL155:AL178"/>
    <mergeCell ref="V155:V157"/>
    <mergeCell ref="AB155:AB178"/>
    <mergeCell ref="AC155:AC178"/>
    <mergeCell ref="AD155:AD178"/>
    <mergeCell ref="AE155:AE178"/>
    <mergeCell ref="AF155:AF178"/>
    <mergeCell ref="P155:P178"/>
    <mergeCell ref="Q155:Q178"/>
    <mergeCell ref="R155:R178"/>
    <mergeCell ref="S155:S178"/>
    <mergeCell ref="T155:T178"/>
    <mergeCell ref="U155:U165"/>
    <mergeCell ref="U147:U154"/>
    <mergeCell ref="V147:V148"/>
    <mergeCell ref="V149:V150"/>
    <mergeCell ref="V151:V152"/>
    <mergeCell ref="V153:V154"/>
    <mergeCell ref="J155:J178"/>
    <mergeCell ref="K155:K178"/>
    <mergeCell ref="L155:L178"/>
    <mergeCell ref="M155:M178"/>
    <mergeCell ref="N155:N178"/>
    <mergeCell ref="V138:V140"/>
    <mergeCell ref="V141:V142"/>
    <mergeCell ref="V143:V144"/>
    <mergeCell ref="V145:V146"/>
    <mergeCell ref="J147:J154"/>
    <mergeCell ref="K147:K154"/>
    <mergeCell ref="L147:L154"/>
    <mergeCell ref="M147:M154"/>
    <mergeCell ref="N147:N154"/>
    <mergeCell ref="R147:R154"/>
    <mergeCell ref="J131:J146"/>
    <mergeCell ref="K131:K146"/>
    <mergeCell ref="L131:L146"/>
    <mergeCell ref="M131:M146"/>
    <mergeCell ref="N131:N146"/>
    <mergeCell ref="O131:O154"/>
    <mergeCell ref="BM131:BM154"/>
    <mergeCell ref="BN131:BN154"/>
    <mergeCell ref="BO131:BO154"/>
    <mergeCell ref="BP131:BP154"/>
    <mergeCell ref="BQ131:BQ154"/>
    <mergeCell ref="BR131:BR154"/>
    <mergeCell ref="BG131:BG154"/>
    <mergeCell ref="BH131:BH154"/>
    <mergeCell ref="BI131:BI154"/>
    <mergeCell ref="BJ131:BJ154"/>
    <mergeCell ref="BK131:BK154"/>
    <mergeCell ref="BL131:BL154"/>
    <mergeCell ref="BA131:BA154"/>
    <mergeCell ref="BB131:BB154"/>
    <mergeCell ref="BC131:BC154"/>
    <mergeCell ref="BD131:BD154"/>
    <mergeCell ref="BE131:BE154"/>
    <mergeCell ref="BF131:BF154"/>
    <mergeCell ref="AU131:AU154"/>
    <mergeCell ref="AV131:AV154"/>
    <mergeCell ref="AW131:AW154"/>
    <mergeCell ref="AX131:AX154"/>
    <mergeCell ref="AY131:AY154"/>
    <mergeCell ref="AZ131:AZ154"/>
    <mergeCell ref="AO131:AO154"/>
    <mergeCell ref="AP131:AP154"/>
    <mergeCell ref="AQ131:AQ154"/>
    <mergeCell ref="AR131:AR154"/>
    <mergeCell ref="AS131:AS154"/>
    <mergeCell ref="AT131:AT154"/>
    <mergeCell ref="AI131:AI154"/>
    <mergeCell ref="AJ131:AJ154"/>
    <mergeCell ref="AK131:AK154"/>
    <mergeCell ref="AL131:AL154"/>
    <mergeCell ref="AM131:AM154"/>
    <mergeCell ref="AN131:AN154"/>
    <mergeCell ref="AC131:AC154"/>
    <mergeCell ref="AD131:AD154"/>
    <mergeCell ref="AE131:AE154"/>
    <mergeCell ref="AF131:AF154"/>
    <mergeCell ref="AG131:AG154"/>
    <mergeCell ref="AH131:AH154"/>
    <mergeCell ref="R131:R146"/>
    <mergeCell ref="S131:S154"/>
    <mergeCell ref="T131:T154"/>
    <mergeCell ref="U131:U146"/>
    <mergeCell ref="V131:V134"/>
    <mergeCell ref="AB131:AB154"/>
    <mergeCell ref="V135:V137"/>
    <mergeCell ref="W136:W137"/>
    <mergeCell ref="Z136:Z137"/>
    <mergeCell ref="AA136:AA137"/>
    <mergeCell ref="V126:V127"/>
    <mergeCell ref="AA126:AA130"/>
    <mergeCell ref="P131:P154"/>
    <mergeCell ref="Q131:Q154"/>
    <mergeCell ref="BQ121:BQ130"/>
    <mergeCell ref="BR121:BR130"/>
    <mergeCell ref="V124:V125"/>
    <mergeCell ref="J126:J130"/>
    <mergeCell ref="K126:K130"/>
    <mergeCell ref="L126:L130"/>
    <mergeCell ref="M126:M130"/>
    <mergeCell ref="N126:N130"/>
    <mergeCell ref="R126:R130"/>
    <mergeCell ref="U126:U130"/>
    <mergeCell ref="BK121:BK130"/>
    <mergeCell ref="BL121:BL130"/>
    <mergeCell ref="BM121:BM130"/>
    <mergeCell ref="BN121:BN130"/>
    <mergeCell ref="BO121:BO130"/>
    <mergeCell ref="BP121:BP130"/>
    <mergeCell ref="BE121:BE130"/>
    <mergeCell ref="BF121:BF130"/>
    <mergeCell ref="BG121:BG130"/>
    <mergeCell ref="BH121:BH130"/>
    <mergeCell ref="BI121:BI130"/>
    <mergeCell ref="BJ121:BJ130"/>
    <mergeCell ref="AY121:AY130"/>
    <mergeCell ref="AZ121:AZ130"/>
    <mergeCell ref="BA121:BA130"/>
    <mergeCell ref="BB121:BB130"/>
    <mergeCell ref="BC121:BC130"/>
    <mergeCell ref="BD121:BD130"/>
    <mergeCell ref="AS121:AS130"/>
    <mergeCell ref="AT121:AT130"/>
    <mergeCell ref="AU121:AU130"/>
    <mergeCell ref="AV121:AV130"/>
    <mergeCell ref="AW121:AW130"/>
    <mergeCell ref="AX121:AX130"/>
    <mergeCell ref="AM121:AM130"/>
    <mergeCell ref="AN121:AN130"/>
    <mergeCell ref="AO121:AO130"/>
    <mergeCell ref="AP121:AP130"/>
    <mergeCell ref="AQ121:AQ130"/>
    <mergeCell ref="AR121:AR130"/>
    <mergeCell ref="AG121:AG130"/>
    <mergeCell ref="AH121:AH130"/>
    <mergeCell ref="AI121:AI130"/>
    <mergeCell ref="AJ121:AJ130"/>
    <mergeCell ref="AK121:AK130"/>
    <mergeCell ref="AL121:AL130"/>
    <mergeCell ref="AA121:AA125"/>
    <mergeCell ref="AB121:AB130"/>
    <mergeCell ref="AC121:AC130"/>
    <mergeCell ref="AD121:AD130"/>
    <mergeCell ref="AE121:AE130"/>
    <mergeCell ref="AF121:AF130"/>
    <mergeCell ref="P121:P130"/>
    <mergeCell ref="Q121:Q130"/>
    <mergeCell ref="R121:R125"/>
    <mergeCell ref="S121:S130"/>
    <mergeCell ref="T121:T130"/>
    <mergeCell ref="U121:U125"/>
    <mergeCell ref="J121:J125"/>
    <mergeCell ref="K121:K125"/>
    <mergeCell ref="L121:L125"/>
    <mergeCell ref="M121:M125"/>
    <mergeCell ref="N121:N125"/>
    <mergeCell ref="O121:O130"/>
    <mergeCell ref="J116:J119"/>
    <mergeCell ref="K116:K119"/>
    <mergeCell ref="L116:L119"/>
    <mergeCell ref="M116:M119"/>
    <mergeCell ref="N116:N119"/>
    <mergeCell ref="R116:R119"/>
    <mergeCell ref="J112:J115"/>
    <mergeCell ref="K112:K115"/>
    <mergeCell ref="L112:L115"/>
    <mergeCell ref="M112:M115"/>
    <mergeCell ref="N112:N115"/>
    <mergeCell ref="R112:R115"/>
    <mergeCell ref="BM107:BM119"/>
    <mergeCell ref="BN107:BN119"/>
    <mergeCell ref="BO107:BO119"/>
    <mergeCell ref="BP107:BP119"/>
    <mergeCell ref="BQ107:BQ119"/>
    <mergeCell ref="BR107:BR119"/>
    <mergeCell ref="BG107:BG119"/>
    <mergeCell ref="BH107:BH119"/>
    <mergeCell ref="BI107:BI119"/>
    <mergeCell ref="BJ107:BJ119"/>
    <mergeCell ref="BK107:BK119"/>
    <mergeCell ref="BL107:BL119"/>
    <mergeCell ref="BA107:BA119"/>
    <mergeCell ref="BB107:BB119"/>
    <mergeCell ref="BC107:BC119"/>
    <mergeCell ref="BD107:BD119"/>
    <mergeCell ref="BE107:BE119"/>
    <mergeCell ref="BF107:BF119"/>
    <mergeCell ref="AU107:AU119"/>
    <mergeCell ref="AV107:AV119"/>
    <mergeCell ref="AW107:AW119"/>
    <mergeCell ref="AX107:AX119"/>
    <mergeCell ref="AY107:AY119"/>
    <mergeCell ref="AZ107:AZ119"/>
    <mergeCell ref="AO107:AO119"/>
    <mergeCell ref="AP107:AP119"/>
    <mergeCell ref="AQ107:AQ119"/>
    <mergeCell ref="AR107:AR119"/>
    <mergeCell ref="AS107:AS119"/>
    <mergeCell ref="AT107:AT119"/>
    <mergeCell ref="AI107:AI119"/>
    <mergeCell ref="AJ107:AJ119"/>
    <mergeCell ref="AK107:AK119"/>
    <mergeCell ref="AL107:AL119"/>
    <mergeCell ref="AM107:AM119"/>
    <mergeCell ref="AN107:AN119"/>
    <mergeCell ref="AC107:AC119"/>
    <mergeCell ref="AD107:AD119"/>
    <mergeCell ref="AE107:AE119"/>
    <mergeCell ref="AF107:AF119"/>
    <mergeCell ref="AG107:AG119"/>
    <mergeCell ref="AH107:AH119"/>
    <mergeCell ref="Q107:Q119"/>
    <mergeCell ref="R107:R111"/>
    <mergeCell ref="S107:S119"/>
    <mergeCell ref="T107:T119"/>
    <mergeCell ref="U107:U111"/>
    <mergeCell ref="AB107:AB119"/>
    <mergeCell ref="V108:V109"/>
    <mergeCell ref="U112:U115"/>
    <mergeCell ref="U116:U119"/>
    <mergeCell ref="V118:V119"/>
    <mergeCell ref="N101:N105"/>
    <mergeCell ref="R101:R105"/>
    <mergeCell ref="U101:U105"/>
    <mergeCell ref="J107:J111"/>
    <mergeCell ref="K107:K111"/>
    <mergeCell ref="L107:L111"/>
    <mergeCell ref="M107:M111"/>
    <mergeCell ref="N107:N111"/>
    <mergeCell ref="O107:O119"/>
    <mergeCell ref="P107:P119"/>
    <mergeCell ref="BP85:BP105"/>
    <mergeCell ref="BQ85:BQ105"/>
    <mergeCell ref="BR85:BR105"/>
    <mergeCell ref="V87:V88"/>
    <mergeCell ref="J96:J100"/>
    <mergeCell ref="K96:K100"/>
    <mergeCell ref="L96:L100"/>
    <mergeCell ref="M96:M100"/>
    <mergeCell ref="N96:N100"/>
    <mergeCell ref="R96:R100"/>
    <mergeCell ref="BJ85:BJ105"/>
    <mergeCell ref="BK85:BK105"/>
    <mergeCell ref="BL85:BL105"/>
    <mergeCell ref="BM85:BM105"/>
    <mergeCell ref="BN85:BN105"/>
    <mergeCell ref="BO85:BO105"/>
    <mergeCell ref="BD85:BD105"/>
    <mergeCell ref="BE85:BE105"/>
    <mergeCell ref="BF85:BF105"/>
    <mergeCell ref="BG85:BG105"/>
    <mergeCell ref="BH85:BH105"/>
    <mergeCell ref="BI85:BI105"/>
    <mergeCell ref="AX85:AX105"/>
    <mergeCell ref="AY85:AY105"/>
    <mergeCell ref="AZ85:AZ105"/>
    <mergeCell ref="BA85:BA105"/>
    <mergeCell ref="BB85:BB105"/>
    <mergeCell ref="BC85:BC105"/>
    <mergeCell ref="AR85:AR105"/>
    <mergeCell ref="AS85:AS105"/>
    <mergeCell ref="AT85:AT105"/>
    <mergeCell ref="AU85:AU105"/>
    <mergeCell ref="AV85:AV105"/>
    <mergeCell ref="AW85:AW105"/>
    <mergeCell ref="AL85:AL105"/>
    <mergeCell ref="AM85:AM105"/>
    <mergeCell ref="AN85:AN105"/>
    <mergeCell ref="AO85:AO105"/>
    <mergeCell ref="AP85:AP105"/>
    <mergeCell ref="AQ85:AQ105"/>
    <mergeCell ref="AF85:AF105"/>
    <mergeCell ref="AG85:AG105"/>
    <mergeCell ref="AH85:AH105"/>
    <mergeCell ref="AI85:AI105"/>
    <mergeCell ref="AJ85:AJ105"/>
    <mergeCell ref="AK85:AK105"/>
    <mergeCell ref="V85:V86"/>
    <mergeCell ref="AA85:AA105"/>
    <mergeCell ref="AB85:AB105"/>
    <mergeCell ref="AC85:AC105"/>
    <mergeCell ref="AD85:AD105"/>
    <mergeCell ref="AE85:AE105"/>
    <mergeCell ref="P85:P105"/>
    <mergeCell ref="Q85:Q105"/>
    <mergeCell ref="R85:R95"/>
    <mergeCell ref="S85:S105"/>
    <mergeCell ref="T85:T105"/>
    <mergeCell ref="U85:U95"/>
    <mergeCell ref="U96:U100"/>
    <mergeCell ref="J85:J95"/>
    <mergeCell ref="K85:K95"/>
    <mergeCell ref="L85:L95"/>
    <mergeCell ref="M85:M95"/>
    <mergeCell ref="N85:N95"/>
    <mergeCell ref="O85:O105"/>
    <mergeCell ref="J101:J105"/>
    <mergeCell ref="K101:K105"/>
    <mergeCell ref="L101:L105"/>
    <mergeCell ref="M101:M105"/>
    <mergeCell ref="N67:N78"/>
    <mergeCell ref="R67:R78"/>
    <mergeCell ref="U67:U83"/>
    <mergeCell ref="J79:J83"/>
    <mergeCell ref="K79:K83"/>
    <mergeCell ref="L79:L83"/>
    <mergeCell ref="M79:M83"/>
    <mergeCell ref="N79:N83"/>
    <mergeCell ref="R79:R83"/>
    <mergeCell ref="P56:P83"/>
    <mergeCell ref="Q56:Q83"/>
    <mergeCell ref="R56:R61"/>
    <mergeCell ref="S56:S83"/>
    <mergeCell ref="T56:T83"/>
    <mergeCell ref="U56:U66"/>
    <mergeCell ref="J56:J61"/>
    <mergeCell ref="K56:K61"/>
    <mergeCell ref="L56:L61"/>
    <mergeCell ref="M56:M61"/>
    <mergeCell ref="N56:N61"/>
    <mergeCell ref="O56:O83"/>
    <mergeCell ref="J67:J78"/>
    <mergeCell ref="BP56:BP83"/>
    <mergeCell ref="BQ56:BQ83"/>
    <mergeCell ref="BR56:BR83"/>
    <mergeCell ref="V58:V59"/>
    <mergeCell ref="J62:J66"/>
    <mergeCell ref="K62:K66"/>
    <mergeCell ref="L62:L66"/>
    <mergeCell ref="M62:M66"/>
    <mergeCell ref="N62:N66"/>
    <mergeCell ref="R62:R66"/>
    <mergeCell ref="BJ56:BJ83"/>
    <mergeCell ref="BK56:BK83"/>
    <mergeCell ref="BL56:BL83"/>
    <mergeCell ref="BM56:BM83"/>
    <mergeCell ref="BN56:BN83"/>
    <mergeCell ref="BO56:BO83"/>
    <mergeCell ref="BD56:BD83"/>
    <mergeCell ref="BE56:BE83"/>
    <mergeCell ref="BF56:BF83"/>
    <mergeCell ref="BG56:BG83"/>
    <mergeCell ref="BH56:BH83"/>
    <mergeCell ref="BI56:BI83"/>
    <mergeCell ref="AX56:AX83"/>
    <mergeCell ref="AY56:AY83"/>
    <mergeCell ref="AZ56:AZ83"/>
    <mergeCell ref="BA56:BA83"/>
    <mergeCell ref="BB56:BB83"/>
    <mergeCell ref="BC56:BC83"/>
    <mergeCell ref="AR56:AR83"/>
    <mergeCell ref="AS56:AS83"/>
    <mergeCell ref="AT56:AT83"/>
    <mergeCell ref="AU56:AU83"/>
    <mergeCell ref="AV56:AV83"/>
    <mergeCell ref="AW56:AW83"/>
    <mergeCell ref="AL56:AL83"/>
    <mergeCell ref="AM56:AM83"/>
    <mergeCell ref="AN56:AN83"/>
    <mergeCell ref="AO56:AO83"/>
    <mergeCell ref="AP56:AP83"/>
    <mergeCell ref="AQ56:AQ83"/>
    <mergeCell ref="AF56:AF83"/>
    <mergeCell ref="AG56:AG83"/>
    <mergeCell ref="AH56:AH83"/>
    <mergeCell ref="AI56:AI83"/>
    <mergeCell ref="AJ56:AJ83"/>
    <mergeCell ref="AK56:AK83"/>
    <mergeCell ref="V56:V57"/>
    <mergeCell ref="AA56:AA83"/>
    <mergeCell ref="AB56:AB83"/>
    <mergeCell ref="AC56:AC83"/>
    <mergeCell ref="AD56:AD83"/>
    <mergeCell ref="AE56:AE83"/>
    <mergeCell ref="K67:K78"/>
    <mergeCell ref="L67:L78"/>
    <mergeCell ref="M67:M78"/>
    <mergeCell ref="BP49:BP54"/>
    <mergeCell ref="BQ49:BQ54"/>
    <mergeCell ref="BR49:BR54"/>
    <mergeCell ref="J51:J54"/>
    <mergeCell ref="K51:K54"/>
    <mergeCell ref="L51:L54"/>
    <mergeCell ref="M51:M54"/>
    <mergeCell ref="N51:N54"/>
    <mergeCell ref="R51:R54"/>
    <mergeCell ref="U51:U54"/>
    <mergeCell ref="BJ49:BJ54"/>
    <mergeCell ref="BK49:BK54"/>
    <mergeCell ref="BL49:BL54"/>
    <mergeCell ref="BM49:BM54"/>
    <mergeCell ref="BN49:BN54"/>
    <mergeCell ref="BO49:BO54"/>
    <mergeCell ref="BD49:BD54"/>
    <mergeCell ref="BE49:BE54"/>
    <mergeCell ref="BF49:BF54"/>
    <mergeCell ref="BG49:BG54"/>
    <mergeCell ref="BH49:BH54"/>
    <mergeCell ref="BI49:BI54"/>
    <mergeCell ref="AX49:AX54"/>
    <mergeCell ref="AY49:AY54"/>
    <mergeCell ref="AZ49:AZ54"/>
    <mergeCell ref="BA49:BA54"/>
    <mergeCell ref="BB49:BB54"/>
    <mergeCell ref="BC49:BC54"/>
    <mergeCell ref="AR49:AR54"/>
    <mergeCell ref="J23:J32"/>
    <mergeCell ref="K23:K32"/>
    <mergeCell ref="L23:L32"/>
    <mergeCell ref="M23:M32"/>
    <mergeCell ref="N23:N32"/>
    <mergeCell ref="R23:R32"/>
    <mergeCell ref="AS49:AS54"/>
    <mergeCell ref="AT49:AT54"/>
    <mergeCell ref="AU49:AU54"/>
    <mergeCell ref="AV49:AV54"/>
    <mergeCell ref="AW49:AW54"/>
    <mergeCell ref="AL49:AL54"/>
    <mergeCell ref="AM49:AM54"/>
    <mergeCell ref="AN49:AN54"/>
    <mergeCell ref="AO49:AO54"/>
    <mergeCell ref="AP49:AP54"/>
    <mergeCell ref="AQ49:AQ54"/>
    <mergeCell ref="AF49:AF54"/>
    <mergeCell ref="AG49:AG54"/>
    <mergeCell ref="AH49:AH54"/>
    <mergeCell ref="AI49:AI54"/>
    <mergeCell ref="AJ49:AJ54"/>
    <mergeCell ref="AK49:AK54"/>
    <mergeCell ref="V49:V50"/>
    <mergeCell ref="AA49:AA54"/>
    <mergeCell ref="AB49:AB54"/>
    <mergeCell ref="AC49:AC54"/>
    <mergeCell ref="AD49:AD54"/>
    <mergeCell ref="AE49:AE54"/>
    <mergeCell ref="V52:V53"/>
    <mergeCell ref="P49:P54"/>
    <mergeCell ref="Q49:Q54"/>
    <mergeCell ref="R49:R50"/>
    <mergeCell ref="S49:S54"/>
    <mergeCell ref="T49:T54"/>
    <mergeCell ref="U49:U50"/>
    <mergeCell ref="J49:J50"/>
    <mergeCell ref="K49:K50"/>
    <mergeCell ref="L49:L50"/>
    <mergeCell ref="M49:M50"/>
    <mergeCell ref="N49:N50"/>
    <mergeCell ref="O49:O54"/>
    <mergeCell ref="BO13:BO46"/>
    <mergeCell ref="BP13:BP46"/>
    <mergeCell ref="BQ13:BQ46"/>
    <mergeCell ref="BR13:BR46"/>
    <mergeCell ref="V16:V17"/>
    <mergeCell ref="V18:V19"/>
    <mergeCell ref="V23:V24"/>
    <mergeCell ref="V25:V26"/>
    <mergeCell ref="V27:V28"/>
    <mergeCell ref="V29:V30"/>
    <mergeCell ref="BI13:BI46"/>
    <mergeCell ref="BJ13:BJ46"/>
    <mergeCell ref="BK13:BK46"/>
    <mergeCell ref="BL13:BL46"/>
    <mergeCell ref="BM13:BM46"/>
    <mergeCell ref="BN13:BN46"/>
    <mergeCell ref="BC13:BC46"/>
    <mergeCell ref="BD13:BD46"/>
    <mergeCell ref="BE13:BE46"/>
    <mergeCell ref="BF13:BF46"/>
    <mergeCell ref="BG13:BG46"/>
    <mergeCell ref="BH13:BH46"/>
    <mergeCell ref="AW13:AW46"/>
    <mergeCell ref="AX13:AX46"/>
    <mergeCell ref="AY13:AY46"/>
    <mergeCell ref="AZ13:AZ46"/>
    <mergeCell ref="BA13:BA46"/>
    <mergeCell ref="BB13:BB46"/>
    <mergeCell ref="AQ13:AQ46"/>
    <mergeCell ref="AR13:AR46"/>
    <mergeCell ref="AS13:AS46"/>
    <mergeCell ref="AT13:AT46"/>
    <mergeCell ref="AU13:AU46"/>
    <mergeCell ref="AV13:AV46"/>
    <mergeCell ref="AK13:AK46"/>
    <mergeCell ref="AL13:AL46"/>
    <mergeCell ref="AM13:AM46"/>
    <mergeCell ref="AN13:AN46"/>
    <mergeCell ref="AO13:AO46"/>
    <mergeCell ref="AP13:AP46"/>
    <mergeCell ref="K7:K9"/>
    <mergeCell ref="L7:L9"/>
    <mergeCell ref="M7:N8"/>
    <mergeCell ref="O7:O9"/>
    <mergeCell ref="P7:P9"/>
    <mergeCell ref="Q7:Q9"/>
    <mergeCell ref="AE13:AE46"/>
    <mergeCell ref="AF13:AF46"/>
    <mergeCell ref="AG13:AG46"/>
    <mergeCell ref="AH13:AH46"/>
    <mergeCell ref="AI13:AI46"/>
    <mergeCell ref="AJ13:AJ46"/>
    <mergeCell ref="U13:U22"/>
    <mergeCell ref="V13:V14"/>
    <mergeCell ref="AA13:AA46"/>
    <mergeCell ref="AB13:AB46"/>
    <mergeCell ref="AC13:AC46"/>
    <mergeCell ref="AD13:AD46"/>
    <mergeCell ref="U23:U32"/>
    <mergeCell ref="V31:V32"/>
    <mergeCell ref="U33:U46"/>
    <mergeCell ref="V33:V34"/>
    <mergeCell ref="V35:V36"/>
    <mergeCell ref="V37:V38"/>
    <mergeCell ref="V39:V40"/>
    <mergeCell ref="V41:V42"/>
    <mergeCell ref="V43:V44"/>
    <mergeCell ref="V45:V46"/>
    <mergeCell ref="N33:N46"/>
    <mergeCell ref="R33:R46"/>
    <mergeCell ref="AV8:AW8"/>
    <mergeCell ref="AX8:AY8"/>
    <mergeCell ref="AZ8:BA8"/>
    <mergeCell ref="BB8:BC8"/>
    <mergeCell ref="BD8:BE8"/>
    <mergeCell ref="BF7:BG8"/>
    <mergeCell ref="BH7:BM7"/>
    <mergeCell ref="R7:R9"/>
    <mergeCell ref="S7:S9"/>
    <mergeCell ref="T7:T9"/>
    <mergeCell ref="U7:U9"/>
    <mergeCell ref="V7:V9"/>
    <mergeCell ref="W7:Y8"/>
    <mergeCell ref="AP8:AQ8"/>
    <mergeCell ref="AR8:AS8"/>
    <mergeCell ref="A11:C11"/>
    <mergeCell ref="J13:J22"/>
    <mergeCell ref="K13:K22"/>
    <mergeCell ref="L13:L22"/>
    <mergeCell ref="M13:M22"/>
    <mergeCell ref="N13:N22"/>
    <mergeCell ref="O13:O46"/>
    <mergeCell ref="P13:P46"/>
    <mergeCell ref="Q13:Q46"/>
    <mergeCell ref="R13:R22"/>
    <mergeCell ref="S13:S46"/>
    <mergeCell ref="T13:T46"/>
    <mergeCell ref="J33:J46"/>
    <mergeCell ref="K33:K46"/>
    <mergeCell ref="L33:L46"/>
    <mergeCell ref="M33:M46"/>
    <mergeCell ref="BH8:BH9"/>
    <mergeCell ref="A1:BN4"/>
    <mergeCell ref="A5:P6"/>
    <mergeCell ref="Q5:BR6"/>
    <mergeCell ref="A7:A9"/>
    <mergeCell ref="B7:C9"/>
    <mergeCell ref="D7:D9"/>
    <mergeCell ref="E7:F9"/>
    <mergeCell ref="G7:G9"/>
    <mergeCell ref="H7:I9"/>
    <mergeCell ref="J7:J9"/>
    <mergeCell ref="BN7:BO8"/>
    <mergeCell ref="BP7:BQ8"/>
    <mergeCell ref="BR7:BR8"/>
    <mergeCell ref="AB8:AC8"/>
    <mergeCell ref="AD8:AE8"/>
    <mergeCell ref="AF8:AG8"/>
    <mergeCell ref="AH8:AI8"/>
    <mergeCell ref="AJ8:AK8"/>
    <mergeCell ref="Z7:Z9"/>
    <mergeCell ref="AA7:AA9"/>
    <mergeCell ref="AB7:AE7"/>
    <mergeCell ref="AF7:AL7"/>
    <mergeCell ref="AN7:AX7"/>
    <mergeCell ref="AZ7:BD7"/>
    <mergeCell ref="AL8:AM8"/>
    <mergeCell ref="AN8:AO8"/>
    <mergeCell ref="BI8:BI9"/>
    <mergeCell ref="BJ8:BJ9"/>
    <mergeCell ref="BK8:BK9"/>
    <mergeCell ref="BL8:BL9"/>
    <mergeCell ref="BM8:BM9"/>
    <mergeCell ref="AT8:AU8"/>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CK64"/>
  <sheetViews>
    <sheetView showGridLines="0" zoomScale="70" zoomScaleNormal="70" workbookViewId="0">
      <selection sqref="A1:BP4"/>
    </sheetView>
  </sheetViews>
  <sheetFormatPr baseColWidth="10" defaultColWidth="11.42578125" defaultRowHeight="14.25" x14ac:dyDescent="0.2"/>
  <cols>
    <col min="1" max="1" width="12.85546875" style="1298" customWidth="1"/>
    <col min="2" max="2" width="4" style="657" customWidth="1"/>
    <col min="3" max="3" width="18.140625" style="657" customWidth="1"/>
    <col min="4" max="4" width="12.42578125" style="657" customWidth="1"/>
    <col min="5" max="5" width="6.42578125" style="657" customWidth="1"/>
    <col min="6" max="6" width="12.85546875" style="657" customWidth="1"/>
    <col min="7" max="7" width="11.85546875" style="657" customWidth="1"/>
    <col min="8" max="8" width="4.5703125" style="657" customWidth="1"/>
    <col min="9" max="9" width="15.140625" style="657" customWidth="1"/>
    <col min="10" max="10" width="13.28515625" style="657" bestFit="1" customWidth="1"/>
    <col min="11" max="11" width="25.7109375" style="1299" customWidth="1"/>
    <col min="12" max="12" width="18.7109375" style="656" customWidth="1"/>
    <col min="13" max="13" width="11" style="656" customWidth="1"/>
    <col min="14" max="14" width="11.28515625" style="656" customWidth="1"/>
    <col min="15" max="15" width="27.7109375" style="656" customWidth="1"/>
    <col min="16" max="16" width="20.28515625" style="1300" customWidth="1"/>
    <col min="17" max="17" width="17" style="1299" customWidth="1"/>
    <col min="18" max="18" width="12.7109375" style="1301" customWidth="1"/>
    <col min="19" max="19" width="21.85546875" style="1302" customWidth="1"/>
    <col min="20" max="20" width="29" style="1299" customWidth="1"/>
    <col min="21" max="21" width="21.28515625" style="1299" customWidth="1"/>
    <col min="22" max="22" width="36.42578125" style="1299" customWidth="1"/>
    <col min="23" max="23" width="34.42578125" style="1311" bestFit="1" customWidth="1"/>
    <col min="24" max="24" width="29" style="1311" bestFit="1" customWidth="1"/>
    <col min="25" max="25" width="27.5703125" style="1311" bestFit="1" customWidth="1"/>
    <col min="26" max="26" width="17.42578125" style="1304" customWidth="1"/>
    <col min="27" max="27" width="26.28515625" style="658" customWidth="1"/>
    <col min="28" max="28" width="9.28515625" style="657" bestFit="1" customWidth="1"/>
    <col min="29" max="29" width="8.7109375" style="657" bestFit="1" customWidth="1"/>
    <col min="30" max="30" width="9.42578125" style="657" bestFit="1" customWidth="1"/>
    <col min="31" max="31" width="8.7109375" style="657" bestFit="1" customWidth="1"/>
    <col min="32" max="32" width="7.7109375" style="657" bestFit="1" customWidth="1"/>
    <col min="33" max="33" width="6.5703125" style="657" bestFit="1" customWidth="1"/>
    <col min="34" max="34" width="7.7109375" style="657" bestFit="1" customWidth="1"/>
    <col min="35" max="35" width="6.85546875" style="657" customWidth="1"/>
    <col min="36" max="36" width="8.42578125" style="657" bestFit="1" customWidth="1"/>
    <col min="37" max="37" width="8.28515625" style="657" bestFit="1" customWidth="1"/>
    <col min="38" max="38" width="7.7109375" style="657" bestFit="1" customWidth="1"/>
    <col min="39" max="39" width="7" style="657" bestFit="1" customWidth="1"/>
    <col min="40" max="41" width="5.5703125" style="657" bestFit="1" customWidth="1"/>
    <col min="42" max="42" width="7.7109375" style="657" bestFit="1" customWidth="1"/>
    <col min="43" max="43" width="7" style="657" bestFit="1" customWidth="1"/>
    <col min="44" max="51" width="4.5703125" style="657" bestFit="1" customWidth="1"/>
    <col min="52" max="52" width="6.28515625" style="657" bestFit="1" customWidth="1"/>
    <col min="53" max="55" width="4.5703125" style="657" bestFit="1" customWidth="1"/>
    <col min="56" max="56" width="8.7109375" style="657" bestFit="1" customWidth="1"/>
    <col min="57" max="57" width="7.42578125" style="657" customWidth="1"/>
    <col min="58" max="58" width="10.28515625" style="657" customWidth="1"/>
    <col min="59" max="59" width="13" style="1305" customWidth="1"/>
    <col min="60" max="60" width="23" style="1305" customWidth="1"/>
    <col min="61" max="61" width="22.85546875" style="1306" customWidth="1"/>
    <col min="62" max="62" width="25" style="1306" customWidth="1"/>
    <col min="63" max="63" width="23" style="1307" customWidth="1"/>
    <col min="64" max="64" width="19" style="1305" customWidth="1"/>
    <col min="65" max="66" width="19.85546875" style="1308" customWidth="1"/>
    <col min="67" max="68" width="20.140625" style="1309" customWidth="1"/>
    <col min="69" max="69" width="23.7109375" style="1310" customWidth="1"/>
    <col min="70" max="70" width="23.7109375" style="657" bestFit="1" customWidth="1"/>
    <col min="71" max="282" width="11.42578125" style="657"/>
    <col min="283" max="283" width="13.140625" style="657" customWidth="1"/>
    <col min="284" max="284" width="4" style="657" customWidth="1"/>
    <col min="285" max="285" width="12.85546875" style="657" customWidth="1"/>
    <col min="286" max="286" width="14.7109375" style="657" customWidth="1"/>
    <col min="287" max="287" width="10" style="657" customWidth="1"/>
    <col min="288" max="288" width="6.28515625" style="657" customWidth="1"/>
    <col min="289" max="289" width="12.28515625" style="657" customWidth="1"/>
    <col min="290" max="290" width="8.5703125" style="657" customWidth="1"/>
    <col min="291" max="291" width="13.7109375" style="657" customWidth="1"/>
    <col min="292" max="292" width="11.5703125" style="657" customWidth="1"/>
    <col min="293" max="293" width="34.28515625" style="657" customWidth="1"/>
    <col min="294" max="294" width="24.28515625" style="657" customWidth="1"/>
    <col min="295" max="295" width="21.140625" style="657" customWidth="1"/>
    <col min="296" max="296" width="22.140625" style="657" customWidth="1"/>
    <col min="297" max="297" width="8" style="657" customWidth="1"/>
    <col min="298" max="298" width="17" style="657" customWidth="1"/>
    <col min="299" max="299" width="12.7109375" style="657" customWidth="1"/>
    <col min="300" max="300" width="24.5703125" style="657" customWidth="1"/>
    <col min="301" max="301" width="29" style="657" customWidth="1"/>
    <col min="302" max="302" width="17.7109375" style="657" customWidth="1"/>
    <col min="303" max="303" width="36.42578125" style="657" customWidth="1"/>
    <col min="304" max="304" width="21.85546875" style="657" customWidth="1"/>
    <col min="305" max="305" width="11.7109375" style="657" customWidth="1"/>
    <col min="306" max="306" width="26.28515625" style="657" customWidth="1"/>
    <col min="307" max="307" width="9" style="657" customWidth="1"/>
    <col min="308" max="308" width="6.28515625" style="657" customWidth="1"/>
    <col min="309" max="310" width="7.28515625" style="657" customWidth="1"/>
    <col min="311" max="311" width="8.42578125" style="657" customWidth="1"/>
    <col min="312" max="312" width="9.5703125" style="657" customWidth="1"/>
    <col min="313" max="313" width="6.28515625" style="657" customWidth="1"/>
    <col min="314" max="314" width="5.85546875" style="657" customWidth="1"/>
    <col min="315" max="316" width="4.42578125" style="657" customWidth="1"/>
    <col min="317" max="317" width="5" style="657" customWidth="1"/>
    <col min="318" max="318" width="5.85546875" style="657" customWidth="1"/>
    <col min="319" max="319" width="6.140625" style="657" customWidth="1"/>
    <col min="320" max="320" width="6.28515625" style="657" customWidth="1"/>
    <col min="321" max="321" width="11.140625" style="657" customWidth="1"/>
    <col min="322" max="322" width="14.140625" style="657" customWidth="1"/>
    <col min="323" max="323" width="19.85546875" style="657" customWidth="1"/>
    <col min="324" max="324" width="17" style="657" customWidth="1"/>
    <col min="325" max="325" width="20.85546875" style="657" customWidth="1"/>
    <col min="326" max="538" width="11.42578125" style="657"/>
    <col min="539" max="539" width="13.140625" style="657" customWidth="1"/>
    <col min="540" max="540" width="4" style="657" customWidth="1"/>
    <col min="541" max="541" width="12.85546875" style="657" customWidth="1"/>
    <col min="542" max="542" width="14.7109375" style="657" customWidth="1"/>
    <col min="543" max="543" width="10" style="657" customWidth="1"/>
    <col min="544" max="544" width="6.28515625" style="657" customWidth="1"/>
    <col min="545" max="545" width="12.28515625" style="657" customWidth="1"/>
    <col min="546" max="546" width="8.5703125" style="657" customWidth="1"/>
    <col min="547" max="547" width="13.7109375" style="657" customWidth="1"/>
    <col min="548" max="548" width="11.5703125" style="657" customWidth="1"/>
    <col min="549" max="549" width="34.28515625" style="657" customWidth="1"/>
    <col min="550" max="550" width="24.28515625" style="657" customWidth="1"/>
    <col min="551" max="551" width="21.140625" style="657" customWidth="1"/>
    <col min="552" max="552" width="22.140625" style="657" customWidth="1"/>
    <col min="553" max="553" width="8" style="657" customWidth="1"/>
    <col min="554" max="554" width="17" style="657" customWidth="1"/>
    <col min="555" max="555" width="12.7109375" style="657" customWidth="1"/>
    <col min="556" max="556" width="24.5703125" style="657" customWidth="1"/>
    <col min="557" max="557" width="29" style="657" customWidth="1"/>
    <col min="558" max="558" width="17.7109375" style="657" customWidth="1"/>
    <col min="559" max="559" width="36.42578125" style="657" customWidth="1"/>
    <col min="560" max="560" width="21.85546875" style="657" customWidth="1"/>
    <col min="561" max="561" width="11.7109375" style="657" customWidth="1"/>
    <col min="562" max="562" width="26.28515625" style="657" customWidth="1"/>
    <col min="563" max="563" width="9" style="657" customWidth="1"/>
    <col min="564" max="564" width="6.28515625" style="657" customWidth="1"/>
    <col min="565" max="566" width="7.28515625" style="657" customWidth="1"/>
    <col min="567" max="567" width="8.42578125" style="657" customWidth="1"/>
    <col min="568" max="568" width="9.5703125" style="657" customWidth="1"/>
    <col min="569" max="569" width="6.28515625" style="657" customWidth="1"/>
    <col min="570" max="570" width="5.85546875" style="657" customWidth="1"/>
    <col min="571" max="572" width="4.42578125" style="657" customWidth="1"/>
    <col min="573" max="573" width="5" style="657" customWidth="1"/>
    <col min="574" max="574" width="5.85546875" style="657" customWidth="1"/>
    <col min="575" max="575" width="6.140625" style="657" customWidth="1"/>
    <col min="576" max="576" width="6.28515625" style="657" customWidth="1"/>
    <col min="577" max="577" width="11.140625" style="657" customWidth="1"/>
    <col min="578" max="578" width="14.140625" style="657" customWidth="1"/>
    <col min="579" max="579" width="19.85546875" style="657" customWidth="1"/>
    <col min="580" max="580" width="17" style="657" customWidth="1"/>
    <col min="581" max="581" width="20.85546875" style="657" customWidth="1"/>
    <col min="582" max="794" width="11.42578125" style="657"/>
    <col min="795" max="795" width="13.140625" style="657" customWidth="1"/>
    <col min="796" max="796" width="4" style="657" customWidth="1"/>
    <col min="797" max="797" width="12.85546875" style="657" customWidth="1"/>
    <col min="798" max="798" width="14.7109375" style="657" customWidth="1"/>
    <col min="799" max="799" width="10" style="657" customWidth="1"/>
    <col min="800" max="800" width="6.28515625" style="657" customWidth="1"/>
    <col min="801" max="801" width="12.28515625" style="657" customWidth="1"/>
    <col min="802" max="802" width="8.5703125" style="657" customWidth="1"/>
    <col min="803" max="803" width="13.7109375" style="657" customWidth="1"/>
    <col min="804" max="804" width="11.5703125" style="657" customWidth="1"/>
    <col min="805" max="805" width="34.28515625" style="657" customWidth="1"/>
    <col min="806" max="806" width="24.28515625" style="657" customWidth="1"/>
    <col min="807" max="807" width="21.140625" style="657" customWidth="1"/>
    <col min="808" max="808" width="22.140625" style="657" customWidth="1"/>
    <col min="809" max="809" width="8" style="657" customWidth="1"/>
    <col min="810" max="810" width="17" style="657" customWidth="1"/>
    <col min="811" max="811" width="12.7109375" style="657" customWidth="1"/>
    <col min="812" max="812" width="24.5703125" style="657" customWidth="1"/>
    <col min="813" max="813" width="29" style="657" customWidth="1"/>
    <col min="814" max="814" width="17.7109375" style="657" customWidth="1"/>
    <col min="815" max="815" width="36.42578125" style="657" customWidth="1"/>
    <col min="816" max="816" width="21.85546875" style="657" customWidth="1"/>
    <col min="817" max="817" width="11.7109375" style="657" customWidth="1"/>
    <col min="818" max="818" width="26.28515625" style="657" customWidth="1"/>
    <col min="819" max="819" width="9" style="657" customWidth="1"/>
    <col min="820" max="820" width="6.28515625" style="657" customWidth="1"/>
    <col min="821" max="822" width="7.28515625" style="657" customWidth="1"/>
    <col min="823" max="823" width="8.42578125" style="657" customWidth="1"/>
    <col min="824" max="824" width="9.5703125" style="657" customWidth="1"/>
    <col min="825" max="825" width="6.28515625" style="657" customWidth="1"/>
    <col min="826" max="826" width="5.85546875" style="657" customWidth="1"/>
    <col min="827" max="828" width="4.42578125" style="657" customWidth="1"/>
    <col min="829" max="829" width="5" style="657" customWidth="1"/>
    <col min="830" max="830" width="5.85546875" style="657" customWidth="1"/>
    <col min="831" max="831" width="6.140625" style="657" customWidth="1"/>
    <col min="832" max="832" width="6.28515625" style="657" customWidth="1"/>
    <col min="833" max="833" width="11.140625" style="657" customWidth="1"/>
    <col min="834" max="834" width="14.140625" style="657" customWidth="1"/>
    <col min="835" max="835" width="19.85546875" style="657" customWidth="1"/>
    <col min="836" max="836" width="17" style="657" customWidth="1"/>
    <col min="837" max="837" width="20.85546875" style="657" customWidth="1"/>
    <col min="838" max="1050" width="11.42578125" style="657"/>
    <col min="1051" max="1051" width="13.140625" style="657" customWidth="1"/>
    <col min="1052" max="1052" width="4" style="657" customWidth="1"/>
    <col min="1053" max="1053" width="12.85546875" style="657" customWidth="1"/>
    <col min="1054" max="1054" width="14.7109375" style="657" customWidth="1"/>
    <col min="1055" max="1055" width="10" style="657" customWidth="1"/>
    <col min="1056" max="1056" width="6.28515625" style="657" customWidth="1"/>
    <col min="1057" max="1057" width="12.28515625" style="657" customWidth="1"/>
    <col min="1058" max="1058" width="8.5703125" style="657" customWidth="1"/>
    <col min="1059" max="1059" width="13.7109375" style="657" customWidth="1"/>
    <col min="1060" max="1060" width="11.5703125" style="657" customWidth="1"/>
    <col min="1061" max="1061" width="34.28515625" style="657" customWidth="1"/>
    <col min="1062" max="1062" width="24.28515625" style="657" customWidth="1"/>
    <col min="1063" max="1063" width="21.140625" style="657" customWidth="1"/>
    <col min="1064" max="1064" width="22.140625" style="657" customWidth="1"/>
    <col min="1065" max="1065" width="8" style="657" customWidth="1"/>
    <col min="1066" max="1066" width="17" style="657" customWidth="1"/>
    <col min="1067" max="1067" width="12.7109375" style="657" customWidth="1"/>
    <col min="1068" max="1068" width="24.5703125" style="657" customWidth="1"/>
    <col min="1069" max="1069" width="29" style="657" customWidth="1"/>
    <col min="1070" max="1070" width="17.7109375" style="657" customWidth="1"/>
    <col min="1071" max="1071" width="36.42578125" style="657" customWidth="1"/>
    <col min="1072" max="1072" width="21.85546875" style="657" customWidth="1"/>
    <col min="1073" max="1073" width="11.7109375" style="657" customWidth="1"/>
    <col min="1074" max="1074" width="26.28515625" style="657" customWidth="1"/>
    <col min="1075" max="1075" width="9" style="657" customWidth="1"/>
    <col min="1076" max="1076" width="6.28515625" style="657" customWidth="1"/>
    <col min="1077" max="1078" width="7.28515625" style="657" customWidth="1"/>
    <col min="1079" max="1079" width="8.42578125" style="657" customWidth="1"/>
    <col min="1080" max="1080" width="9.5703125" style="657" customWidth="1"/>
    <col min="1081" max="1081" width="6.28515625" style="657" customWidth="1"/>
    <col min="1082" max="1082" width="5.85546875" style="657" customWidth="1"/>
    <col min="1083" max="1084" width="4.42578125" style="657" customWidth="1"/>
    <col min="1085" max="1085" width="5" style="657" customWidth="1"/>
    <col min="1086" max="1086" width="5.85546875" style="657" customWidth="1"/>
    <col min="1087" max="1087" width="6.140625" style="657" customWidth="1"/>
    <col min="1088" max="1088" width="6.28515625" style="657" customWidth="1"/>
    <col min="1089" max="1089" width="11.140625" style="657" customWidth="1"/>
    <col min="1090" max="1090" width="14.140625" style="657" customWidth="1"/>
    <col min="1091" max="1091" width="19.85546875" style="657" customWidth="1"/>
    <col min="1092" max="1092" width="17" style="657" customWidth="1"/>
    <col min="1093" max="1093" width="20.85546875" style="657" customWidth="1"/>
    <col min="1094" max="1306" width="11.42578125" style="657"/>
    <col min="1307" max="1307" width="13.140625" style="657" customWidth="1"/>
    <col min="1308" max="1308" width="4" style="657" customWidth="1"/>
    <col min="1309" max="1309" width="12.85546875" style="657" customWidth="1"/>
    <col min="1310" max="1310" width="14.7109375" style="657" customWidth="1"/>
    <col min="1311" max="1311" width="10" style="657" customWidth="1"/>
    <col min="1312" max="1312" width="6.28515625" style="657" customWidth="1"/>
    <col min="1313" max="1313" width="12.28515625" style="657" customWidth="1"/>
    <col min="1314" max="1314" width="8.5703125" style="657" customWidth="1"/>
    <col min="1315" max="1315" width="13.7109375" style="657" customWidth="1"/>
    <col min="1316" max="1316" width="11.5703125" style="657" customWidth="1"/>
    <col min="1317" max="1317" width="34.28515625" style="657" customWidth="1"/>
    <col min="1318" max="1318" width="24.28515625" style="657" customWidth="1"/>
    <col min="1319" max="1319" width="21.140625" style="657" customWidth="1"/>
    <col min="1320" max="1320" width="22.140625" style="657" customWidth="1"/>
    <col min="1321" max="1321" width="8" style="657" customWidth="1"/>
    <col min="1322" max="1322" width="17" style="657" customWidth="1"/>
    <col min="1323" max="1323" width="12.7109375" style="657" customWidth="1"/>
    <col min="1324" max="1324" width="24.5703125" style="657" customWidth="1"/>
    <col min="1325" max="1325" width="29" style="657" customWidth="1"/>
    <col min="1326" max="1326" width="17.7109375" style="657" customWidth="1"/>
    <col min="1327" max="1327" width="36.42578125" style="657" customWidth="1"/>
    <col min="1328" max="1328" width="21.85546875" style="657" customWidth="1"/>
    <col min="1329" max="1329" width="11.7109375" style="657" customWidth="1"/>
    <col min="1330" max="1330" width="26.28515625" style="657" customWidth="1"/>
    <col min="1331" max="1331" width="9" style="657" customWidth="1"/>
    <col min="1332" max="1332" width="6.28515625" style="657" customWidth="1"/>
    <col min="1333" max="1334" width="7.28515625" style="657" customWidth="1"/>
    <col min="1335" max="1335" width="8.42578125" style="657" customWidth="1"/>
    <col min="1336" max="1336" width="9.5703125" style="657" customWidth="1"/>
    <col min="1337" max="1337" width="6.28515625" style="657" customWidth="1"/>
    <col min="1338" max="1338" width="5.85546875" style="657" customWidth="1"/>
    <col min="1339" max="1340" width="4.42578125" style="657" customWidth="1"/>
    <col min="1341" max="1341" width="5" style="657" customWidth="1"/>
    <col min="1342" max="1342" width="5.85546875" style="657" customWidth="1"/>
    <col min="1343" max="1343" width="6.140625" style="657" customWidth="1"/>
    <col min="1344" max="1344" width="6.28515625" style="657" customWidth="1"/>
    <col min="1345" max="1345" width="11.140625" style="657" customWidth="1"/>
    <col min="1346" max="1346" width="14.140625" style="657" customWidth="1"/>
    <col min="1347" max="1347" width="19.85546875" style="657" customWidth="1"/>
    <col min="1348" max="1348" width="17" style="657" customWidth="1"/>
    <col min="1349" max="1349" width="20.85546875" style="657" customWidth="1"/>
    <col min="1350" max="1562" width="11.42578125" style="657"/>
    <col min="1563" max="1563" width="13.140625" style="657" customWidth="1"/>
    <col min="1564" max="1564" width="4" style="657" customWidth="1"/>
    <col min="1565" max="1565" width="12.85546875" style="657" customWidth="1"/>
    <col min="1566" max="1566" width="14.7109375" style="657" customWidth="1"/>
    <col min="1567" max="1567" width="10" style="657" customWidth="1"/>
    <col min="1568" max="1568" width="6.28515625" style="657" customWidth="1"/>
    <col min="1569" max="1569" width="12.28515625" style="657" customWidth="1"/>
    <col min="1570" max="1570" width="8.5703125" style="657" customWidth="1"/>
    <col min="1571" max="1571" width="13.7109375" style="657" customWidth="1"/>
    <col min="1572" max="1572" width="11.5703125" style="657" customWidth="1"/>
    <col min="1573" max="1573" width="34.28515625" style="657" customWidth="1"/>
    <col min="1574" max="1574" width="24.28515625" style="657" customWidth="1"/>
    <col min="1575" max="1575" width="21.140625" style="657" customWidth="1"/>
    <col min="1576" max="1576" width="22.140625" style="657" customWidth="1"/>
    <col min="1577" max="1577" width="8" style="657" customWidth="1"/>
    <col min="1578" max="1578" width="17" style="657" customWidth="1"/>
    <col min="1579" max="1579" width="12.7109375" style="657" customWidth="1"/>
    <col min="1580" max="1580" width="24.5703125" style="657" customWidth="1"/>
    <col min="1581" max="1581" width="29" style="657" customWidth="1"/>
    <col min="1582" max="1582" width="17.7109375" style="657" customWidth="1"/>
    <col min="1583" max="1583" width="36.42578125" style="657" customWidth="1"/>
    <col min="1584" max="1584" width="21.85546875" style="657" customWidth="1"/>
    <col min="1585" max="1585" width="11.7109375" style="657" customWidth="1"/>
    <col min="1586" max="1586" width="26.28515625" style="657" customWidth="1"/>
    <col min="1587" max="1587" width="9" style="657" customWidth="1"/>
    <col min="1588" max="1588" width="6.28515625" style="657" customWidth="1"/>
    <col min="1589" max="1590" width="7.28515625" style="657" customWidth="1"/>
    <col min="1591" max="1591" width="8.42578125" style="657" customWidth="1"/>
    <col min="1592" max="1592" width="9.5703125" style="657" customWidth="1"/>
    <col min="1593" max="1593" width="6.28515625" style="657" customWidth="1"/>
    <col min="1594" max="1594" width="5.85546875" style="657" customWidth="1"/>
    <col min="1595" max="1596" width="4.42578125" style="657" customWidth="1"/>
    <col min="1597" max="1597" width="5" style="657" customWidth="1"/>
    <col min="1598" max="1598" width="5.85546875" style="657" customWidth="1"/>
    <col min="1599" max="1599" width="6.140625" style="657" customWidth="1"/>
    <col min="1600" max="1600" width="6.28515625" style="657" customWidth="1"/>
    <col min="1601" max="1601" width="11.140625" style="657" customWidth="1"/>
    <col min="1602" max="1602" width="14.140625" style="657" customWidth="1"/>
    <col min="1603" max="1603" width="19.85546875" style="657" customWidth="1"/>
    <col min="1604" max="1604" width="17" style="657" customWidth="1"/>
    <col min="1605" max="1605" width="20.85546875" style="657" customWidth="1"/>
    <col min="1606" max="1818" width="11.42578125" style="657"/>
    <col min="1819" max="1819" width="13.140625" style="657" customWidth="1"/>
    <col min="1820" max="1820" width="4" style="657" customWidth="1"/>
    <col min="1821" max="1821" width="12.85546875" style="657" customWidth="1"/>
    <col min="1822" max="1822" width="14.7109375" style="657" customWidth="1"/>
    <col min="1823" max="1823" width="10" style="657" customWidth="1"/>
    <col min="1824" max="1824" width="6.28515625" style="657" customWidth="1"/>
    <col min="1825" max="1825" width="12.28515625" style="657" customWidth="1"/>
    <col min="1826" max="1826" width="8.5703125" style="657" customWidth="1"/>
    <col min="1827" max="1827" width="13.7109375" style="657" customWidth="1"/>
    <col min="1828" max="1828" width="11.5703125" style="657" customWidth="1"/>
    <col min="1829" max="1829" width="34.28515625" style="657" customWidth="1"/>
    <col min="1830" max="1830" width="24.28515625" style="657" customWidth="1"/>
    <col min="1831" max="1831" width="21.140625" style="657" customWidth="1"/>
    <col min="1832" max="1832" width="22.140625" style="657" customWidth="1"/>
    <col min="1833" max="1833" width="8" style="657" customWidth="1"/>
    <col min="1834" max="1834" width="17" style="657" customWidth="1"/>
    <col min="1835" max="1835" width="12.7109375" style="657" customWidth="1"/>
    <col min="1836" max="1836" width="24.5703125" style="657" customWidth="1"/>
    <col min="1837" max="1837" width="29" style="657" customWidth="1"/>
    <col min="1838" max="1838" width="17.7109375" style="657" customWidth="1"/>
    <col min="1839" max="1839" width="36.42578125" style="657" customWidth="1"/>
    <col min="1840" max="1840" width="21.85546875" style="657" customWidth="1"/>
    <col min="1841" max="1841" width="11.7109375" style="657" customWidth="1"/>
    <col min="1842" max="1842" width="26.28515625" style="657" customWidth="1"/>
    <col min="1843" max="1843" width="9" style="657" customWidth="1"/>
    <col min="1844" max="1844" width="6.28515625" style="657" customWidth="1"/>
    <col min="1845" max="1846" width="7.28515625" style="657" customWidth="1"/>
    <col min="1847" max="1847" width="8.42578125" style="657" customWidth="1"/>
    <col min="1848" max="1848" width="9.5703125" style="657" customWidth="1"/>
    <col min="1849" max="1849" width="6.28515625" style="657" customWidth="1"/>
    <col min="1850" max="1850" width="5.85546875" style="657" customWidth="1"/>
    <col min="1851" max="1852" width="4.42578125" style="657" customWidth="1"/>
    <col min="1853" max="1853" width="5" style="657" customWidth="1"/>
    <col min="1854" max="1854" width="5.85546875" style="657" customWidth="1"/>
    <col min="1855" max="1855" width="6.140625" style="657" customWidth="1"/>
    <col min="1856" max="1856" width="6.28515625" style="657" customWidth="1"/>
    <col min="1857" max="1857" width="11.140625" style="657" customWidth="1"/>
    <col min="1858" max="1858" width="14.140625" style="657" customWidth="1"/>
    <col min="1859" max="1859" width="19.85546875" style="657" customWidth="1"/>
    <col min="1860" max="1860" width="17" style="657" customWidth="1"/>
    <col min="1861" max="1861" width="20.85546875" style="657" customWidth="1"/>
    <col min="1862" max="2074" width="11.42578125" style="657"/>
    <col min="2075" max="2075" width="13.140625" style="657" customWidth="1"/>
    <col min="2076" max="2076" width="4" style="657" customWidth="1"/>
    <col min="2077" max="2077" width="12.85546875" style="657" customWidth="1"/>
    <col min="2078" max="2078" width="14.7109375" style="657" customWidth="1"/>
    <col min="2079" max="2079" width="10" style="657" customWidth="1"/>
    <col min="2080" max="2080" width="6.28515625" style="657" customWidth="1"/>
    <col min="2081" max="2081" width="12.28515625" style="657" customWidth="1"/>
    <col min="2082" max="2082" width="8.5703125" style="657" customWidth="1"/>
    <col min="2083" max="2083" width="13.7109375" style="657" customWidth="1"/>
    <col min="2084" max="2084" width="11.5703125" style="657" customWidth="1"/>
    <col min="2085" max="2085" width="34.28515625" style="657" customWidth="1"/>
    <col min="2086" max="2086" width="24.28515625" style="657" customWidth="1"/>
    <col min="2087" max="2087" width="21.140625" style="657" customWidth="1"/>
    <col min="2088" max="2088" width="22.140625" style="657" customWidth="1"/>
    <col min="2089" max="2089" width="8" style="657" customWidth="1"/>
    <col min="2090" max="2090" width="17" style="657" customWidth="1"/>
    <col min="2091" max="2091" width="12.7109375" style="657" customWidth="1"/>
    <col min="2092" max="2092" width="24.5703125" style="657" customWidth="1"/>
    <col min="2093" max="2093" width="29" style="657" customWidth="1"/>
    <col min="2094" max="2094" width="17.7109375" style="657" customWidth="1"/>
    <col min="2095" max="2095" width="36.42578125" style="657" customWidth="1"/>
    <col min="2096" max="2096" width="21.85546875" style="657" customWidth="1"/>
    <col min="2097" max="2097" width="11.7109375" style="657" customWidth="1"/>
    <col min="2098" max="2098" width="26.28515625" style="657" customWidth="1"/>
    <col min="2099" max="2099" width="9" style="657" customWidth="1"/>
    <col min="2100" max="2100" width="6.28515625" style="657" customWidth="1"/>
    <col min="2101" max="2102" width="7.28515625" style="657" customWidth="1"/>
    <col min="2103" max="2103" width="8.42578125" style="657" customWidth="1"/>
    <col min="2104" max="2104" width="9.5703125" style="657" customWidth="1"/>
    <col min="2105" max="2105" width="6.28515625" style="657" customWidth="1"/>
    <col min="2106" max="2106" width="5.85546875" style="657" customWidth="1"/>
    <col min="2107" max="2108" width="4.42578125" style="657" customWidth="1"/>
    <col min="2109" max="2109" width="5" style="657" customWidth="1"/>
    <col min="2110" max="2110" width="5.85546875" style="657" customWidth="1"/>
    <col min="2111" max="2111" width="6.140625" style="657" customWidth="1"/>
    <col min="2112" max="2112" width="6.28515625" style="657" customWidth="1"/>
    <col min="2113" max="2113" width="11.140625" style="657" customWidth="1"/>
    <col min="2114" max="2114" width="14.140625" style="657" customWidth="1"/>
    <col min="2115" max="2115" width="19.85546875" style="657" customWidth="1"/>
    <col min="2116" max="2116" width="17" style="657" customWidth="1"/>
    <col min="2117" max="2117" width="20.85546875" style="657" customWidth="1"/>
    <col min="2118" max="2330" width="11.42578125" style="657"/>
    <col min="2331" max="2331" width="13.140625" style="657" customWidth="1"/>
    <col min="2332" max="2332" width="4" style="657" customWidth="1"/>
    <col min="2333" max="2333" width="12.85546875" style="657" customWidth="1"/>
    <col min="2334" max="2334" width="14.7109375" style="657" customWidth="1"/>
    <col min="2335" max="2335" width="10" style="657" customWidth="1"/>
    <col min="2336" max="2336" width="6.28515625" style="657" customWidth="1"/>
    <col min="2337" max="2337" width="12.28515625" style="657" customWidth="1"/>
    <col min="2338" max="2338" width="8.5703125" style="657" customWidth="1"/>
    <col min="2339" max="2339" width="13.7109375" style="657" customWidth="1"/>
    <col min="2340" max="2340" width="11.5703125" style="657" customWidth="1"/>
    <col min="2341" max="2341" width="34.28515625" style="657" customWidth="1"/>
    <col min="2342" max="2342" width="24.28515625" style="657" customWidth="1"/>
    <col min="2343" max="2343" width="21.140625" style="657" customWidth="1"/>
    <col min="2344" max="2344" width="22.140625" style="657" customWidth="1"/>
    <col min="2345" max="2345" width="8" style="657" customWidth="1"/>
    <col min="2346" max="2346" width="17" style="657" customWidth="1"/>
    <col min="2347" max="2347" width="12.7109375" style="657" customWidth="1"/>
    <col min="2348" max="2348" width="24.5703125" style="657" customWidth="1"/>
    <col min="2349" max="2349" width="29" style="657" customWidth="1"/>
    <col min="2350" max="2350" width="17.7109375" style="657" customWidth="1"/>
    <col min="2351" max="2351" width="36.42578125" style="657" customWidth="1"/>
    <col min="2352" max="2352" width="21.85546875" style="657" customWidth="1"/>
    <col min="2353" max="2353" width="11.7109375" style="657" customWidth="1"/>
    <col min="2354" max="2354" width="26.28515625" style="657" customWidth="1"/>
    <col min="2355" max="2355" width="9" style="657" customWidth="1"/>
    <col min="2356" max="2356" width="6.28515625" style="657" customWidth="1"/>
    <col min="2357" max="2358" width="7.28515625" style="657" customWidth="1"/>
    <col min="2359" max="2359" width="8.42578125" style="657" customWidth="1"/>
    <col min="2360" max="2360" width="9.5703125" style="657" customWidth="1"/>
    <col min="2361" max="2361" width="6.28515625" style="657" customWidth="1"/>
    <col min="2362" max="2362" width="5.85546875" style="657" customWidth="1"/>
    <col min="2363" max="2364" width="4.42578125" style="657" customWidth="1"/>
    <col min="2365" max="2365" width="5" style="657" customWidth="1"/>
    <col min="2366" max="2366" width="5.85546875" style="657" customWidth="1"/>
    <col min="2367" max="2367" width="6.140625" style="657" customWidth="1"/>
    <col min="2368" max="2368" width="6.28515625" style="657" customWidth="1"/>
    <col min="2369" max="2369" width="11.140625" style="657" customWidth="1"/>
    <col min="2370" max="2370" width="14.140625" style="657" customWidth="1"/>
    <col min="2371" max="2371" width="19.85546875" style="657" customWidth="1"/>
    <col min="2372" max="2372" width="17" style="657" customWidth="1"/>
    <col min="2373" max="2373" width="20.85546875" style="657" customWidth="1"/>
    <col min="2374" max="2586" width="11.42578125" style="657"/>
    <col min="2587" max="2587" width="13.140625" style="657" customWidth="1"/>
    <col min="2588" max="2588" width="4" style="657" customWidth="1"/>
    <col min="2589" max="2589" width="12.85546875" style="657" customWidth="1"/>
    <col min="2590" max="2590" width="14.7109375" style="657" customWidth="1"/>
    <col min="2591" max="2591" width="10" style="657" customWidth="1"/>
    <col min="2592" max="2592" width="6.28515625" style="657" customWidth="1"/>
    <col min="2593" max="2593" width="12.28515625" style="657" customWidth="1"/>
    <col min="2594" max="2594" width="8.5703125" style="657" customWidth="1"/>
    <col min="2595" max="2595" width="13.7109375" style="657" customWidth="1"/>
    <col min="2596" max="2596" width="11.5703125" style="657" customWidth="1"/>
    <col min="2597" max="2597" width="34.28515625" style="657" customWidth="1"/>
    <col min="2598" max="2598" width="24.28515625" style="657" customWidth="1"/>
    <col min="2599" max="2599" width="21.140625" style="657" customWidth="1"/>
    <col min="2600" max="2600" width="22.140625" style="657" customWidth="1"/>
    <col min="2601" max="2601" width="8" style="657" customWidth="1"/>
    <col min="2602" max="2602" width="17" style="657" customWidth="1"/>
    <col min="2603" max="2603" width="12.7109375" style="657" customWidth="1"/>
    <col min="2604" max="2604" width="24.5703125" style="657" customWidth="1"/>
    <col min="2605" max="2605" width="29" style="657" customWidth="1"/>
    <col min="2606" max="2606" width="17.7109375" style="657" customWidth="1"/>
    <col min="2607" max="2607" width="36.42578125" style="657" customWidth="1"/>
    <col min="2608" max="2608" width="21.85546875" style="657" customWidth="1"/>
    <col min="2609" max="2609" width="11.7109375" style="657" customWidth="1"/>
    <col min="2610" max="2610" width="26.28515625" style="657" customWidth="1"/>
    <col min="2611" max="2611" width="9" style="657" customWidth="1"/>
    <col min="2612" max="2612" width="6.28515625" style="657" customWidth="1"/>
    <col min="2613" max="2614" width="7.28515625" style="657" customWidth="1"/>
    <col min="2615" max="2615" width="8.42578125" style="657" customWidth="1"/>
    <col min="2616" max="2616" width="9.5703125" style="657" customWidth="1"/>
    <col min="2617" max="2617" width="6.28515625" style="657" customWidth="1"/>
    <col min="2618" max="2618" width="5.85546875" style="657" customWidth="1"/>
    <col min="2619" max="2620" width="4.42578125" style="657" customWidth="1"/>
    <col min="2621" max="2621" width="5" style="657" customWidth="1"/>
    <col min="2622" max="2622" width="5.85546875" style="657" customWidth="1"/>
    <col min="2623" max="2623" width="6.140625" style="657" customWidth="1"/>
    <col min="2624" max="2624" width="6.28515625" style="657" customWidth="1"/>
    <col min="2625" max="2625" width="11.140625" style="657" customWidth="1"/>
    <col min="2626" max="2626" width="14.140625" style="657" customWidth="1"/>
    <col min="2627" max="2627" width="19.85546875" style="657" customWidth="1"/>
    <col min="2628" max="2628" width="17" style="657" customWidth="1"/>
    <col min="2629" max="2629" width="20.85546875" style="657" customWidth="1"/>
    <col min="2630" max="2842" width="11.42578125" style="657"/>
    <col min="2843" max="2843" width="13.140625" style="657" customWidth="1"/>
    <col min="2844" max="2844" width="4" style="657" customWidth="1"/>
    <col min="2845" max="2845" width="12.85546875" style="657" customWidth="1"/>
    <col min="2846" max="2846" width="14.7109375" style="657" customWidth="1"/>
    <col min="2847" max="2847" width="10" style="657" customWidth="1"/>
    <col min="2848" max="2848" width="6.28515625" style="657" customWidth="1"/>
    <col min="2849" max="2849" width="12.28515625" style="657" customWidth="1"/>
    <col min="2850" max="2850" width="8.5703125" style="657" customWidth="1"/>
    <col min="2851" max="2851" width="13.7109375" style="657" customWidth="1"/>
    <col min="2852" max="2852" width="11.5703125" style="657" customWidth="1"/>
    <col min="2853" max="2853" width="34.28515625" style="657" customWidth="1"/>
    <col min="2854" max="2854" width="24.28515625" style="657" customWidth="1"/>
    <col min="2855" max="2855" width="21.140625" style="657" customWidth="1"/>
    <col min="2856" max="2856" width="22.140625" style="657" customWidth="1"/>
    <col min="2857" max="2857" width="8" style="657" customWidth="1"/>
    <col min="2858" max="2858" width="17" style="657" customWidth="1"/>
    <col min="2859" max="2859" width="12.7109375" style="657" customWidth="1"/>
    <col min="2860" max="2860" width="24.5703125" style="657" customWidth="1"/>
    <col min="2861" max="2861" width="29" style="657" customWidth="1"/>
    <col min="2862" max="2862" width="17.7109375" style="657" customWidth="1"/>
    <col min="2863" max="2863" width="36.42578125" style="657" customWidth="1"/>
    <col min="2864" max="2864" width="21.85546875" style="657" customWidth="1"/>
    <col min="2865" max="2865" width="11.7109375" style="657" customWidth="1"/>
    <col min="2866" max="2866" width="26.28515625" style="657" customWidth="1"/>
    <col min="2867" max="2867" width="9" style="657" customWidth="1"/>
    <col min="2868" max="2868" width="6.28515625" style="657" customWidth="1"/>
    <col min="2869" max="2870" width="7.28515625" style="657" customWidth="1"/>
    <col min="2871" max="2871" width="8.42578125" style="657" customWidth="1"/>
    <col min="2872" max="2872" width="9.5703125" style="657" customWidth="1"/>
    <col min="2873" max="2873" width="6.28515625" style="657" customWidth="1"/>
    <col min="2874" max="2874" width="5.85546875" style="657" customWidth="1"/>
    <col min="2875" max="2876" width="4.42578125" style="657" customWidth="1"/>
    <col min="2877" max="2877" width="5" style="657" customWidth="1"/>
    <col min="2878" max="2878" width="5.85546875" style="657" customWidth="1"/>
    <col min="2879" max="2879" width="6.140625" style="657" customWidth="1"/>
    <col min="2880" max="2880" width="6.28515625" style="657" customWidth="1"/>
    <col min="2881" max="2881" width="11.140625" style="657" customWidth="1"/>
    <col min="2882" max="2882" width="14.140625" style="657" customWidth="1"/>
    <col min="2883" max="2883" width="19.85546875" style="657" customWidth="1"/>
    <col min="2884" max="2884" width="17" style="657" customWidth="1"/>
    <col min="2885" max="2885" width="20.85546875" style="657" customWidth="1"/>
    <col min="2886" max="3098" width="11.42578125" style="657"/>
    <col min="3099" max="3099" width="13.140625" style="657" customWidth="1"/>
    <col min="3100" max="3100" width="4" style="657" customWidth="1"/>
    <col min="3101" max="3101" width="12.85546875" style="657" customWidth="1"/>
    <col min="3102" max="3102" width="14.7109375" style="657" customWidth="1"/>
    <col min="3103" max="3103" width="10" style="657" customWidth="1"/>
    <col min="3104" max="3104" width="6.28515625" style="657" customWidth="1"/>
    <col min="3105" max="3105" width="12.28515625" style="657" customWidth="1"/>
    <col min="3106" max="3106" width="8.5703125" style="657" customWidth="1"/>
    <col min="3107" max="3107" width="13.7109375" style="657" customWidth="1"/>
    <col min="3108" max="3108" width="11.5703125" style="657" customWidth="1"/>
    <col min="3109" max="3109" width="34.28515625" style="657" customWidth="1"/>
    <col min="3110" max="3110" width="24.28515625" style="657" customWidth="1"/>
    <col min="3111" max="3111" width="21.140625" style="657" customWidth="1"/>
    <col min="3112" max="3112" width="22.140625" style="657" customWidth="1"/>
    <col min="3113" max="3113" width="8" style="657" customWidth="1"/>
    <col min="3114" max="3114" width="17" style="657" customWidth="1"/>
    <col min="3115" max="3115" width="12.7109375" style="657" customWidth="1"/>
    <col min="3116" max="3116" width="24.5703125" style="657" customWidth="1"/>
    <col min="3117" max="3117" width="29" style="657" customWidth="1"/>
    <col min="3118" max="3118" width="17.7109375" style="657" customWidth="1"/>
    <col min="3119" max="3119" width="36.42578125" style="657" customWidth="1"/>
    <col min="3120" max="3120" width="21.85546875" style="657" customWidth="1"/>
    <col min="3121" max="3121" width="11.7109375" style="657" customWidth="1"/>
    <col min="3122" max="3122" width="26.28515625" style="657" customWidth="1"/>
    <col min="3123" max="3123" width="9" style="657" customWidth="1"/>
    <col min="3124" max="3124" width="6.28515625" style="657" customWidth="1"/>
    <col min="3125" max="3126" width="7.28515625" style="657" customWidth="1"/>
    <col min="3127" max="3127" width="8.42578125" style="657" customWidth="1"/>
    <col min="3128" max="3128" width="9.5703125" style="657" customWidth="1"/>
    <col min="3129" max="3129" width="6.28515625" style="657" customWidth="1"/>
    <col min="3130" max="3130" width="5.85546875" style="657" customWidth="1"/>
    <col min="3131" max="3132" width="4.42578125" style="657" customWidth="1"/>
    <col min="3133" max="3133" width="5" style="657" customWidth="1"/>
    <col min="3134" max="3134" width="5.85546875" style="657" customWidth="1"/>
    <col min="3135" max="3135" width="6.140625" style="657" customWidth="1"/>
    <col min="3136" max="3136" width="6.28515625" style="657" customWidth="1"/>
    <col min="3137" max="3137" width="11.140625" style="657" customWidth="1"/>
    <col min="3138" max="3138" width="14.140625" style="657" customWidth="1"/>
    <col min="3139" max="3139" width="19.85546875" style="657" customWidth="1"/>
    <col min="3140" max="3140" width="17" style="657" customWidth="1"/>
    <col min="3141" max="3141" width="20.85546875" style="657" customWidth="1"/>
    <col min="3142" max="3354" width="11.42578125" style="657"/>
    <col min="3355" max="3355" width="13.140625" style="657" customWidth="1"/>
    <col min="3356" max="3356" width="4" style="657" customWidth="1"/>
    <col min="3357" max="3357" width="12.85546875" style="657" customWidth="1"/>
    <col min="3358" max="3358" width="14.7109375" style="657" customWidth="1"/>
    <col min="3359" max="3359" width="10" style="657" customWidth="1"/>
    <col min="3360" max="3360" width="6.28515625" style="657" customWidth="1"/>
    <col min="3361" max="3361" width="12.28515625" style="657" customWidth="1"/>
    <col min="3362" max="3362" width="8.5703125" style="657" customWidth="1"/>
    <col min="3363" max="3363" width="13.7109375" style="657" customWidth="1"/>
    <col min="3364" max="3364" width="11.5703125" style="657" customWidth="1"/>
    <col min="3365" max="3365" width="34.28515625" style="657" customWidth="1"/>
    <col min="3366" max="3366" width="24.28515625" style="657" customWidth="1"/>
    <col min="3367" max="3367" width="21.140625" style="657" customWidth="1"/>
    <col min="3368" max="3368" width="22.140625" style="657" customWidth="1"/>
    <col min="3369" max="3369" width="8" style="657" customWidth="1"/>
    <col min="3370" max="3370" width="17" style="657" customWidth="1"/>
    <col min="3371" max="3371" width="12.7109375" style="657" customWidth="1"/>
    <col min="3372" max="3372" width="24.5703125" style="657" customWidth="1"/>
    <col min="3373" max="3373" width="29" style="657" customWidth="1"/>
    <col min="3374" max="3374" width="17.7109375" style="657" customWidth="1"/>
    <col min="3375" max="3375" width="36.42578125" style="657" customWidth="1"/>
    <col min="3376" max="3376" width="21.85546875" style="657" customWidth="1"/>
    <col min="3377" max="3377" width="11.7109375" style="657" customWidth="1"/>
    <col min="3378" max="3378" width="26.28515625" style="657" customWidth="1"/>
    <col min="3379" max="3379" width="9" style="657" customWidth="1"/>
    <col min="3380" max="3380" width="6.28515625" style="657" customWidth="1"/>
    <col min="3381" max="3382" width="7.28515625" style="657" customWidth="1"/>
    <col min="3383" max="3383" width="8.42578125" style="657" customWidth="1"/>
    <col min="3384" max="3384" width="9.5703125" style="657" customWidth="1"/>
    <col min="3385" max="3385" width="6.28515625" style="657" customWidth="1"/>
    <col min="3386" max="3386" width="5.85546875" style="657" customWidth="1"/>
    <col min="3387" max="3388" width="4.42578125" style="657" customWidth="1"/>
    <col min="3389" max="3389" width="5" style="657" customWidth="1"/>
    <col min="3390" max="3390" width="5.85546875" style="657" customWidth="1"/>
    <col min="3391" max="3391" width="6.140625" style="657" customWidth="1"/>
    <col min="3392" max="3392" width="6.28515625" style="657" customWidth="1"/>
    <col min="3393" max="3393" width="11.140625" style="657" customWidth="1"/>
    <col min="3394" max="3394" width="14.140625" style="657" customWidth="1"/>
    <col min="3395" max="3395" width="19.85546875" style="657" customWidth="1"/>
    <col min="3396" max="3396" width="17" style="657" customWidth="1"/>
    <col min="3397" max="3397" width="20.85546875" style="657" customWidth="1"/>
    <col min="3398" max="3610" width="11.42578125" style="657"/>
    <col min="3611" max="3611" width="13.140625" style="657" customWidth="1"/>
    <col min="3612" max="3612" width="4" style="657" customWidth="1"/>
    <col min="3613" max="3613" width="12.85546875" style="657" customWidth="1"/>
    <col min="3614" max="3614" width="14.7109375" style="657" customWidth="1"/>
    <col min="3615" max="3615" width="10" style="657" customWidth="1"/>
    <col min="3616" max="3616" width="6.28515625" style="657" customWidth="1"/>
    <col min="3617" max="3617" width="12.28515625" style="657" customWidth="1"/>
    <col min="3618" max="3618" width="8.5703125" style="657" customWidth="1"/>
    <col min="3619" max="3619" width="13.7109375" style="657" customWidth="1"/>
    <col min="3620" max="3620" width="11.5703125" style="657" customWidth="1"/>
    <col min="3621" max="3621" width="34.28515625" style="657" customWidth="1"/>
    <col min="3622" max="3622" width="24.28515625" style="657" customWidth="1"/>
    <col min="3623" max="3623" width="21.140625" style="657" customWidth="1"/>
    <col min="3624" max="3624" width="22.140625" style="657" customWidth="1"/>
    <col min="3625" max="3625" width="8" style="657" customWidth="1"/>
    <col min="3626" max="3626" width="17" style="657" customWidth="1"/>
    <col min="3627" max="3627" width="12.7109375" style="657" customWidth="1"/>
    <col min="3628" max="3628" width="24.5703125" style="657" customWidth="1"/>
    <col min="3629" max="3629" width="29" style="657" customWidth="1"/>
    <col min="3630" max="3630" width="17.7109375" style="657" customWidth="1"/>
    <col min="3631" max="3631" width="36.42578125" style="657" customWidth="1"/>
    <col min="3632" max="3632" width="21.85546875" style="657" customWidth="1"/>
    <col min="3633" max="3633" width="11.7109375" style="657" customWidth="1"/>
    <col min="3634" max="3634" width="26.28515625" style="657" customWidth="1"/>
    <col min="3635" max="3635" width="9" style="657" customWidth="1"/>
    <col min="3636" max="3636" width="6.28515625" style="657" customWidth="1"/>
    <col min="3637" max="3638" width="7.28515625" style="657" customWidth="1"/>
    <col min="3639" max="3639" width="8.42578125" style="657" customWidth="1"/>
    <col min="3640" max="3640" width="9.5703125" style="657" customWidth="1"/>
    <col min="3641" max="3641" width="6.28515625" style="657" customWidth="1"/>
    <col min="3642" max="3642" width="5.85546875" style="657" customWidth="1"/>
    <col min="3643" max="3644" width="4.42578125" style="657" customWidth="1"/>
    <col min="3645" max="3645" width="5" style="657" customWidth="1"/>
    <col min="3646" max="3646" width="5.85546875" style="657" customWidth="1"/>
    <col min="3647" max="3647" width="6.140625" style="657" customWidth="1"/>
    <col min="3648" max="3648" width="6.28515625" style="657" customWidth="1"/>
    <col min="3649" max="3649" width="11.140625" style="657" customWidth="1"/>
    <col min="3650" max="3650" width="14.140625" style="657" customWidth="1"/>
    <col min="3651" max="3651" width="19.85546875" style="657" customWidth="1"/>
    <col min="3652" max="3652" width="17" style="657" customWidth="1"/>
    <col min="3653" max="3653" width="20.85546875" style="657" customWidth="1"/>
    <col min="3654" max="3866" width="11.42578125" style="657"/>
    <col min="3867" max="3867" width="13.140625" style="657" customWidth="1"/>
    <col min="3868" max="3868" width="4" style="657" customWidth="1"/>
    <col min="3869" max="3869" width="12.85546875" style="657" customWidth="1"/>
    <col min="3870" max="3870" width="14.7109375" style="657" customWidth="1"/>
    <col min="3871" max="3871" width="10" style="657" customWidth="1"/>
    <col min="3872" max="3872" width="6.28515625" style="657" customWidth="1"/>
    <col min="3873" max="3873" width="12.28515625" style="657" customWidth="1"/>
    <col min="3874" max="3874" width="8.5703125" style="657" customWidth="1"/>
    <col min="3875" max="3875" width="13.7109375" style="657" customWidth="1"/>
    <col min="3876" max="3876" width="11.5703125" style="657" customWidth="1"/>
    <col min="3877" max="3877" width="34.28515625" style="657" customWidth="1"/>
    <col min="3878" max="3878" width="24.28515625" style="657" customWidth="1"/>
    <col min="3879" max="3879" width="21.140625" style="657" customWidth="1"/>
    <col min="3880" max="3880" width="22.140625" style="657" customWidth="1"/>
    <col min="3881" max="3881" width="8" style="657" customWidth="1"/>
    <col min="3882" max="3882" width="17" style="657" customWidth="1"/>
    <col min="3883" max="3883" width="12.7109375" style="657" customWidth="1"/>
    <col min="3884" max="3884" width="24.5703125" style="657" customWidth="1"/>
    <col min="3885" max="3885" width="29" style="657" customWidth="1"/>
    <col min="3886" max="3886" width="17.7109375" style="657" customWidth="1"/>
    <col min="3887" max="3887" width="36.42578125" style="657" customWidth="1"/>
    <col min="3888" max="3888" width="21.85546875" style="657" customWidth="1"/>
    <col min="3889" max="3889" width="11.7109375" style="657" customWidth="1"/>
    <col min="3890" max="3890" width="26.28515625" style="657" customWidth="1"/>
    <col min="3891" max="3891" width="9" style="657" customWidth="1"/>
    <col min="3892" max="3892" width="6.28515625" style="657" customWidth="1"/>
    <col min="3893" max="3894" width="7.28515625" style="657" customWidth="1"/>
    <col min="3895" max="3895" width="8.42578125" style="657" customWidth="1"/>
    <col min="3896" max="3896" width="9.5703125" style="657" customWidth="1"/>
    <col min="3897" max="3897" width="6.28515625" style="657" customWidth="1"/>
    <col min="3898" max="3898" width="5.85546875" style="657" customWidth="1"/>
    <col min="3899" max="3900" width="4.42578125" style="657" customWidth="1"/>
    <col min="3901" max="3901" width="5" style="657" customWidth="1"/>
    <col min="3902" max="3902" width="5.85546875" style="657" customWidth="1"/>
    <col min="3903" max="3903" width="6.140625" style="657" customWidth="1"/>
    <col min="3904" max="3904" width="6.28515625" style="657" customWidth="1"/>
    <col min="3905" max="3905" width="11.140625" style="657" customWidth="1"/>
    <col min="3906" max="3906" width="14.140625" style="657" customWidth="1"/>
    <col min="3907" max="3907" width="19.85546875" style="657" customWidth="1"/>
    <col min="3908" max="3908" width="17" style="657" customWidth="1"/>
    <col min="3909" max="3909" width="20.85546875" style="657" customWidth="1"/>
    <col min="3910" max="4122" width="11.42578125" style="657"/>
    <col min="4123" max="4123" width="13.140625" style="657" customWidth="1"/>
    <col min="4124" max="4124" width="4" style="657" customWidth="1"/>
    <col min="4125" max="4125" width="12.85546875" style="657" customWidth="1"/>
    <col min="4126" max="4126" width="14.7109375" style="657" customWidth="1"/>
    <col min="4127" max="4127" width="10" style="657" customWidth="1"/>
    <col min="4128" max="4128" width="6.28515625" style="657" customWidth="1"/>
    <col min="4129" max="4129" width="12.28515625" style="657" customWidth="1"/>
    <col min="4130" max="4130" width="8.5703125" style="657" customWidth="1"/>
    <col min="4131" max="4131" width="13.7109375" style="657" customWidth="1"/>
    <col min="4132" max="4132" width="11.5703125" style="657" customWidth="1"/>
    <col min="4133" max="4133" width="34.28515625" style="657" customWidth="1"/>
    <col min="4134" max="4134" width="24.28515625" style="657" customWidth="1"/>
    <col min="4135" max="4135" width="21.140625" style="657" customWidth="1"/>
    <col min="4136" max="4136" width="22.140625" style="657" customWidth="1"/>
    <col min="4137" max="4137" width="8" style="657" customWidth="1"/>
    <col min="4138" max="4138" width="17" style="657" customWidth="1"/>
    <col min="4139" max="4139" width="12.7109375" style="657" customWidth="1"/>
    <col min="4140" max="4140" width="24.5703125" style="657" customWidth="1"/>
    <col min="4141" max="4141" width="29" style="657" customWidth="1"/>
    <col min="4142" max="4142" width="17.7109375" style="657" customWidth="1"/>
    <col min="4143" max="4143" width="36.42578125" style="657" customWidth="1"/>
    <col min="4144" max="4144" width="21.85546875" style="657" customWidth="1"/>
    <col min="4145" max="4145" width="11.7109375" style="657" customWidth="1"/>
    <col min="4146" max="4146" width="26.28515625" style="657" customWidth="1"/>
    <col min="4147" max="4147" width="9" style="657" customWidth="1"/>
    <col min="4148" max="4148" width="6.28515625" style="657" customWidth="1"/>
    <col min="4149" max="4150" width="7.28515625" style="657" customWidth="1"/>
    <col min="4151" max="4151" width="8.42578125" style="657" customWidth="1"/>
    <col min="4152" max="4152" width="9.5703125" style="657" customWidth="1"/>
    <col min="4153" max="4153" width="6.28515625" style="657" customWidth="1"/>
    <col min="4154" max="4154" width="5.85546875" style="657" customWidth="1"/>
    <col min="4155" max="4156" width="4.42578125" style="657" customWidth="1"/>
    <col min="4157" max="4157" width="5" style="657" customWidth="1"/>
    <col min="4158" max="4158" width="5.85546875" style="657" customWidth="1"/>
    <col min="4159" max="4159" width="6.140625" style="657" customWidth="1"/>
    <col min="4160" max="4160" width="6.28515625" style="657" customWidth="1"/>
    <col min="4161" max="4161" width="11.140625" style="657" customWidth="1"/>
    <col min="4162" max="4162" width="14.140625" style="657" customWidth="1"/>
    <col min="4163" max="4163" width="19.85546875" style="657" customWidth="1"/>
    <col min="4164" max="4164" width="17" style="657" customWidth="1"/>
    <col min="4165" max="4165" width="20.85546875" style="657" customWidth="1"/>
    <col min="4166" max="4378" width="11.42578125" style="657"/>
    <col min="4379" max="4379" width="13.140625" style="657" customWidth="1"/>
    <col min="4380" max="4380" width="4" style="657" customWidth="1"/>
    <col min="4381" max="4381" width="12.85546875" style="657" customWidth="1"/>
    <col min="4382" max="4382" width="14.7109375" style="657" customWidth="1"/>
    <col min="4383" max="4383" width="10" style="657" customWidth="1"/>
    <col min="4384" max="4384" width="6.28515625" style="657" customWidth="1"/>
    <col min="4385" max="4385" width="12.28515625" style="657" customWidth="1"/>
    <col min="4386" max="4386" width="8.5703125" style="657" customWidth="1"/>
    <col min="4387" max="4387" width="13.7109375" style="657" customWidth="1"/>
    <col min="4388" max="4388" width="11.5703125" style="657" customWidth="1"/>
    <col min="4389" max="4389" width="34.28515625" style="657" customWidth="1"/>
    <col min="4390" max="4390" width="24.28515625" style="657" customWidth="1"/>
    <col min="4391" max="4391" width="21.140625" style="657" customWidth="1"/>
    <col min="4392" max="4392" width="22.140625" style="657" customWidth="1"/>
    <col min="4393" max="4393" width="8" style="657" customWidth="1"/>
    <col min="4394" max="4394" width="17" style="657" customWidth="1"/>
    <col min="4395" max="4395" width="12.7109375" style="657" customWidth="1"/>
    <col min="4396" max="4396" width="24.5703125" style="657" customWidth="1"/>
    <col min="4397" max="4397" width="29" style="657" customWidth="1"/>
    <col min="4398" max="4398" width="17.7109375" style="657" customWidth="1"/>
    <col min="4399" max="4399" width="36.42578125" style="657" customWidth="1"/>
    <col min="4400" max="4400" width="21.85546875" style="657" customWidth="1"/>
    <col min="4401" max="4401" width="11.7109375" style="657" customWidth="1"/>
    <col min="4402" max="4402" width="26.28515625" style="657" customWidth="1"/>
    <col min="4403" max="4403" width="9" style="657" customWidth="1"/>
    <col min="4404" max="4404" width="6.28515625" style="657" customWidth="1"/>
    <col min="4405" max="4406" width="7.28515625" style="657" customWidth="1"/>
    <col min="4407" max="4407" width="8.42578125" style="657" customWidth="1"/>
    <col min="4408" max="4408" width="9.5703125" style="657" customWidth="1"/>
    <col min="4409" max="4409" width="6.28515625" style="657" customWidth="1"/>
    <col min="4410" max="4410" width="5.85546875" style="657" customWidth="1"/>
    <col min="4411" max="4412" width="4.42578125" style="657" customWidth="1"/>
    <col min="4413" max="4413" width="5" style="657" customWidth="1"/>
    <col min="4414" max="4414" width="5.85546875" style="657" customWidth="1"/>
    <col min="4415" max="4415" width="6.140625" style="657" customWidth="1"/>
    <col min="4416" max="4416" width="6.28515625" style="657" customWidth="1"/>
    <col min="4417" max="4417" width="11.140625" style="657" customWidth="1"/>
    <col min="4418" max="4418" width="14.140625" style="657" customWidth="1"/>
    <col min="4419" max="4419" width="19.85546875" style="657" customWidth="1"/>
    <col min="4420" max="4420" width="17" style="657" customWidth="1"/>
    <col min="4421" max="4421" width="20.85546875" style="657" customWidth="1"/>
    <col min="4422" max="4634" width="11.42578125" style="657"/>
    <col min="4635" max="4635" width="13.140625" style="657" customWidth="1"/>
    <col min="4636" max="4636" width="4" style="657" customWidth="1"/>
    <col min="4637" max="4637" width="12.85546875" style="657" customWidth="1"/>
    <col min="4638" max="4638" width="14.7109375" style="657" customWidth="1"/>
    <col min="4639" max="4639" width="10" style="657" customWidth="1"/>
    <col min="4640" max="4640" width="6.28515625" style="657" customWidth="1"/>
    <col min="4641" max="4641" width="12.28515625" style="657" customWidth="1"/>
    <col min="4642" max="4642" width="8.5703125" style="657" customWidth="1"/>
    <col min="4643" max="4643" width="13.7109375" style="657" customWidth="1"/>
    <col min="4644" max="4644" width="11.5703125" style="657" customWidth="1"/>
    <col min="4645" max="4645" width="34.28515625" style="657" customWidth="1"/>
    <col min="4646" max="4646" width="24.28515625" style="657" customWidth="1"/>
    <col min="4647" max="4647" width="21.140625" style="657" customWidth="1"/>
    <col min="4648" max="4648" width="22.140625" style="657" customWidth="1"/>
    <col min="4649" max="4649" width="8" style="657" customWidth="1"/>
    <col min="4650" max="4650" width="17" style="657" customWidth="1"/>
    <col min="4651" max="4651" width="12.7109375" style="657" customWidth="1"/>
    <col min="4652" max="4652" width="24.5703125" style="657" customWidth="1"/>
    <col min="4653" max="4653" width="29" style="657" customWidth="1"/>
    <col min="4654" max="4654" width="17.7109375" style="657" customWidth="1"/>
    <col min="4655" max="4655" width="36.42578125" style="657" customWidth="1"/>
    <col min="4656" max="4656" width="21.85546875" style="657" customWidth="1"/>
    <col min="4657" max="4657" width="11.7109375" style="657" customWidth="1"/>
    <col min="4658" max="4658" width="26.28515625" style="657" customWidth="1"/>
    <col min="4659" max="4659" width="9" style="657" customWidth="1"/>
    <col min="4660" max="4660" width="6.28515625" style="657" customWidth="1"/>
    <col min="4661" max="4662" width="7.28515625" style="657" customWidth="1"/>
    <col min="4663" max="4663" width="8.42578125" style="657" customWidth="1"/>
    <col min="4664" max="4664" width="9.5703125" style="657" customWidth="1"/>
    <col min="4665" max="4665" width="6.28515625" style="657" customWidth="1"/>
    <col min="4666" max="4666" width="5.85546875" style="657" customWidth="1"/>
    <col min="4667" max="4668" width="4.42578125" style="657" customWidth="1"/>
    <col min="4669" max="4669" width="5" style="657" customWidth="1"/>
    <col min="4670" max="4670" width="5.85546875" style="657" customWidth="1"/>
    <col min="4671" max="4671" width="6.140625" style="657" customWidth="1"/>
    <col min="4672" max="4672" width="6.28515625" style="657" customWidth="1"/>
    <col min="4673" max="4673" width="11.140625" style="657" customWidth="1"/>
    <col min="4674" max="4674" width="14.140625" style="657" customWidth="1"/>
    <col min="4675" max="4675" width="19.85546875" style="657" customWidth="1"/>
    <col min="4676" max="4676" width="17" style="657" customWidth="1"/>
    <col min="4677" max="4677" width="20.85546875" style="657" customWidth="1"/>
    <col min="4678" max="4890" width="11.42578125" style="657"/>
    <col min="4891" max="4891" width="13.140625" style="657" customWidth="1"/>
    <col min="4892" max="4892" width="4" style="657" customWidth="1"/>
    <col min="4893" max="4893" width="12.85546875" style="657" customWidth="1"/>
    <col min="4894" max="4894" width="14.7109375" style="657" customWidth="1"/>
    <col min="4895" max="4895" width="10" style="657" customWidth="1"/>
    <col min="4896" max="4896" width="6.28515625" style="657" customWidth="1"/>
    <col min="4897" max="4897" width="12.28515625" style="657" customWidth="1"/>
    <col min="4898" max="4898" width="8.5703125" style="657" customWidth="1"/>
    <col min="4899" max="4899" width="13.7109375" style="657" customWidth="1"/>
    <col min="4900" max="4900" width="11.5703125" style="657" customWidth="1"/>
    <col min="4901" max="4901" width="34.28515625" style="657" customWidth="1"/>
    <col min="4902" max="4902" width="24.28515625" style="657" customWidth="1"/>
    <col min="4903" max="4903" width="21.140625" style="657" customWidth="1"/>
    <col min="4904" max="4904" width="22.140625" style="657" customWidth="1"/>
    <col min="4905" max="4905" width="8" style="657" customWidth="1"/>
    <col min="4906" max="4906" width="17" style="657" customWidth="1"/>
    <col min="4907" max="4907" width="12.7109375" style="657" customWidth="1"/>
    <col min="4908" max="4908" width="24.5703125" style="657" customWidth="1"/>
    <col min="4909" max="4909" width="29" style="657" customWidth="1"/>
    <col min="4910" max="4910" width="17.7109375" style="657" customWidth="1"/>
    <col min="4911" max="4911" width="36.42578125" style="657" customWidth="1"/>
    <col min="4912" max="4912" width="21.85546875" style="657" customWidth="1"/>
    <col min="4913" max="4913" width="11.7109375" style="657" customWidth="1"/>
    <col min="4914" max="4914" width="26.28515625" style="657" customWidth="1"/>
    <col min="4915" max="4915" width="9" style="657" customWidth="1"/>
    <col min="4916" max="4916" width="6.28515625" style="657" customWidth="1"/>
    <col min="4917" max="4918" width="7.28515625" style="657" customWidth="1"/>
    <col min="4919" max="4919" width="8.42578125" style="657" customWidth="1"/>
    <col min="4920" max="4920" width="9.5703125" style="657" customWidth="1"/>
    <col min="4921" max="4921" width="6.28515625" style="657" customWidth="1"/>
    <col min="4922" max="4922" width="5.85546875" style="657" customWidth="1"/>
    <col min="4923" max="4924" width="4.42578125" style="657" customWidth="1"/>
    <col min="4925" max="4925" width="5" style="657" customWidth="1"/>
    <col min="4926" max="4926" width="5.85546875" style="657" customWidth="1"/>
    <col min="4927" max="4927" width="6.140625" style="657" customWidth="1"/>
    <col min="4928" max="4928" width="6.28515625" style="657" customWidth="1"/>
    <col min="4929" max="4929" width="11.140625" style="657" customWidth="1"/>
    <col min="4930" max="4930" width="14.140625" style="657" customWidth="1"/>
    <col min="4931" max="4931" width="19.85546875" style="657" customWidth="1"/>
    <col min="4932" max="4932" width="17" style="657" customWidth="1"/>
    <col min="4933" max="4933" width="20.85546875" style="657" customWidth="1"/>
    <col min="4934" max="5146" width="11.42578125" style="657"/>
    <col min="5147" max="5147" width="13.140625" style="657" customWidth="1"/>
    <col min="5148" max="5148" width="4" style="657" customWidth="1"/>
    <col min="5149" max="5149" width="12.85546875" style="657" customWidth="1"/>
    <col min="5150" max="5150" width="14.7109375" style="657" customWidth="1"/>
    <col min="5151" max="5151" width="10" style="657" customWidth="1"/>
    <col min="5152" max="5152" width="6.28515625" style="657" customWidth="1"/>
    <col min="5153" max="5153" width="12.28515625" style="657" customWidth="1"/>
    <col min="5154" max="5154" width="8.5703125" style="657" customWidth="1"/>
    <col min="5155" max="5155" width="13.7109375" style="657" customWidth="1"/>
    <col min="5156" max="5156" width="11.5703125" style="657" customWidth="1"/>
    <col min="5157" max="5157" width="34.28515625" style="657" customWidth="1"/>
    <col min="5158" max="5158" width="24.28515625" style="657" customWidth="1"/>
    <col min="5159" max="5159" width="21.140625" style="657" customWidth="1"/>
    <col min="5160" max="5160" width="22.140625" style="657" customWidth="1"/>
    <col min="5161" max="5161" width="8" style="657" customWidth="1"/>
    <col min="5162" max="5162" width="17" style="657" customWidth="1"/>
    <col min="5163" max="5163" width="12.7109375" style="657" customWidth="1"/>
    <col min="5164" max="5164" width="24.5703125" style="657" customWidth="1"/>
    <col min="5165" max="5165" width="29" style="657" customWidth="1"/>
    <col min="5166" max="5166" width="17.7109375" style="657" customWidth="1"/>
    <col min="5167" max="5167" width="36.42578125" style="657" customWidth="1"/>
    <col min="5168" max="5168" width="21.85546875" style="657" customWidth="1"/>
    <col min="5169" max="5169" width="11.7109375" style="657" customWidth="1"/>
    <col min="5170" max="5170" width="26.28515625" style="657" customWidth="1"/>
    <col min="5171" max="5171" width="9" style="657" customWidth="1"/>
    <col min="5172" max="5172" width="6.28515625" style="657" customWidth="1"/>
    <col min="5173" max="5174" width="7.28515625" style="657" customWidth="1"/>
    <col min="5175" max="5175" width="8.42578125" style="657" customWidth="1"/>
    <col min="5176" max="5176" width="9.5703125" style="657" customWidth="1"/>
    <col min="5177" max="5177" width="6.28515625" style="657" customWidth="1"/>
    <col min="5178" max="5178" width="5.85546875" style="657" customWidth="1"/>
    <col min="5179" max="5180" width="4.42578125" style="657" customWidth="1"/>
    <col min="5181" max="5181" width="5" style="657" customWidth="1"/>
    <col min="5182" max="5182" width="5.85546875" style="657" customWidth="1"/>
    <col min="5183" max="5183" width="6.140625" style="657" customWidth="1"/>
    <col min="5184" max="5184" width="6.28515625" style="657" customWidth="1"/>
    <col min="5185" max="5185" width="11.140625" style="657" customWidth="1"/>
    <col min="5186" max="5186" width="14.140625" style="657" customWidth="1"/>
    <col min="5187" max="5187" width="19.85546875" style="657" customWidth="1"/>
    <col min="5188" max="5188" width="17" style="657" customWidth="1"/>
    <col min="5189" max="5189" width="20.85546875" style="657" customWidth="1"/>
    <col min="5190" max="5402" width="11.42578125" style="657"/>
    <col min="5403" max="5403" width="13.140625" style="657" customWidth="1"/>
    <col min="5404" max="5404" width="4" style="657" customWidth="1"/>
    <col min="5405" max="5405" width="12.85546875" style="657" customWidth="1"/>
    <col min="5406" max="5406" width="14.7109375" style="657" customWidth="1"/>
    <col min="5407" max="5407" width="10" style="657" customWidth="1"/>
    <col min="5408" max="5408" width="6.28515625" style="657" customWidth="1"/>
    <col min="5409" max="5409" width="12.28515625" style="657" customWidth="1"/>
    <col min="5410" max="5410" width="8.5703125" style="657" customWidth="1"/>
    <col min="5411" max="5411" width="13.7109375" style="657" customWidth="1"/>
    <col min="5412" max="5412" width="11.5703125" style="657" customWidth="1"/>
    <col min="5413" max="5413" width="34.28515625" style="657" customWidth="1"/>
    <col min="5414" max="5414" width="24.28515625" style="657" customWidth="1"/>
    <col min="5415" max="5415" width="21.140625" style="657" customWidth="1"/>
    <col min="5416" max="5416" width="22.140625" style="657" customWidth="1"/>
    <col min="5417" max="5417" width="8" style="657" customWidth="1"/>
    <col min="5418" max="5418" width="17" style="657" customWidth="1"/>
    <col min="5419" max="5419" width="12.7109375" style="657" customWidth="1"/>
    <col min="5420" max="5420" width="24.5703125" style="657" customWidth="1"/>
    <col min="5421" max="5421" width="29" style="657" customWidth="1"/>
    <col min="5422" max="5422" width="17.7109375" style="657" customWidth="1"/>
    <col min="5423" max="5423" width="36.42578125" style="657" customWidth="1"/>
    <col min="5424" max="5424" width="21.85546875" style="657" customWidth="1"/>
    <col min="5425" max="5425" width="11.7109375" style="657" customWidth="1"/>
    <col min="5426" max="5426" width="26.28515625" style="657" customWidth="1"/>
    <col min="5427" max="5427" width="9" style="657" customWidth="1"/>
    <col min="5428" max="5428" width="6.28515625" style="657" customWidth="1"/>
    <col min="5429" max="5430" width="7.28515625" style="657" customWidth="1"/>
    <col min="5431" max="5431" width="8.42578125" style="657" customWidth="1"/>
    <col min="5432" max="5432" width="9.5703125" style="657" customWidth="1"/>
    <col min="5433" max="5433" width="6.28515625" style="657" customWidth="1"/>
    <col min="5434" max="5434" width="5.85546875" style="657" customWidth="1"/>
    <col min="5435" max="5436" width="4.42578125" style="657" customWidth="1"/>
    <col min="5437" max="5437" width="5" style="657" customWidth="1"/>
    <col min="5438" max="5438" width="5.85546875" style="657" customWidth="1"/>
    <col min="5439" max="5439" width="6.140625" style="657" customWidth="1"/>
    <col min="5440" max="5440" width="6.28515625" style="657" customWidth="1"/>
    <col min="5441" max="5441" width="11.140625" style="657" customWidth="1"/>
    <col min="5442" max="5442" width="14.140625" style="657" customWidth="1"/>
    <col min="5443" max="5443" width="19.85546875" style="657" customWidth="1"/>
    <col min="5444" max="5444" width="17" style="657" customWidth="1"/>
    <col min="5445" max="5445" width="20.85546875" style="657" customWidth="1"/>
    <col min="5446" max="5658" width="11.42578125" style="657"/>
    <col min="5659" max="5659" width="13.140625" style="657" customWidth="1"/>
    <col min="5660" max="5660" width="4" style="657" customWidth="1"/>
    <col min="5661" max="5661" width="12.85546875" style="657" customWidth="1"/>
    <col min="5662" max="5662" width="14.7109375" style="657" customWidth="1"/>
    <col min="5663" max="5663" width="10" style="657" customWidth="1"/>
    <col min="5664" max="5664" width="6.28515625" style="657" customWidth="1"/>
    <col min="5665" max="5665" width="12.28515625" style="657" customWidth="1"/>
    <col min="5666" max="5666" width="8.5703125" style="657" customWidth="1"/>
    <col min="5667" max="5667" width="13.7109375" style="657" customWidth="1"/>
    <col min="5668" max="5668" width="11.5703125" style="657" customWidth="1"/>
    <col min="5669" max="5669" width="34.28515625" style="657" customWidth="1"/>
    <col min="5670" max="5670" width="24.28515625" style="657" customWidth="1"/>
    <col min="5671" max="5671" width="21.140625" style="657" customWidth="1"/>
    <col min="5672" max="5672" width="22.140625" style="657" customWidth="1"/>
    <col min="5673" max="5673" width="8" style="657" customWidth="1"/>
    <col min="5674" max="5674" width="17" style="657" customWidth="1"/>
    <col min="5675" max="5675" width="12.7109375" style="657" customWidth="1"/>
    <col min="5676" max="5676" width="24.5703125" style="657" customWidth="1"/>
    <col min="5677" max="5677" width="29" style="657" customWidth="1"/>
    <col min="5678" max="5678" width="17.7109375" style="657" customWidth="1"/>
    <col min="5679" max="5679" width="36.42578125" style="657" customWidth="1"/>
    <col min="5680" max="5680" width="21.85546875" style="657" customWidth="1"/>
    <col min="5681" max="5681" width="11.7109375" style="657" customWidth="1"/>
    <col min="5682" max="5682" width="26.28515625" style="657" customWidth="1"/>
    <col min="5683" max="5683" width="9" style="657" customWidth="1"/>
    <col min="5684" max="5684" width="6.28515625" style="657" customWidth="1"/>
    <col min="5685" max="5686" width="7.28515625" style="657" customWidth="1"/>
    <col min="5687" max="5687" width="8.42578125" style="657" customWidth="1"/>
    <col min="5688" max="5688" width="9.5703125" style="657" customWidth="1"/>
    <col min="5689" max="5689" width="6.28515625" style="657" customWidth="1"/>
    <col min="5690" max="5690" width="5.85546875" style="657" customWidth="1"/>
    <col min="5691" max="5692" width="4.42578125" style="657" customWidth="1"/>
    <col min="5693" max="5693" width="5" style="657" customWidth="1"/>
    <col min="5694" max="5694" width="5.85546875" style="657" customWidth="1"/>
    <col min="5695" max="5695" width="6.140625" style="657" customWidth="1"/>
    <col min="5696" max="5696" width="6.28515625" style="657" customWidth="1"/>
    <col min="5697" max="5697" width="11.140625" style="657" customWidth="1"/>
    <col min="5698" max="5698" width="14.140625" style="657" customWidth="1"/>
    <col min="5699" max="5699" width="19.85546875" style="657" customWidth="1"/>
    <col min="5700" max="5700" width="17" style="657" customWidth="1"/>
    <col min="5701" max="5701" width="20.85546875" style="657" customWidth="1"/>
    <col min="5702" max="5914" width="11.42578125" style="657"/>
    <col min="5915" max="5915" width="13.140625" style="657" customWidth="1"/>
    <col min="5916" max="5916" width="4" style="657" customWidth="1"/>
    <col min="5917" max="5917" width="12.85546875" style="657" customWidth="1"/>
    <col min="5918" max="5918" width="14.7109375" style="657" customWidth="1"/>
    <col min="5919" max="5919" width="10" style="657" customWidth="1"/>
    <col min="5920" max="5920" width="6.28515625" style="657" customWidth="1"/>
    <col min="5921" max="5921" width="12.28515625" style="657" customWidth="1"/>
    <col min="5922" max="5922" width="8.5703125" style="657" customWidth="1"/>
    <col min="5923" max="5923" width="13.7109375" style="657" customWidth="1"/>
    <col min="5924" max="5924" width="11.5703125" style="657" customWidth="1"/>
    <col min="5925" max="5925" width="34.28515625" style="657" customWidth="1"/>
    <col min="5926" max="5926" width="24.28515625" style="657" customWidth="1"/>
    <col min="5927" max="5927" width="21.140625" style="657" customWidth="1"/>
    <col min="5928" max="5928" width="22.140625" style="657" customWidth="1"/>
    <col min="5929" max="5929" width="8" style="657" customWidth="1"/>
    <col min="5930" max="5930" width="17" style="657" customWidth="1"/>
    <col min="5931" max="5931" width="12.7109375" style="657" customWidth="1"/>
    <col min="5932" max="5932" width="24.5703125" style="657" customWidth="1"/>
    <col min="5933" max="5933" width="29" style="657" customWidth="1"/>
    <col min="5934" max="5934" width="17.7109375" style="657" customWidth="1"/>
    <col min="5935" max="5935" width="36.42578125" style="657" customWidth="1"/>
    <col min="5936" max="5936" width="21.85546875" style="657" customWidth="1"/>
    <col min="5937" max="5937" width="11.7109375" style="657" customWidth="1"/>
    <col min="5938" max="5938" width="26.28515625" style="657" customWidth="1"/>
    <col min="5939" max="5939" width="9" style="657" customWidth="1"/>
    <col min="5940" max="5940" width="6.28515625" style="657" customWidth="1"/>
    <col min="5941" max="5942" width="7.28515625" style="657" customWidth="1"/>
    <col min="5943" max="5943" width="8.42578125" style="657" customWidth="1"/>
    <col min="5944" max="5944" width="9.5703125" style="657" customWidth="1"/>
    <col min="5945" max="5945" width="6.28515625" style="657" customWidth="1"/>
    <col min="5946" max="5946" width="5.85546875" style="657" customWidth="1"/>
    <col min="5947" max="5948" width="4.42578125" style="657" customWidth="1"/>
    <col min="5949" max="5949" width="5" style="657" customWidth="1"/>
    <col min="5950" max="5950" width="5.85546875" style="657" customWidth="1"/>
    <col min="5951" max="5951" width="6.140625" style="657" customWidth="1"/>
    <col min="5952" max="5952" width="6.28515625" style="657" customWidth="1"/>
    <col min="5953" max="5953" width="11.140625" style="657" customWidth="1"/>
    <col min="5954" max="5954" width="14.140625" style="657" customWidth="1"/>
    <col min="5955" max="5955" width="19.85546875" style="657" customWidth="1"/>
    <col min="5956" max="5956" width="17" style="657" customWidth="1"/>
    <col min="5957" max="5957" width="20.85546875" style="657" customWidth="1"/>
    <col min="5958" max="6170" width="11.42578125" style="657"/>
    <col min="6171" max="6171" width="13.140625" style="657" customWidth="1"/>
    <col min="6172" max="6172" width="4" style="657" customWidth="1"/>
    <col min="6173" max="6173" width="12.85546875" style="657" customWidth="1"/>
    <col min="6174" max="6174" width="14.7109375" style="657" customWidth="1"/>
    <col min="6175" max="6175" width="10" style="657" customWidth="1"/>
    <col min="6176" max="6176" width="6.28515625" style="657" customWidth="1"/>
    <col min="6177" max="6177" width="12.28515625" style="657" customWidth="1"/>
    <col min="6178" max="6178" width="8.5703125" style="657" customWidth="1"/>
    <col min="6179" max="6179" width="13.7109375" style="657" customWidth="1"/>
    <col min="6180" max="6180" width="11.5703125" style="657" customWidth="1"/>
    <col min="6181" max="6181" width="34.28515625" style="657" customWidth="1"/>
    <col min="6182" max="6182" width="24.28515625" style="657" customWidth="1"/>
    <col min="6183" max="6183" width="21.140625" style="657" customWidth="1"/>
    <col min="6184" max="6184" width="22.140625" style="657" customWidth="1"/>
    <col min="6185" max="6185" width="8" style="657" customWidth="1"/>
    <col min="6186" max="6186" width="17" style="657" customWidth="1"/>
    <col min="6187" max="6187" width="12.7109375" style="657" customWidth="1"/>
    <col min="6188" max="6188" width="24.5703125" style="657" customWidth="1"/>
    <col min="6189" max="6189" width="29" style="657" customWidth="1"/>
    <col min="6190" max="6190" width="17.7109375" style="657" customWidth="1"/>
    <col min="6191" max="6191" width="36.42578125" style="657" customWidth="1"/>
    <col min="6192" max="6192" width="21.85546875" style="657" customWidth="1"/>
    <col min="6193" max="6193" width="11.7109375" style="657" customWidth="1"/>
    <col min="6194" max="6194" width="26.28515625" style="657" customWidth="1"/>
    <col min="6195" max="6195" width="9" style="657" customWidth="1"/>
    <col min="6196" max="6196" width="6.28515625" style="657" customWidth="1"/>
    <col min="6197" max="6198" width="7.28515625" style="657" customWidth="1"/>
    <col min="6199" max="6199" width="8.42578125" style="657" customWidth="1"/>
    <col min="6200" max="6200" width="9.5703125" style="657" customWidth="1"/>
    <col min="6201" max="6201" width="6.28515625" style="657" customWidth="1"/>
    <col min="6202" max="6202" width="5.85546875" style="657" customWidth="1"/>
    <col min="6203" max="6204" width="4.42578125" style="657" customWidth="1"/>
    <col min="6205" max="6205" width="5" style="657" customWidth="1"/>
    <col min="6206" max="6206" width="5.85546875" style="657" customWidth="1"/>
    <col min="6207" max="6207" width="6.140625" style="657" customWidth="1"/>
    <col min="6208" max="6208" width="6.28515625" style="657" customWidth="1"/>
    <col min="6209" max="6209" width="11.140625" style="657" customWidth="1"/>
    <col min="6210" max="6210" width="14.140625" style="657" customWidth="1"/>
    <col min="6211" max="6211" width="19.85546875" style="657" customWidth="1"/>
    <col min="6212" max="6212" width="17" style="657" customWidth="1"/>
    <col min="6213" max="6213" width="20.85546875" style="657" customWidth="1"/>
    <col min="6214" max="6426" width="11.42578125" style="657"/>
    <col min="6427" max="6427" width="13.140625" style="657" customWidth="1"/>
    <col min="6428" max="6428" width="4" style="657" customWidth="1"/>
    <col min="6429" max="6429" width="12.85546875" style="657" customWidth="1"/>
    <col min="6430" max="6430" width="14.7109375" style="657" customWidth="1"/>
    <col min="6431" max="6431" width="10" style="657" customWidth="1"/>
    <col min="6432" max="6432" width="6.28515625" style="657" customWidth="1"/>
    <col min="6433" max="6433" width="12.28515625" style="657" customWidth="1"/>
    <col min="6434" max="6434" width="8.5703125" style="657" customWidth="1"/>
    <col min="6435" max="6435" width="13.7109375" style="657" customWidth="1"/>
    <col min="6436" max="6436" width="11.5703125" style="657" customWidth="1"/>
    <col min="6437" max="6437" width="34.28515625" style="657" customWidth="1"/>
    <col min="6438" max="6438" width="24.28515625" style="657" customWidth="1"/>
    <col min="6439" max="6439" width="21.140625" style="657" customWidth="1"/>
    <col min="6440" max="6440" width="22.140625" style="657" customWidth="1"/>
    <col min="6441" max="6441" width="8" style="657" customWidth="1"/>
    <col min="6442" max="6442" width="17" style="657" customWidth="1"/>
    <col min="6443" max="6443" width="12.7109375" style="657" customWidth="1"/>
    <col min="6444" max="6444" width="24.5703125" style="657" customWidth="1"/>
    <col min="6445" max="6445" width="29" style="657" customWidth="1"/>
    <col min="6446" max="6446" width="17.7109375" style="657" customWidth="1"/>
    <col min="6447" max="6447" width="36.42578125" style="657" customWidth="1"/>
    <col min="6448" max="6448" width="21.85546875" style="657" customWidth="1"/>
    <col min="6449" max="6449" width="11.7109375" style="657" customWidth="1"/>
    <col min="6450" max="6450" width="26.28515625" style="657" customWidth="1"/>
    <col min="6451" max="6451" width="9" style="657" customWidth="1"/>
    <col min="6452" max="6452" width="6.28515625" style="657" customWidth="1"/>
    <col min="6453" max="6454" width="7.28515625" style="657" customWidth="1"/>
    <col min="6455" max="6455" width="8.42578125" style="657" customWidth="1"/>
    <col min="6456" max="6456" width="9.5703125" style="657" customWidth="1"/>
    <col min="6457" max="6457" width="6.28515625" style="657" customWidth="1"/>
    <col min="6458" max="6458" width="5.85546875" style="657" customWidth="1"/>
    <col min="6459" max="6460" width="4.42578125" style="657" customWidth="1"/>
    <col min="6461" max="6461" width="5" style="657" customWidth="1"/>
    <col min="6462" max="6462" width="5.85546875" style="657" customWidth="1"/>
    <col min="6463" max="6463" width="6.140625" style="657" customWidth="1"/>
    <col min="6464" max="6464" width="6.28515625" style="657" customWidth="1"/>
    <col min="6465" max="6465" width="11.140625" style="657" customWidth="1"/>
    <col min="6466" max="6466" width="14.140625" style="657" customWidth="1"/>
    <col min="6467" max="6467" width="19.85546875" style="657" customWidth="1"/>
    <col min="6468" max="6468" width="17" style="657" customWidth="1"/>
    <col min="6469" max="6469" width="20.85546875" style="657" customWidth="1"/>
    <col min="6470" max="6682" width="11.42578125" style="657"/>
    <col min="6683" max="6683" width="13.140625" style="657" customWidth="1"/>
    <col min="6684" max="6684" width="4" style="657" customWidth="1"/>
    <col min="6685" max="6685" width="12.85546875" style="657" customWidth="1"/>
    <col min="6686" max="6686" width="14.7109375" style="657" customWidth="1"/>
    <col min="6687" max="6687" width="10" style="657" customWidth="1"/>
    <col min="6688" max="6688" width="6.28515625" style="657" customWidth="1"/>
    <col min="6689" max="6689" width="12.28515625" style="657" customWidth="1"/>
    <col min="6690" max="6690" width="8.5703125" style="657" customWidth="1"/>
    <col min="6691" max="6691" width="13.7109375" style="657" customWidth="1"/>
    <col min="6692" max="6692" width="11.5703125" style="657" customWidth="1"/>
    <col min="6693" max="6693" width="34.28515625" style="657" customWidth="1"/>
    <col min="6694" max="6694" width="24.28515625" style="657" customWidth="1"/>
    <col min="6695" max="6695" width="21.140625" style="657" customWidth="1"/>
    <col min="6696" max="6696" width="22.140625" style="657" customWidth="1"/>
    <col min="6697" max="6697" width="8" style="657" customWidth="1"/>
    <col min="6698" max="6698" width="17" style="657" customWidth="1"/>
    <col min="6699" max="6699" width="12.7109375" style="657" customWidth="1"/>
    <col min="6700" max="6700" width="24.5703125" style="657" customWidth="1"/>
    <col min="6701" max="6701" width="29" style="657" customWidth="1"/>
    <col min="6702" max="6702" width="17.7109375" style="657" customWidth="1"/>
    <col min="6703" max="6703" width="36.42578125" style="657" customWidth="1"/>
    <col min="6704" max="6704" width="21.85546875" style="657" customWidth="1"/>
    <col min="6705" max="6705" width="11.7109375" style="657" customWidth="1"/>
    <col min="6706" max="6706" width="26.28515625" style="657" customWidth="1"/>
    <col min="6707" max="6707" width="9" style="657" customWidth="1"/>
    <col min="6708" max="6708" width="6.28515625" style="657" customWidth="1"/>
    <col min="6709" max="6710" width="7.28515625" style="657" customWidth="1"/>
    <col min="6711" max="6711" width="8.42578125" style="657" customWidth="1"/>
    <col min="6712" max="6712" width="9.5703125" style="657" customWidth="1"/>
    <col min="6713" max="6713" width="6.28515625" style="657" customWidth="1"/>
    <col min="6714" max="6714" width="5.85546875" style="657" customWidth="1"/>
    <col min="6715" max="6716" width="4.42578125" style="657" customWidth="1"/>
    <col min="6717" max="6717" width="5" style="657" customWidth="1"/>
    <col min="6718" max="6718" width="5.85546875" style="657" customWidth="1"/>
    <col min="6719" max="6719" width="6.140625" style="657" customWidth="1"/>
    <col min="6720" max="6720" width="6.28515625" style="657" customWidth="1"/>
    <col min="6721" max="6721" width="11.140625" style="657" customWidth="1"/>
    <col min="6722" max="6722" width="14.140625" style="657" customWidth="1"/>
    <col min="6723" max="6723" width="19.85546875" style="657" customWidth="1"/>
    <col min="6724" max="6724" width="17" style="657" customWidth="1"/>
    <col min="6725" max="6725" width="20.85546875" style="657" customWidth="1"/>
    <col min="6726" max="6938" width="11.42578125" style="657"/>
    <col min="6939" max="6939" width="13.140625" style="657" customWidth="1"/>
    <col min="6940" max="6940" width="4" style="657" customWidth="1"/>
    <col min="6941" max="6941" width="12.85546875" style="657" customWidth="1"/>
    <col min="6942" max="6942" width="14.7109375" style="657" customWidth="1"/>
    <col min="6943" max="6943" width="10" style="657" customWidth="1"/>
    <col min="6944" max="6944" width="6.28515625" style="657" customWidth="1"/>
    <col min="6945" max="6945" width="12.28515625" style="657" customWidth="1"/>
    <col min="6946" max="6946" width="8.5703125" style="657" customWidth="1"/>
    <col min="6947" max="6947" width="13.7109375" style="657" customWidth="1"/>
    <col min="6948" max="6948" width="11.5703125" style="657" customWidth="1"/>
    <col min="6949" max="6949" width="34.28515625" style="657" customWidth="1"/>
    <col min="6950" max="6950" width="24.28515625" style="657" customWidth="1"/>
    <col min="6951" max="6951" width="21.140625" style="657" customWidth="1"/>
    <col min="6952" max="6952" width="22.140625" style="657" customWidth="1"/>
    <col min="6953" max="6953" width="8" style="657" customWidth="1"/>
    <col min="6954" max="6954" width="17" style="657" customWidth="1"/>
    <col min="6955" max="6955" width="12.7109375" style="657" customWidth="1"/>
    <col min="6956" max="6956" width="24.5703125" style="657" customWidth="1"/>
    <col min="6957" max="6957" width="29" style="657" customWidth="1"/>
    <col min="6958" max="6958" width="17.7109375" style="657" customWidth="1"/>
    <col min="6959" max="6959" width="36.42578125" style="657" customWidth="1"/>
    <col min="6960" max="6960" width="21.85546875" style="657" customWidth="1"/>
    <col min="6961" max="6961" width="11.7109375" style="657" customWidth="1"/>
    <col min="6962" max="6962" width="26.28515625" style="657" customWidth="1"/>
    <col min="6963" max="6963" width="9" style="657" customWidth="1"/>
    <col min="6964" max="6964" width="6.28515625" style="657" customWidth="1"/>
    <col min="6965" max="6966" width="7.28515625" style="657" customWidth="1"/>
    <col min="6967" max="6967" width="8.42578125" style="657" customWidth="1"/>
    <col min="6968" max="6968" width="9.5703125" style="657" customWidth="1"/>
    <col min="6969" max="6969" width="6.28515625" style="657" customWidth="1"/>
    <col min="6970" max="6970" width="5.85546875" style="657" customWidth="1"/>
    <col min="6971" max="6972" width="4.42578125" style="657" customWidth="1"/>
    <col min="6973" max="6973" width="5" style="657" customWidth="1"/>
    <col min="6974" max="6974" width="5.85546875" style="657" customWidth="1"/>
    <col min="6975" max="6975" width="6.140625" style="657" customWidth="1"/>
    <col min="6976" max="6976" width="6.28515625" style="657" customWidth="1"/>
    <col min="6977" max="6977" width="11.140625" style="657" customWidth="1"/>
    <col min="6978" max="6978" width="14.140625" style="657" customWidth="1"/>
    <col min="6979" max="6979" width="19.85546875" style="657" customWidth="1"/>
    <col min="6980" max="6980" width="17" style="657" customWidth="1"/>
    <col min="6981" max="6981" width="20.85546875" style="657" customWidth="1"/>
    <col min="6982" max="7194" width="11.42578125" style="657"/>
    <col min="7195" max="7195" width="13.140625" style="657" customWidth="1"/>
    <col min="7196" max="7196" width="4" style="657" customWidth="1"/>
    <col min="7197" max="7197" width="12.85546875" style="657" customWidth="1"/>
    <col min="7198" max="7198" width="14.7109375" style="657" customWidth="1"/>
    <col min="7199" max="7199" width="10" style="657" customWidth="1"/>
    <col min="7200" max="7200" width="6.28515625" style="657" customWidth="1"/>
    <col min="7201" max="7201" width="12.28515625" style="657" customWidth="1"/>
    <col min="7202" max="7202" width="8.5703125" style="657" customWidth="1"/>
    <col min="7203" max="7203" width="13.7109375" style="657" customWidth="1"/>
    <col min="7204" max="7204" width="11.5703125" style="657" customWidth="1"/>
    <col min="7205" max="7205" width="34.28515625" style="657" customWidth="1"/>
    <col min="7206" max="7206" width="24.28515625" style="657" customWidth="1"/>
    <col min="7207" max="7207" width="21.140625" style="657" customWidth="1"/>
    <col min="7208" max="7208" width="22.140625" style="657" customWidth="1"/>
    <col min="7209" max="7209" width="8" style="657" customWidth="1"/>
    <col min="7210" max="7210" width="17" style="657" customWidth="1"/>
    <col min="7211" max="7211" width="12.7109375" style="657" customWidth="1"/>
    <col min="7212" max="7212" width="24.5703125" style="657" customWidth="1"/>
    <col min="7213" max="7213" width="29" style="657" customWidth="1"/>
    <col min="7214" max="7214" width="17.7109375" style="657" customWidth="1"/>
    <col min="7215" max="7215" width="36.42578125" style="657" customWidth="1"/>
    <col min="7216" max="7216" width="21.85546875" style="657" customWidth="1"/>
    <col min="7217" max="7217" width="11.7109375" style="657" customWidth="1"/>
    <col min="7218" max="7218" width="26.28515625" style="657" customWidth="1"/>
    <col min="7219" max="7219" width="9" style="657" customWidth="1"/>
    <col min="7220" max="7220" width="6.28515625" style="657" customWidth="1"/>
    <col min="7221" max="7222" width="7.28515625" style="657" customWidth="1"/>
    <col min="7223" max="7223" width="8.42578125" style="657" customWidth="1"/>
    <col min="7224" max="7224" width="9.5703125" style="657" customWidth="1"/>
    <col min="7225" max="7225" width="6.28515625" style="657" customWidth="1"/>
    <col min="7226" max="7226" width="5.85546875" style="657" customWidth="1"/>
    <col min="7227" max="7228" width="4.42578125" style="657" customWidth="1"/>
    <col min="7229" max="7229" width="5" style="657" customWidth="1"/>
    <col min="7230" max="7230" width="5.85546875" style="657" customWidth="1"/>
    <col min="7231" max="7231" width="6.140625" style="657" customWidth="1"/>
    <col min="7232" max="7232" width="6.28515625" style="657" customWidth="1"/>
    <col min="7233" max="7233" width="11.140625" style="657" customWidth="1"/>
    <col min="7234" max="7234" width="14.140625" style="657" customWidth="1"/>
    <col min="7235" max="7235" width="19.85546875" style="657" customWidth="1"/>
    <col min="7236" max="7236" width="17" style="657" customWidth="1"/>
    <col min="7237" max="7237" width="20.85546875" style="657" customWidth="1"/>
    <col min="7238" max="7450" width="11.42578125" style="657"/>
    <col min="7451" max="7451" width="13.140625" style="657" customWidth="1"/>
    <col min="7452" max="7452" width="4" style="657" customWidth="1"/>
    <col min="7453" max="7453" width="12.85546875" style="657" customWidth="1"/>
    <col min="7454" max="7454" width="14.7109375" style="657" customWidth="1"/>
    <col min="7455" max="7455" width="10" style="657" customWidth="1"/>
    <col min="7456" max="7456" width="6.28515625" style="657" customWidth="1"/>
    <col min="7457" max="7457" width="12.28515625" style="657" customWidth="1"/>
    <col min="7458" max="7458" width="8.5703125" style="657" customWidth="1"/>
    <col min="7459" max="7459" width="13.7109375" style="657" customWidth="1"/>
    <col min="7460" max="7460" width="11.5703125" style="657" customWidth="1"/>
    <col min="7461" max="7461" width="34.28515625" style="657" customWidth="1"/>
    <col min="7462" max="7462" width="24.28515625" style="657" customWidth="1"/>
    <col min="7463" max="7463" width="21.140625" style="657" customWidth="1"/>
    <col min="7464" max="7464" width="22.140625" style="657" customWidth="1"/>
    <col min="7465" max="7465" width="8" style="657" customWidth="1"/>
    <col min="7466" max="7466" width="17" style="657" customWidth="1"/>
    <col min="7467" max="7467" width="12.7109375" style="657" customWidth="1"/>
    <col min="7468" max="7468" width="24.5703125" style="657" customWidth="1"/>
    <col min="7469" max="7469" width="29" style="657" customWidth="1"/>
    <col min="7470" max="7470" width="17.7109375" style="657" customWidth="1"/>
    <col min="7471" max="7471" width="36.42578125" style="657" customWidth="1"/>
    <col min="7472" max="7472" width="21.85546875" style="657" customWidth="1"/>
    <col min="7473" max="7473" width="11.7109375" style="657" customWidth="1"/>
    <col min="7474" max="7474" width="26.28515625" style="657" customWidth="1"/>
    <col min="7475" max="7475" width="9" style="657" customWidth="1"/>
    <col min="7476" max="7476" width="6.28515625" style="657" customWidth="1"/>
    <col min="7477" max="7478" width="7.28515625" style="657" customWidth="1"/>
    <col min="7479" max="7479" width="8.42578125" style="657" customWidth="1"/>
    <col min="7480" max="7480" width="9.5703125" style="657" customWidth="1"/>
    <col min="7481" max="7481" width="6.28515625" style="657" customWidth="1"/>
    <col min="7482" max="7482" width="5.85546875" style="657" customWidth="1"/>
    <col min="7483" max="7484" width="4.42578125" style="657" customWidth="1"/>
    <col min="7485" max="7485" width="5" style="657" customWidth="1"/>
    <col min="7486" max="7486" width="5.85546875" style="657" customWidth="1"/>
    <col min="7487" max="7487" width="6.140625" style="657" customWidth="1"/>
    <col min="7488" max="7488" width="6.28515625" style="657" customWidth="1"/>
    <col min="7489" max="7489" width="11.140625" style="657" customWidth="1"/>
    <col min="7490" max="7490" width="14.140625" style="657" customWidth="1"/>
    <col min="7491" max="7491" width="19.85546875" style="657" customWidth="1"/>
    <col min="7492" max="7492" width="17" style="657" customWidth="1"/>
    <col min="7493" max="7493" width="20.85546875" style="657" customWidth="1"/>
    <col min="7494" max="7706" width="11.42578125" style="657"/>
    <col min="7707" max="7707" width="13.140625" style="657" customWidth="1"/>
    <col min="7708" max="7708" width="4" style="657" customWidth="1"/>
    <col min="7709" max="7709" width="12.85546875" style="657" customWidth="1"/>
    <col min="7710" max="7710" width="14.7109375" style="657" customWidth="1"/>
    <col min="7711" max="7711" width="10" style="657" customWidth="1"/>
    <col min="7712" max="7712" width="6.28515625" style="657" customWidth="1"/>
    <col min="7713" max="7713" width="12.28515625" style="657" customWidth="1"/>
    <col min="7714" max="7714" width="8.5703125" style="657" customWidth="1"/>
    <col min="7715" max="7715" width="13.7109375" style="657" customWidth="1"/>
    <col min="7716" max="7716" width="11.5703125" style="657" customWidth="1"/>
    <col min="7717" max="7717" width="34.28515625" style="657" customWidth="1"/>
    <col min="7718" max="7718" width="24.28515625" style="657" customWidth="1"/>
    <col min="7719" max="7719" width="21.140625" style="657" customWidth="1"/>
    <col min="7720" max="7720" width="22.140625" style="657" customWidth="1"/>
    <col min="7721" max="7721" width="8" style="657" customWidth="1"/>
    <col min="7722" max="7722" width="17" style="657" customWidth="1"/>
    <col min="7723" max="7723" width="12.7109375" style="657" customWidth="1"/>
    <col min="7724" max="7724" width="24.5703125" style="657" customWidth="1"/>
    <col min="7725" max="7725" width="29" style="657" customWidth="1"/>
    <col min="7726" max="7726" width="17.7109375" style="657" customWidth="1"/>
    <col min="7727" max="7727" width="36.42578125" style="657" customWidth="1"/>
    <col min="7728" max="7728" width="21.85546875" style="657" customWidth="1"/>
    <col min="7729" max="7729" width="11.7109375" style="657" customWidth="1"/>
    <col min="7730" max="7730" width="26.28515625" style="657" customWidth="1"/>
    <col min="7731" max="7731" width="9" style="657" customWidth="1"/>
    <col min="7732" max="7732" width="6.28515625" style="657" customWidth="1"/>
    <col min="7733" max="7734" width="7.28515625" style="657" customWidth="1"/>
    <col min="7735" max="7735" width="8.42578125" style="657" customWidth="1"/>
    <col min="7736" max="7736" width="9.5703125" style="657" customWidth="1"/>
    <col min="7737" max="7737" width="6.28515625" style="657" customWidth="1"/>
    <col min="7738" max="7738" width="5.85546875" style="657" customWidth="1"/>
    <col min="7739" max="7740" width="4.42578125" style="657" customWidth="1"/>
    <col min="7741" max="7741" width="5" style="657" customWidth="1"/>
    <col min="7742" max="7742" width="5.85546875" style="657" customWidth="1"/>
    <col min="7743" max="7743" width="6.140625" style="657" customWidth="1"/>
    <col min="7744" max="7744" width="6.28515625" style="657" customWidth="1"/>
    <col min="7745" max="7745" width="11.140625" style="657" customWidth="1"/>
    <col min="7746" max="7746" width="14.140625" style="657" customWidth="1"/>
    <col min="7747" max="7747" width="19.85546875" style="657" customWidth="1"/>
    <col min="7748" max="7748" width="17" style="657" customWidth="1"/>
    <col min="7749" max="7749" width="20.85546875" style="657" customWidth="1"/>
    <col min="7750" max="7962" width="11.42578125" style="657"/>
    <col min="7963" max="7963" width="13.140625" style="657" customWidth="1"/>
    <col min="7964" max="7964" width="4" style="657" customWidth="1"/>
    <col min="7965" max="7965" width="12.85546875" style="657" customWidth="1"/>
    <col min="7966" max="7966" width="14.7109375" style="657" customWidth="1"/>
    <col min="7967" max="7967" width="10" style="657" customWidth="1"/>
    <col min="7968" max="7968" width="6.28515625" style="657" customWidth="1"/>
    <col min="7969" max="7969" width="12.28515625" style="657" customWidth="1"/>
    <col min="7970" max="7970" width="8.5703125" style="657" customWidth="1"/>
    <col min="7971" max="7971" width="13.7109375" style="657" customWidth="1"/>
    <col min="7972" max="7972" width="11.5703125" style="657" customWidth="1"/>
    <col min="7973" max="7973" width="34.28515625" style="657" customWidth="1"/>
    <col min="7974" max="7974" width="24.28515625" style="657" customWidth="1"/>
    <col min="7975" max="7975" width="21.140625" style="657" customWidth="1"/>
    <col min="7976" max="7976" width="22.140625" style="657" customWidth="1"/>
    <col min="7977" max="7977" width="8" style="657" customWidth="1"/>
    <col min="7978" max="7978" width="17" style="657" customWidth="1"/>
    <col min="7979" max="7979" width="12.7109375" style="657" customWidth="1"/>
    <col min="7980" max="7980" width="24.5703125" style="657" customWidth="1"/>
    <col min="7981" max="7981" width="29" style="657" customWidth="1"/>
    <col min="7982" max="7982" width="17.7109375" style="657" customWidth="1"/>
    <col min="7983" max="7983" width="36.42578125" style="657" customWidth="1"/>
    <col min="7984" max="7984" width="21.85546875" style="657" customWidth="1"/>
    <col min="7985" max="7985" width="11.7109375" style="657" customWidth="1"/>
    <col min="7986" max="7986" width="26.28515625" style="657" customWidth="1"/>
    <col min="7987" max="7987" width="9" style="657" customWidth="1"/>
    <col min="7988" max="7988" width="6.28515625" style="657" customWidth="1"/>
    <col min="7989" max="7990" width="7.28515625" style="657" customWidth="1"/>
    <col min="7991" max="7991" width="8.42578125" style="657" customWidth="1"/>
    <col min="7992" max="7992" width="9.5703125" style="657" customWidth="1"/>
    <col min="7993" max="7993" width="6.28515625" style="657" customWidth="1"/>
    <col min="7994" max="7994" width="5.85546875" style="657" customWidth="1"/>
    <col min="7995" max="7996" width="4.42578125" style="657" customWidth="1"/>
    <col min="7997" max="7997" width="5" style="657" customWidth="1"/>
    <col min="7998" max="7998" width="5.85546875" style="657" customWidth="1"/>
    <col min="7999" max="7999" width="6.140625" style="657" customWidth="1"/>
    <col min="8000" max="8000" width="6.28515625" style="657" customWidth="1"/>
    <col min="8001" max="8001" width="11.140625" style="657" customWidth="1"/>
    <col min="8002" max="8002" width="14.140625" style="657" customWidth="1"/>
    <col min="8003" max="8003" width="19.85546875" style="657" customWidth="1"/>
    <col min="8004" max="8004" width="17" style="657" customWidth="1"/>
    <col min="8005" max="8005" width="20.85546875" style="657" customWidth="1"/>
    <col min="8006" max="8218" width="11.42578125" style="657"/>
    <col min="8219" max="8219" width="13.140625" style="657" customWidth="1"/>
    <col min="8220" max="8220" width="4" style="657" customWidth="1"/>
    <col min="8221" max="8221" width="12.85546875" style="657" customWidth="1"/>
    <col min="8222" max="8222" width="14.7109375" style="657" customWidth="1"/>
    <col min="8223" max="8223" width="10" style="657" customWidth="1"/>
    <col min="8224" max="8224" width="6.28515625" style="657" customWidth="1"/>
    <col min="8225" max="8225" width="12.28515625" style="657" customWidth="1"/>
    <col min="8226" max="8226" width="8.5703125" style="657" customWidth="1"/>
    <col min="8227" max="8227" width="13.7109375" style="657" customWidth="1"/>
    <col min="8228" max="8228" width="11.5703125" style="657" customWidth="1"/>
    <col min="8229" max="8229" width="34.28515625" style="657" customWidth="1"/>
    <col min="8230" max="8230" width="24.28515625" style="657" customWidth="1"/>
    <col min="8231" max="8231" width="21.140625" style="657" customWidth="1"/>
    <col min="8232" max="8232" width="22.140625" style="657" customWidth="1"/>
    <col min="8233" max="8233" width="8" style="657" customWidth="1"/>
    <col min="8234" max="8234" width="17" style="657" customWidth="1"/>
    <col min="8235" max="8235" width="12.7109375" style="657" customWidth="1"/>
    <col min="8236" max="8236" width="24.5703125" style="657" customWidth="1"/>
    <col min="8237" max="8237" width="29" style="657" customWidth="1"/>
    <col min="8238" max="8238" width="17.7109375" style="657" customWidth="1"/>
    <col min="8239" max="8239" width="36.42578125" style="657" customWidth="1"/>
    <col min="8240" max="8240" width="21.85546875" style="657" customWidth="1"/>
    <col min="8241" max="8241" width="11.7109375" style="657" customWidth="1"/>
    <col min="8242" max="8242" width="26.28515625" style="657" customWidth="1"/>
    <col min="8243" max="8243" width="9" style="657" customWidth="1"/>
    <col min="8244" max="8244" width="6.28515625" style="657" customWidth="1"/>
    <col min="8245" max="8246" width="7.28515625" style="657" customWidth="1"/>
    <col min="8247" max="8247" width="8.42578125" style="657" customWidth="1"/>
    <col min="8248" max="8248" width="9.5703125" style="657" customWidth="1"/>
    <col min="8249" max="8249" width="6.28515625" style="657" customWidth="1"/>
    <col min="8250" max="8250" width="5.85546875" style="657" customWidth="1"/>
    <col min="8251" max="8252" width="4.42578125" style="657" customWidth="1"/>
    <col min="8253" max="8253" width="5" style="657" customWidth="1"/>
    <col min="8254" max="8254" width="5.85546875" style="657" customWidth="1"/>
    <col min="8255" max="8255" width="6.140625" style="657" customWidth="1"/>
    <col min="8256" max="8256" width="6.28515625" style="657" customWidth="1"/>
    <col min="8257" max="8257" width="11.140625" style="657" customWidth="1"/>
    <col min="8258" max="8258" width="14.140625" style="657" customWidth="1"/>
    <col min="8259" max="8259" width="19.85546875" style="657" customWidth="1"/>
    <col min="8260" max="8260" width="17" style="657" customWidth="1"/>
    <col min="8261" max="8261" width="20.85546875" style="657" customWidth="1"/>
    <col min="8262" max="8474" width="11.42578125" style="657"/>
    <col min="8475" max="8475" width="13.140625" style="657" customWidth="1"/>
    <col min="8476" max="8476" width="4" style="657" customWidth="1"/>
    <col min="8477" max="8477" width="12.85546875" style="657" customWidth="1"/>
    <col min="8478" max="8478" width="14.7109375" style="657" customWidth="1"/>
    <col min="8479" max="8479" width="10" style="657" customWidth="1"/>
    <col min="8480" max="8480" width="6.28515625" style="657" customWidth="1"/>
    <col min="8481" max="8481" width="12.28515625" style="657" customWidth="1"/>
    <col min="8482" max="8482" width="8.5703125" style="657" customWidth="1"/>
    <col min="8483" max="8483" width="13.7109375" style="657" customWidth="1"/>
    <col min="8484" max="8484" width="11.5703125" style="657" customWidth="1"/>
    <col min="8485" max="8485" width="34.28515625" style="657" customWidth="1"/>
    <col min="8486" max="8486" width="24.28515625" style="657" customWidth="1"/>
    <col min="8487" max="8487" width="21.140625" style="657" customWidth="1"/>
    <col min="8488" max="8488" width="22.140625" style="657" customWidth="1"/>
    <col min="8489" max="8489" width="8" style="657" customWidth="1"/>
    <col min="8490" max="8490" width="17" style="657" customWidth="1"/>
    <col min="8491" max="8491" width="12.7109375" style="657" customWidth="1"/>
    <col min="8492" max="8492" width="24.5703125" style="657" customWidth="1"/>
    <col min="8493" max="8493" width="29" style="657" customWidth="1"/>
    <col min="8494" max="8494" width="17.7109375" style="657" customWidth="1"/>
    <col min="8495" max="8495" width="36.42578125" style="657" customWidth="1"/>
    <col min="8496" max="8496" width="21.85546875" style="657" customWidth="1"/>
    <col min="8497" max="8497" width="11.7109375" style="657" customWidth="1"/>
    <col min="8498" max="8498" width="26.28515625" style="657" customWidth="1"/>
    <col min="8499" max="8499" width="9" style="657" customWidth="1"/>
    <col min="8500" max="8500" width="6.28515625" style="657" customWidth="1"/>
    <col min="8501" max="8502" width="7.28515625" style="657" customWidth="1"/>
    <col min="8503" max="8503" width="8.42578125" style="657" customWidth="1"/>
    <col min="8504" max="8504" width="9.5703125" style="657" customWidth="1"/>
    <col min="8505" max="8505" width="6.28515625" style="657" customWidth="1"/>
    <col min="8506" max="8506" width="5.85546875" style="657" customWidth="1"/>
    <col min="8507" max="8508" width="4.42578125" style="657" customWidth="1"/>
    <col min="8509" max="8509" width="5" style="657" customWidth="1"/>
    <col min="8510" max="8510" width="5.85546875" style="657" customWidth="1"/>
    <col min="8511" max="8511" width="6.140625" style="657" customWidth="1"/>
    <col min="8512" max="8512" width="6.28515625" style="657" customWidth="1"/>
    <col min="8513" max="8513" width="11.140625" style="657" customWidth="1"/>
    <col min="8514" max="8514" width="14.140625" style="657" customWidth="1"/>
    <col min="8515" max="8515" width="19.85546875" style="657" customWidth="1"/>
    <col min="8516" max="8516" width="17" style="657" customWidth="1"/>
    <col min="8517" max="8517" width="20.85546875" style="657" customWidth="1"/>
    <col min="8518" max="8730" width="11.42578125" style="657"/>
    <col min="8731" max="8731" width="13.140625" style="657" customWidth="1"/>
    <col min="8732" max="8732" width="4" style="657" customWidth="1"/>
    <col min="8733" max="8733" width="12.85546875" style="657" customWidth="1"/>
    <col min="8734" max="8734" width="14.7109375" style="657" customWidth="1"/>
    <col min="8735" max="8735" width="10" style="657" customWidth="1"/>
    <col min="8736" max="8736" width="6.28515625" style="657" customWidth="1"/>
    <col min="8737" max="8737" width="12.28515625" style="657" customWidth="1"/>
    <col min="8738" max="8738" width="8.5703125" style="657" customWidth="1"/>
    <col min="8739" max="8739" width="13.7109375" style="657" customWidth="1"/>
    <col min="8740" max="8740" width="11.5703125" style="657" customWidth="1"/>
    <col min="8741" max="8741" width="34.28515625" style="657" customWidth="1"/>
    <col min="8742" max="8742" width="24.28515625" style="657" customWidth="1"/>
    <col min="8743" max="8743" width="21.140625" style="657" customWidth="1"/>
    <col min="8744" max="8744" width="22.140625" style="657" customWidth="1"/>
    <col min="8745" max="8745" width="8" style="657" customWidth="1"/>
    <col min="8746" max="8746" width="17" style="657" customWidth="1"/>
    <col min="8747" max="8747" width="12.7109375" style="657" customWidth="1"/>
    <col min="8748" max="8748" width="24.5703125" style="657" customWidth="1"/>
    <col min="8749" max="8749" width="29" style="657" customWidth="1"/>
    <col min="8750" max="8750" width="17.7109375" style="657" customWidth="1"/>
    <col min="8751" max="8751" width="36.42578125" style="657" customWidth="1"/>
    <col min="8752" max="8752" width="21.85546875" style="657" customWidth="1"/>
    <col min="8753" max="8753" width="11.7109375" style="657" customWidth="1"/>
    <col min="8754" max="8754" width="26.28515625" style="657" customWidth="1"/>
    <col min="8755" max="8755" width="9" style="657" customWidth="1"/>
    <col min="8756" max="8756" width="6.28515625" style="657" customWidth="1"/>
    <col min="8757" max="8758" width="7.28515625" style="657" customWidth="1"/>
    <col min="8759" max="8759" width="8.42578125" style="657" customWidth="1"/>
    <col min="8760" max="8760" width="9.5703125" style="657" customWidth="1"/>
    <col min="8761" max="8761" width="6.28515625" style="657" customWidth="1"/>
    <col min="8762" max="8762" width="5.85546875" style="657" customWidth="1"/>
    <col min="8763" max="8764" width="4.42578125" style="657" customWidth="1"/>
    <col min="8765" max="8765" width="5" style="657" customWidth="1"/>
    <col min="8766" max="8766" width="5.85546875" style="657" customWidth="1"/>
    <col min="8767" max="8767" width="6.140625" style="657" customWidth="1"/>
    <col min="8768" max="8768" width="6.28515625" style="657" customWidth="1"/>
    <col min="8769" max="8769" width="11.140625" style="657" customWidth="1"/>
    <col min="8770" max="8770" width="14.140625" style="657" customWidth="1"/>
    <col min="8771" max="8771" width="19.85546875" style="657" customWidth="1"/>
    <col min="8772" max="8772" width="17" style="657" customWidth="1"/>
    <col min="8773" max="8773" width="20.85546875" style="657" customWidth="1"/>
    <col min="8774" max="8986" width="11.42578125" style="657"/>
    <col min="8987" max="8987" width="13.140625" style="657" customWidth="1"/>
    <col min="8988" max="8988" width="4" style="657" customWidth="1"/>
    <col min="8989" max="8989" width="12.85546875" style="657" customWidth="1"/>
    <col min="8990" max="8990" width="14.7109375" style="657" customWidth="1"/>
    <col min="8991" max="8991" width="10" style="657" customWidth="1"/>
    <col min="8992" max="8992" width="6.28515625" style="657" customWidth="1"/>
    <col min="8993" max="8993" width="12.28515625" style="657" customWidth="1"/>
    <col min="8994" max="8994" width="8.5703125" style="657" customWidth="1"/>
    <col min="8995" max="8995" width="13.7109375" style="657" customWidth="1"/>
    <col min="8996" max="8996" width="11.5703125" style="657" customWidth="1"/>
    <col min="8997" max="8997" width="34.28515625" style="657" customWidth="1"/>
    <col min="8998" max="8998" width="24.28515625" style="657" customWidth="1"/>
    <col min="8999" max="8999" width="21.140625" style="657" customWidth="1"/>
    <col min="9000" max="9000" width="22.140625" style="657" customWidth="1"/>
    <col min="9001" max="9001" width="8" style="657" customWidth="1"/>
    <col min="9002" max="9002" width="17" style="657" customWidth="1"/>
    <col min="9003" max="9003" width="12.7109375" style="657" customWidth="1"/>
    <col min="9004" max="9004" width="24.5703125" style="657" customWidth="1"/>
    <col min="9005" max="9005" width="29" style="657" customWidth="1"/>
    <col min="9006" max="9006" width="17.7109375" style="657" customWidth="1"/>
    <col min="9007" max="9007" width="36.42578125" style="657" customWidth="1"/>
    <col min="9008" max="9008" width="21.85546875" style="657" customWidth="1"/>
    <col min="9009" max="9009" width="11.7109375" style="657" customWidth="1"/>
    <col min="9010" max="9010" width="26.28515625" style="657" customWidth="1"/>
    <col min="9011" max="9011" width="9" style="657" customWidth="1"/>
    <col min="9012" max="9012" width="6.28515625" style="657" customWidth="1"/>
    <col min="9013" max="9014" width="7.28515625" style="657" customWidth="1"/>
    <col min="9015" max="9015" width="8.42578125" style="657" customWidth="1"/>
    <col min="9016" max="9016" width="9.5703125" style="657" customWidth="1"/>
    <col min="9017" max="9017" width="6.28515625" style="657" customWidth="1"/>
    <col min="9018" max="9018" width="5.85546875" style="657" customWidth="1"/>
    <col min="9019" max="9020" width="4.42578125" style="657" customWidth="1"/>
    <col min="9021" max="9021" width="5" style="657" customWidth="1"/>
    <col min="9022" max="9022" width="5.85546875" style="657" customWidth="1"/>
    <col min="9023" max="9023" width="6.140625" style="657" customWidth="1"/>
    <col min="9024" max="9024" width="6.28515625" style="657" customWidth="1"/>
    <col min="9025" max="9025" width="11.140625" style="657" customWidth="1"/>
    <col min="9026" max="9026" width="14.140625" style="657" customWidth="1"/>
    <col min="9027" max="9027" width="19.85546875" style="657" customWidth="1"/>
    <col min="9028" max="9028" width="17" style="657" customWidth="1"/>
    <col min="9029" max="9029" width="20.85546875" style="657" customWidth="1"/>
    <col min="9030" max="9242" width="11.42578125" style="657"/>
    <col min="9243" max="9243" width="13.140625" style="657" customWidth="1"/>
    <col min="9244" max="9244" width="4" style="657" customWidth="1"/>
    <col min="9245" max="9245" width="12.85546875" style="657" customWidth="1"/>
    <col min="9246" max="9246" width="14.7109375" style="657" customWidth="1"/>
    <col min="9247" max="9247" width="10" style="657" customWidth="1"/>
    <col min="9248" max="9248" width="6.28515625" style="657" customWidth="1"/>
    <col min="9249" max="9249" width="12.28515625" style="657" customWidth="1"/>
    <col min="9250" max="9250" width="8.5703125" style="657" customWidth="1"/>
    <col min="9251" max="9251" width="13.7109375" style="657" customWidth="1"/>
    <col min="9252" max="9252" width="11.5703125" style="657" customWidth="1"/>
    <col min="9253" max="9253" width="34.28515625" style="657" customWidth="1"/>
    <col min="9254" max="9254" width="24.28515625" style="657" customWidth="1"/>
    <col min="9255" max="9255" width="21.140625" style="657" customWidth="1"/>
    <col min="9256" max="9256" width="22.140625" style="657" customWidth="1"/>
    <col min="9257" max="9257" width="8" style="657" customWidth="1"/>
    <col min="9258" max="9258" width="17" style="657" customWidth="1"/>
    <col min="9259" max="9259" width="12.7109375" style="657" customWidth="1"/>
    <col min="9260" max="9260" width="24.5703125" style="657" customWidth="1"/>
    <col min="9261" max="9261" width="29" style="657" customWidth="1"/>
    <col min="9262" max="9262" width="17.7109375" style="657" customWidth="1"/>
    <col min="9263" max="9263" width="36.42578125" style="657" customWidth="1"/>
    <col min="9264" max="9264" width="21.85546875" style="657" customWidth="1"/>
    <col min="9265" max="9265" width="11.7109375" style="657" customWidth="1"/>
    <col min="9266" max="9266" width="26.28515625" style="657" customWidth="1"/>
    <col min="9267" max="9267" width="9" style="657" customWidth="1"/>
    <col min="9268" max="9268" width="6.28515625" style="657" customWidth="1"/>
    <col min="9269" max="9270" width="7.28515625" style="657" customWidth="1"/>
    <col min="9271" max="9271" width="8.42578125" style="657" customWidth="1"/>
    <col min="9272" max="9272" width="9.5703125" style="657" customWidth="1"/>
    <col min="9273" max="9273" width="6.28515625" style="657" customWidth="1"/>
    <col min="9274" max="9274" width="5.85546875" style="657" customWidth="1"/>
    <col min="9275" max="9276" width="4.42578125" style="657" customWidth="1"/>
    <col min="9277" max="9277" width="5" style="657" customWidth="1"/>
    <col min="9278" max="9278" width="5.85546875" style="657" customWidth="1"/>
    <col min="9279" max="9279" width="6.140625" style="657" customWidth="1"/>
    <col min="9280" max="9280" width="6.28515625" style="657" customWidth="1"/>
    <col min="9281" max="9281" width="11.140625" style="657" customWidth="1"/>
    <col min="9282" max="9282" width="14.140625" style="657" customWidth="1"/>
    <col min="9283" max="9283" width="19.85546875" style="657" customWidth="1"/>
    <col min="9284" max="9284" width="17" style="657" customWidth="1"/>
    <col min="9285" max="9285" width="20.85546875" style="657" customWidth="1"/>
    <col min="9286" max="9498" width="11.42578125" style="657"/>
    <col min="9499" max="9499" width="13.140625" style="657" customWidth="1"/>
    <col min="9500" max="9500" width="4" style="657" customWidth="1"/>
    <col min="9501" max="9501" width="12.85546875" style="657" customWidth="1"/>
    <col min="9502" max="9502" width="14.7109375" style="657" customWidth="1"/>
    <col min="9503" max="9503" width="10" style="657" customWidth="1"/>
    <col min="9504" max="9504" width="6.28515625" style="657" customWidth="1"/>
    <col min="9505" max="9505" width="12.28515625" style="657" customWidth="1"/>
    <col min="9506" max="9506" width="8.5703125" style="657" customWidth="1"/>
    <col min="9507" max="9507" width="13.7109375" style="657" customWidth="1"/>
    <col min="9508" max="9508" width="11.5703125" style="657" customWidth="1"/>
    <col min="9509" max="9509" width="34.28515625" style="657" customWidth="1"/>
    <col min="9510" max="9510" width="24.28515625" style="657" customWidth="1"/>
    <col min="9511" max="9511" width="21.140625" style="657" customWidth="1"/>
    <col min="9512" max="9512" width="22.140625" style="657" customWidth="1"/>
    <col min="9513" max="9513" width="8" style="657" customWidth="1"/>
    <col min="9514" max="9514" width="17" style="657" customWidth="1"/>
    <col min="9515" max="9515" width="12.7109375" style="657" customWidth="1"/>
    <col min="9516" max="9516" width="24.5703125" style="657" customWidth="1"/>
    <col min="9517" max="9517" width="29" style="657" customWidth="1"/>
    <col min="9518" max="9518" width="17.7109375" style="657" customWidth="1"/>
    <col min="9519" max="9519" width="36.42578125" style="657" customWidth="1"/>
    <col min="9520" max="9520" width="21.85546875" style="657" customWidth="1"/>
    <col min="9521" max="9521" width="11.7109375" style="657" customWidth="1"/>
    <col min="9522" max="9522" width="26.28515625" style="657" customWidth="1"/>
    <col min="9523" max="9523" width="9" style="657" customWidth="1"/>
    <col min="9524" max="9524" width="6.28515625" style="657" customWidth="1"/>
    <col min="9525" max="9526" width="7.28515625" style="657" customWidth="1"/>
    <col min="9527" max="9527" width="8.42578125" style="657" customWidth="1"/>
    <col min="9528" max="9528" width="9.5703125" style="657" customWidth="1"/>
    <col min="9529" max="9529" width="6.28515625" style="657" customWidth="1"/>
    <col min="9530" max="9530" width="5.85546875" style="657" customWidth="1"/>
    <col min="9531" max="9532" width="4.42578125" style="657" customWidth="1"/>
    <col min="9533" max="9533" width="5" style="657" customWidth="1"/>
    <col min="9534" max="9534" width="5.85546875" style="657" customWidth="1"/>
    <col min="9535" max="9535" width="6.140625" style="657" customWidth="1"/>
    <col min="9536" max="9536" width="6.28515625" style="657" customWidth="1"/>
    <col min="9537" max="9537" width="11.140625" style="657" customWidth="1"/>
    <col min="9538" max="9538" width="14.140625" style="657" customWidth="1"/>
    <col min="9539" max="9539" width="19.85546875" style="657" customWidth="1"/>
    <col min="9540" max="9540" width="17" style="657" customWidth="1"/>
    <col min="9541" max="9541" width="20.85546875" style="657" customWidth="1"/>
    <col min="9542" max="9754" width="11.42578125" style="657"/>
    <col min="9755" max="9755" width="13.140625" style="657" customWidth="1"/>
    <col min="9756" max="9756" width="4" style="657" customWidth="1"/>
    <col min="9757" max="9757" width="12.85546875" style="657" customWidth="1"/>
    <col min="9758" max="9758" width="14.7109375" style="657" customWidth="1"/>
    <col min="9759" max="9759" width="10" style="657" customWidth="1"/>
    <col min="9760" max="9760" width="6.28515625" style="657" customWidth="1"/>
    <col min="9761" max="9761" width="12.28515625" style="657" customWidth="1"/>
    <col min="9762" max="9762" width="8.5703125" style="657" customWidth="1"/>
    <col min="9763" max="9763" width="13.7109375" style="657" customWidth="1"/>
    <col min="9764" max="9764" width="11.5703125" style="657" customWidth="1"/>
    <col min="9765" max="9765" width="34.28515625" style="657" customWidth="1"/>
    <col min="9766" max="9766" width="24.28515625" style="657" customWidth="1"/>
    <col min="9767" max="9767" width="21.140625" style="657" customWidth="1"/>
    <col min="9768" max="9768" width="22.140625" style="657" customWidth="1"/>
    <col min="9769" max="9769" width="8" style="657" customWidth="1"/>
    <col min="9770" max="9770" width="17" style="657" customWidth="1"/>
    <col min="9771" max="9771" width="12.7109375" style="657" customWidth="1"/>
    <col min="9772" max="9772" width="24.5703125" style="657" customWidth="1"/>
    <col min="9773" max="9773" width="29" style="657" customWidth="1"/>
    <col min="9774" max="9774" width="17.7109375" style="657" customWidth="1"/>
    <col min="9775" max="9775" width="36.42578125" style="657" customWidth="1"/>
    <col min="9776" max="9776" width="21.85546875" style="657" customWidth="1"/>
    <col min="9777" max="9777" width="11.7109375" style="657" customWidth="1"/>
    <col min="9778" max="9778" width="26.28515625" style="657" customWidth="1"/>
    <col min="9779" max="9779" width="9" style="657" customWidth="1"/>
    <col min="9780" max="9780" width="6.28515625" style="657" customWidth="1"/>
    <col min="9781" max="9782" width="7.28515625" style="657" customWidth="1"/>
    <col min="9783" max="9783" width="8.42578125" style="657" customWidth="1"/>
    <col min="9784" max="9784" width="9.5703125" style="657" customWidth="1"/>
    <col min="9785" max="9785" width="6.28515625" style="657" customWidth="1"/>
    <col min="9786" max="9786" width="5.85546875" style="657" customWidth="1"/>
    <col min="9787" max="9788" width="4.42578125" style="657" customWidth="1"/>
    <col min="9789" max="9789" width="5" style="657" customWidth="1"/>
    <col min="9790" max="9790" width="5.85546875" style="657" customWidth="1"/>
    <col min="9791" max="9791" width="6.140625" style="657" customWidth="1"/>
    <col min="9792" max="9792" width="6.28515625" style="657" customWidth="1"/>
    <col min="9793" max="9793" width="11.140625" style="657" customWidth="1"/>
    <col min="9794" max="9794" width="14.140625" style="657" customWidth="1"/>
    <col min="9795" max="9795" width="19.85546875" style="657" customWidth="1"/>
    <col min="9796" max="9796" width="17" style="657" customWidth="1"/>
    <col min="9797" max="9797" width="20.85546875" style="657" customWidth="1"/>
    <col min="9798" max="10010" width="11.42578125" style="657"/>
    <col min="10011" max="10011" width="13.140625" style="657" customWidth="1"/>
    <col min="10012" max="10012" width="4" style="657" customWidth="1"/>
    <col min="10013" max="10013" width="12.85546875" style="657" customWidth="1"/>
    <col min="10014" max="10014" width="14.7109375" style="657" customWidth="1"/>
    <col min="10015" max="10015" width="10" style="657" customWidth="1"/>
    <col min="10016" max="10016" width="6.28515625" style="657" customWidth="1"/>
    <col min="10017" max="10017" width="12.28515625" style="657" customWidth="1"/>
    <col min="10018" max="10018" width="8.5703125" style="657" customWidth="1"/>
    <col min="10019" max="10019" width="13.7109375" style="657" customWidth="1"/>
    <col min="10020" max="10020" width="11.5703125" style="657" customWidth="1"/>
    <col min="10021" max="10021" width="34.28515625" style="657" customWidth="1"/>
    <col min="10022" max="10022" width="24.28515625" style="657" customWidth="1"/>
    <col min="10023" max="10023" width="21.140625" style="657" customWidth="1"/>
    <col min="10024" max="10024" width="22.140625" style="657" customWidth="1"/>
    <col min="10025" max="10025" width="8" style="657" customWidth="1"/>
    <col min="10026" max="10026" width="17" style="657" customWidth="1"/>
    <col min="10027" max="10027" width="12.7109375" style="657" customWidth="1"/>
    <col min="10028" max="10028" width="24.5703125" style="657" customWidth="1"/>
    <col min="10029" max="10029" width="29" style="657" customWidth="1"/>
    <col min="10030" max="10030" width="17.7109375" style="657" customWidth="1"/>
    <col min="10031" max="10031" width="36.42578125" style="657" customWidth="1"/>
    <col min="10032" max="10032" width="21.85546875" style="657" customWidth="1"/>
    <col min="10033" max="10033" width="11.7109375" style="657" customWidth="1"/>
    <col min="10034" max="10034" width="26.28515625" style="657" customWidth="1"/>
    <col min="10035" max="10035" width="9" style="657" customWidth="1"/>
    <col min="10036" max="10036" width="6.28515625" style="657" customWidth="1"/>
    <col min="10037" max="10038" width="7.28515625" style="657" customWidth="1"/>
    <col min="10039" max="10039" width="8.42578125" style="657" customWidth="1"/>
    <col min="10040" max="10040" width="9.5703125" style="657" customWidth="1"/>
    <col min="10041" max="10041" width="6.28515625" style="657" customWidth="1"/>
    <col min="10042" max="10042" width="5.85546875" style="657" customWidth="1"/>
    <col min="10043" max="10044" width="4.42578125" style="657" customWidth="1"/>
    <col min="10045" max="10045" width="5" style="657" customWidth="1"/>
    <col min="10046" max="10046" width="5.85546875" style="657" customWidth="1"/>
    <col min="10047" max="10047" width="6.140625" style="657" customWidth="1"/>
    <col min="10048" max="10048" width="6.28515625" style="657" customWidth="1"/>
    <col min="10049" max="10049" width="11.140625" style="657" customWidth="1"/>
    <col min="10050" max="10050" width="14.140625" style="657" customWidth="1"/>
    <col min="10051" max="10051" width="19.85546875" style="657" customWidth="1"/>
    <col min="10052" max="10052" width="17" style="657" customWidth="1"/>
    <col min="10053" max="10053" width="20.85546875" style="657" customWidth="1"/>
    <col min="10054" max="10266" width="11.42578125" style="657"/>
    <col min="10267" max="10267" width="13.140625" style="657" customWidth="1"/>
    <col min="10268" max="10268" width="4" style="657" customWidth="1"/>
    <col min="10269" max="10269" width="12.85546875" style="657" customWidth="1"/>
    <col min="10270" max="10270" width="14.7109375" style="657" customWidth="1"/>
    <col min="10271" max="10271" width="10" style="657" customWidth="1"/>
    <col min="10272" max="10272" width="6.28515625" style="657" customWidth="1"/>
    <col min="10273" max="10273" width="12.28515625" style="657" customWidth="1"/>
    <col min="10274" max="10274" width="8.5703125" style="657" customWidth="1"/>
    <col min="10275" max="10275" width="13.7109375" style="657" customWidth="1"/>
    <col min="10276" max="10276" width="11.5703125" style="657" customWidth="1"/>
    <col min="10277" max="10277" width="34.28515625" style="657" customWidth="1"/>
    <col min="10278" max="10278" width="24.28515625" style="657" customWidth="1"/>
    <col min="10279" max="10279" width="21.140625" style="657" customWidth="1"/>
    <col min="10280" max="10280" width="22.140625" style="657" customWidth="1"/>
    <col min="10281" max="10281" width="8" style="657" customWidth="1"/>
    <col min="10282" max="10282" width="17" style="657" customWidth="1"/>
    <col min="10283" max="10283" width="12.7109375" style="657" customWidth="1"/>
    <col min="10284" max="10284" width="24.5703125" style="657" customWidth="1"/>
    <col min="10285" max="10285" width="29" style="657" customWidth="1"/>
    <col min="10286" max="10286" width="17.7109375" style="657" customWidth="1"/>
    <col min="10287" max="10287" width="36.42578125" style="657" customWidth="1"/>
    <col min="10288" max="10288" width="21.85546875" style="657" customWidth="1"/>
    <col min="10289" max="10289" width="11.7109375" style="657" customWidth="1"/>
    <col min="10290" max="10290" width="26.28515625" style="657" customWidth="1"/>
    <col min="10291" max="10291" width="9" style="657" customWidth="1"/>
    <col min="10292" max="10292" width="6.28515625" style="657" customWidth="1"/>
    <col min="10293" max="10294" width="7.28515625" style="657" customWidth="1"/>
    <col min="10295" max="10295" width="8.42578125" style="657" customWidth="1"/>
    <col min="10296" max="10296" width="9.5703125" style="657" customWidth="1"/>
    <col min="10297" max="10297" width="6.28515625" style="657" customWidth="1"/>
    <col min="10298" max="10298" width="5.85546875" style="657" customWidth="1"/>
    <col min="10299" max="10300" width="4.42578125" style="657" customWidth="1"/>
    <col min="10301" max="10301" width="5" style="657" customWidth="1"/>
    <col min="10302" max="10302" width="5.85546875" style="657" customWidth="1"/>
    <col min="10303" max="10303" width="6.140625" style="657" customWidth="1"/>
    <col min="10304" max="10304" width="6.28515625" style="657" customWidth="1"/>
    <col min="10305" max="10305" width="11.140625" style="657" customWidth="1"/>
    <col min="10306" max="10306" width="14.140625" style="657" customWidth="1"/>
    <col min="10307" max="10307" width="19.85546875" style="657" customWidth="1"/>
    <col min="10308" max="10308" width="17" style="657" customWidth="1"/>
    <col min="10309" max="10309" width="20.85546875" style="657" customWidth="1"/>
    <col min="10310" max="10522" width="11.42578125" style="657"/>
    <col min="10523" max="10523" width="13.140625" style="657" customWidth="1"/>
    <col min="10524" max="10524" width="4" style="657" customWidth="1"/>
    <col min="10525" max="10525" width="12.85546875" style="657" customWidth="1"/>
    <col min="10526" max="10526" width="14.7109375" style="657" customWidth="1"/>
    <col min="10527" max="10527" width="10" style="657" customWidth="1"/>
    <col min="10528" max="10528" width="6.28515625" style="657" customWidth="1"/>
    <col min="10529" max="10529" width="12.28515625" style="657" customWidth="1"/>
    <col min="10530" max="10530" width="8.5703125" style="657" customWidth="1"/>
    <col min="10531" max="10531" width="13.7109375" style="657" customWidth="1"/>
    <col min="10532" max="10532" width="11.5703125" style="657" customWidth="1"/>
    <col min="10533" max="10533" width="34.28515625" style="657" customWidth="1"/>
    <col min="10534" max="10534" width="24.28515625" style="657" customWidth="1"/>
    <col min="10535" max="10535" width="21.140625" style="657" customWidth="1"/>
    <col min="10536" max="10536" width="22.140625" style="657" customWidth="1"/>
    <col min="10537" max="10537" width="8" style="657" customWidth="1"/>
    <col min="10538" max="10538" width="17" style="657" customWidth="1"/>
    <col min="10539" max="10539" width="12.7109375" style="657" customWidth="1"/>
    <col min="10540" max="10540" width="24.5703125" style="657" customWidth="1"/>
    <col min="10541" max="10541" width="29" style="657" customWidth="1"/>
    <col min="10542" max="10542" width="17.7109375" style="657" customWidth="1"/>
    <col min="10543" max="10543" width="36.42578125" style="657" customWidth="1"/>
    <col min="10544" max="10544" width="21.85546875" style="657" customWidth="1"/>
    <col min="10545" max="10545" width="11.7109375" style="657" customWidth="1"/>
    <col min="10546" max="10546" width="26.28515625" style="657" customWidth="1"/>
    <col min="10547" max="10547" width="9" style="657" customWidth="1"/>
    <col min="10548" max="10548" width="6.28515625" style="657" customWidth="1"/>
    <col min="10549" max="10550" width="7.28515625" style="657" customWidth="1"/>
    <col min="10551" max="10551" width="8.42578125" style="657" customWidth="1"/>
    <col min="10552" max="10552" width="9.5703125" style="657" customWidth="1"/>
    <col min="10553" max="10553" width="6.28515625" style="657" customWidth="1"/>
    <col min="10554" max="10554" width="5.85546875" style="657" customWidth="1"/>
    <col min="10555" max="10556" width="4.42578125" style="657" customWidth="1"/>
    <col min="10557" max="10557" width="5" style="657" customWidth="1"/>
    <col min="10558" max="10558" width="5.85546875" style="657" customWidth="1"/>
    <col min="10559" max="10559" width="6.140625" style="657" customWidth="1"/>
    <col min="10560" max="10560" width="6.28515625" style="657" customWidth="1"/>
    <col min="10561" max="10561" width="11.140625" style="657" customWidth="1"/>
    <col min="10562" max="10562" width="14.140625" style="657" customWidth="1"/>
    <col min="10563" max="10563" width="19.85546875" style="657" customWidth="1"/>
    <col min="10564" max="10564" width="17" style="657" customWidth="1"/>
    <col min="10565" max="10565" width="20.85546875" style="657" customWidth="1"/>
    <col min="10566" max="10778" width="11.42578125" style="657"/>
    <col min="10779" max="10779" width="13.140625" style="657" customWidth="1"/>
    <col min="10780" max="10780" width="4" style="657" customWidth="1"/>
    <col min="10781" max="10781" width="12.85546875" style="657" customWidth="1"/>
    <col min="10782" max="10782" width="14.7109375" style="657" customWidth="1"/>
    <col min="10783" max="10783" width="10" style="657" customWidth="1"/>
    <col min="10784" max="10784" width="6.28515625" style="657" customWidth="1"/>
    <col min="10785" max="10785" width="12.28515625" style="657" customWidth="1"/>
    <col min="10786" max="10786" width="8.5703125" style="657" customWidth="1"/>
    <col min="10787" max="10787" width="13.7109375" style="657" customWidth="1"/>
    <col min="10788" max="10788" width="11.5703125" style="657" customWidth="1"/>
    <col min="10789" max="10789" width="34.28515625" style="657" customWidth="1"/>
    <col min="10790" max="10790" width="24.28515625" style="657" customWidth="1"/>
    <col min="10791" max="10791" width="21.140625" style="657" customWidth="1"/>
    <col min="10792" max="10792" width="22.140625" style="657" customWidth="1"/>
    <col min="10793" max="10793" width="8" style="657" customWidth="1"/>
    <col min="10794" max="10794" width="17" style="657" customWidth="1"/>
    <col min="10795" max="10795" width="12.7109375" style="657" customWidth="1"/>
    <col min="10796" max="10796" width="24.5703125" style="657" customWidth="1"/>
    <col min="10797" max="10797" width="29" style="657" customWidth="1"/>
    <col min="10798" max="10798" width="17.7109375" style="657" customWidth="1"/>
    <col min="10799" max="10799" width="36.42578125" style="657" customWidth="1"/>
    <col min="10800" max="10800" width="21.85546875" style="657" customWidth="1"/>
    <col min="10801" max="10801" width="11.7109375" style="657" customWidth="1"/>
    <col min="10802" max="10802" width="26.28515625" style="657" customWidth="1"/>
    <col min="10803" max="10803" width="9" style="657" customWidth="1"/>
    <col min="10804" max="10804" width="6.28515625" style="657" customWidth="1"/>
    <col min="10805" max="10806" width="7.28515625" style="657" customWidth="1"/>
    <col min="10807" max="10807" width="8.42578125" style="657" customWidth="1"/>
    <col min="10808" max="10808" width="9.5703125" style="657" customWidth="1"/>
    <col min="10809" max="10809" width="6.28515625" style="657" customWidth="1"/>
    <col min="10810" max="10810" width="5.85546875" style="657" customWidth="1"/>
    <col min="10811" max="10812" width="4.42578125" style="657" customWidth="1"/>
    <col min="10813" max="10813" width="5" style="657" customWidth="1"/>
    <col min="10814" max="10814" width="5.85546875" style="657" customWidth="1"/>
    <col min="10815" max="10815" width="6.140625" style="657" customWidth="1"/>
    <col min="10816" max="10816" width="6.28515625" style="657" customWidth="1"/>
    <col min="10817" max="10817" width="11.140625" style="657" customWidth="1"/>
    <col min="10818" max="10818" width="14.140625" style="657" customWidth="1"/>
    <col min="10819" max="10819" width="19.85546875" style="657" customWidth="1"/>
    <col min="10820" max="10820" width="17" style="657" customWidth="1"/>
    <col min="10821" max="10821" width="20.85546875" style="657" customWidth="1"/>
    <col min="10822" max="11034" width="11.42578125" style="657"/>
    <col min="11035" max="11035" width="13.140625" style="657" customWidth="1"/>
    <col min="11036" max="11036" width="4" style="657" customWidth="1"/>
    <col min="11037" max="11037" width="12.85546875" style="657" customWidth="1"/>
    <col min="11038" max="11038" width="14.7109375" style="657" customWidth="1"/>
    <col min="11039" max="11039" width="10" style="657" customWidth="1"/>
    <col min="11040" max="11040" width="6.28515625" style="657" customWidth="1"/>
    <col min="11041" max="11041" width="12.28515625" style="657" customWidth="1"/>
    <col min="11042" max="11042" width="8.5703125" style="657" customWidth="1"/>
    <col min="11043" max="11043" width="13.7109375" style="657" customWidth="1"/>
    <col min="11044" max="11044" width="11.5703125" style="657" customWidth="1"/>
    <col min="11045" max="11045" width="34.28515625" style="657" customWidth="1"/>
    <col min="11046" max="11046" width="24.28515625" style="657" customWidth="1"/>
    <col min="11047" max="11047" width="21.140625" style="657" customWidth="1"/>
    <col min="11048" max="11048" width="22.140625" style="657" customWidth="1"/>
    <col min="11049" max="11049" width="8" style="657" customWidth="1"/>
    <col min="11050" max="11050" width="17" style="657" customWidth="1"/>
    <col min="11051" max="11051" width="12.7109375" style="657" customWidth="1"/>
    <col min="11052" max="11052" width="24.5703125" style="657" customWidth="1"/>
    <col min="11053" max="11053" width="29" style="657" customWidth="1"/>
    <col min="11054" max="11054" width="17.7109375" style="657" customWidth="1"/>
    <col min="11055" max="11055" width="36.42578125" style="657" customWidth="1"/>
    <col min="11056" max="11056" width="21.85546875" style="657" customWidth="1"/>
    <col min="11057" max="11057" width="11.7109375" style="657" customWidth="1"/>
    <col min="11058" max="11058" width="26.28515625" style="657" customWidth="1"/>
    <col min="11059" max="11059" width="9" style="657" customWidth="1"/>
    <col min="11060" max="11060" width="6.28515625" style="657" customWidth="1"/>
    <col min="11061" max="11062" width="7.28515625" style="657" customWidth="1"/>
    <col min="11063" max="11063" width="8.42578125" style="657" customWidth="1"/>
    <col min="11064" max="11064" width="9.5703125" style="657" customWidth="1"/>
    <col min="11065" max="11065" width="6.28515625" style="657" customWidth="1"/>
    <col min="11066" max="11066" width="5.85546875" style="657" customWidth="1"/>
    <col min="11067" max="11068" width="4.42578125" style="657" customWidth="1"/>
    <col min="11069" max="11069" width="5" style="657" customWidth="1"/>
    <col min="11070" max="11070" width="5.85546875" style="657" customWidth="1"/>
    <col min="11071" max="11071" width="6.140625" style="657" customWidth="1"/>
    <col min="11072" max="11072" width="6.28515625" style="657" customWidth="1"/>
    <col min="11073" max="11073" width="11.140625" style="657" customWidth="1"/>
    <col min="11074" max="11074" width="14.140625" style="657" customWidth="1"/>
    <col min="11075" max="11075" width="19.85546875" style="657" customWidth="1"/>
    <col min="11076" max="11076" width="17" style="657" customWidth="1"/>
    <col min="11077" max="11077" width="20.85546875" style="657" customWidth="1"/>
    <col min="11078" max="11290" width="11.42578125" style="657"/>
    <col min="11291" max="11291" width="13.140625" style="657" customWidth="1"/>
    <col min="11292" max="11292" width="4" style="657" customWidth="1"/>
    <col min="11293" max="11293" width="12.85546875" style="657" customWidth="1"/>
    <col min="11294" max="11294" width="14.7109375" style="657" customWidth="1"/>
    <col min="11295" max="11295" width="10" style="657" customWidth="1"/>
    <col min="11296" max="11296" width="6.28515625" style="657" customWidth="1"/>
    <col min="11297" max="11297" width="12.28515625" style="657" customWidth="1"/>
    <col min="11298" max="11298" width="8.5703125" style="657" customWidth="1"/>
    <col min="11299" max="11299" width="13.7109375" style="657" customWidth="1"/>
    <col min="11300" max="11300" width="11.5703125" style="657" customWidth="1"/>
    <col min="11301" max="11301" width="34.28515625" style="657" customWidth="1"/>
    <col min="11302" max="11302" width="24.28515625" style="657" customWidth="1"/>
    <col min="11303" max="11303" width="21.140625" style="657" customWidth="1"/>
    <col min="11304" max="11304" width="22.140625" style="657" customWidth="1"/>
    <col min="11305" max="11305" width="8" style="657" customWidth="1"/>
    <col min="11306" max="11306" width="17" style="657" customWidth="1"/>
    <col min="11307" max="11307" width="12.7109375" style="657" customWidth="1"/>
    <col min="11308" max="11308" width="24.5703125" style="657" customWidth="1"/>
    <col min="11309" max="11309" width="29" style="657" customWidth="1"/>
    <col min="11310" max="11310" width="17.7109375" style="657" customWidth="1"/>
    <col min="11311" max="11311" width="36.42578125" style="657" customWidth="1"/>
    <col min="11312" max="11312" width="21.85546875" style="657" customWidth="1"/>
    <col min="11313" max="11313" width="11.7109375" style="657" customWidth="1"/>
    <col min="11314" max="11314" width="26.28515625" style="657" customWidth="1"/>
    <col min="11315" max="11315" width="9" style="657" customWidth="1"/>
    <col min="11316" max="11316" width="6.28515625" style="657" customWidth="1"/>
    <col min="11317" max="11318" width="7.28515625" style="657" customWidth="1"/>
    <col min="11319" max="11319" width="8.42578125" style="657" customWidth="1"/>
    <col min="11320" max="11320" width="9.5703125" style="657" customWidth="1"/>
    <col min="11321" max="11321" width="6.28515625" style="657" customWidth="1"/>
    <col min="11322" max="11322" width="5.85546875" style="657" customWidth="1"/>
    <col min="11323" max="11324" width="4.42578125" style="657" customWidth="1"/>
    <col min="11325" max="11325" width="5" style="657" customWidth="1"/>
    <col min="11326" max="11326" width="5.85546875" style="657" customWidth="1"/>
    <col min="11327" max="11327" width="6.140625" style="657" customWidth="1"/>
    <col min="11328" max="11328" width="6.28515625" style="657" customWidth="1"/>
    <col min="11329" max="11329" width="11.140625" style="657" customWidth="1"/>
    <col min="11330" max="11330" width="14.140625" style="657" customWidth="1"/>
    <col min="11331" max="11331" width="19.85546875" style="657" customWidth="1"/>
    <col min="11332" max="11332" width="17" style="657" customWidth="1"/>
    <col min="11333" max="11333" width="20.85546875" style="657" customWidth="1"/>
    <col min="11334" max="11546" width="11.42578125" style="657"/>
    <col min="11547" max="11547" width="13.140625" style="657" customWidth="1"/>
    <col min="11548" max="11548" width="4" style="657" customWidth="1"/>
    <col min="11549" max="11549" width="12.85546875" style="657" customWidth="1"/>
    <col min="11550" max="11550" width="14.7109375" style="657" customWidth="1"/>
    <col min="11551" max="11551" width="10" style="657" customWidth="1"/>
    <col min="11552" max="11552" width="6.28515625" style="657" customWidth="1"/>
    <col min="11553" max="11553" width="12.28515625" style="657" customWidth="1"/>
    <col min="11554" max="11554" width="8.5703125" style="657" customWidth="1"/>
    <col min="11555" max="11555" width="13.7109375" style="657" customWidth="1"/>
    <col min="11556" max="11556" width="11.5703125" style="657" customWidth="1"/>
    <col min="11557" max="11557" width="34.28515625" style="657" customWidth="1"/>
    <col min="11558" max="11558" width="24.28515625" style="657" customWidth="1"/>
    <col min="11559" max="11559" width="21.140625" style="657" customWidth="1"/>
    <col min="11560" max="11560" width="22.140625" style="657" customWidth="1"/>
    <col min="11561" max="11561" width="8" style="657" customWidth="1"/>
    <col min="11562" max="11562" width="17" style="657" customWidth="1"/>
    <col min="11563" max="11563" width="12.7109375" style="657" customWidth="1"/>
    <col min="11564" max="11564" width="24.5703125" style="657" customWidth="1"/>
    <col min="11565" max="11565" width="29" style="657" customWidth="1"/>
    <col min="11566" max="11566" width="17.7109375" style="657" customWidth="1"/>
    <col min="11567" max="11567" width="36.42578125" style="657" customWidth="1"/>
    <col min="11568" max="11568" width="21.85546875" style="657" customWidth="1"/>
    <col min="11569" max="11569" width="11.7109375" style="657" customWidth="1"/>
    <col min="11570" max="11570" width="26.28515625" style="657" customWidth="1"/>
    <col min="11571" max="11571" width="9" style="657" customWidth="1"/>
    <col min="11572" max="11572" width="6.28515625" style="657" customWidth="1"/>
    <col min="11573" max="11574" width="7.28515625" style="657" customWidth="1"/>
    <col min="11575" max="11575" width="8.42578125" style="657" customWidth="1"/>
    <col min="11576" max="11576" width="9.5703125" style="657" customWidth="1"/>
    <col min="11577" max="11577" width="6.28515625" style="657" customWidth="1"/>
    <col min="11578" max="11578" width="5.85546875" style="657" customWidth="1"/>
    <col min="11579" max="11580" width="4.42578125" style="657" customWidth="1"/>
    <col min="11581" max="11581" width="5" style="657" customWidth="1"/>
    <col min="11582" max="11582" width="5.85546875" style="657" customWidth="1"/>
    <col min="11583" max="11583" width="6.140625" style="657" customWidth="1"/>
    <col min="11584" max="11584" width="6.28515625" style="657" customWidth="1"/>
    <col min="11585" max="11585" width="11.140625" style="657" customWidth="1"/>
    <col min="11586" max="11586" width="14.140625" style="657" customWidth="1"/>
    <col min="11587" max="11587" width="19.85546875" style="657" customWidth="1"/>
    <col min="11588" max="11588" width="17" style="657" customWidth="1"/>
    <col min="11589" max="11589" width="20.85546875" style="657" customWidth="1"/>
    <col min="11590" max="11802" width="11.42578125" style="657"/>
    <col min="11803" max="11803" width="13.140625" style="657" customWidth="1"/>
    <col min="11804" max="11804" width="4" style="657" customWidth="1"/>
    <col min="11805" max="11805" width="12.85546875" style="657" customWidth="1"/>
    <col min="11806" max="11806" width="14.7109375" style="657" customWidth="1"/>
    <col min="11807" max="11807" width="10" style="657" customWidth="1"/>
    <col min="11808" max="11808" width="6.28515625" style="657" customWidth="1"/>
    <col min="11809" max="11809" width="12.28515625" style="657" customWidth="1"/>
    <col min="11810" max="11810" width="8.5703125" style="657" customWidth="1"/>
    <col min="11811" max="11811" width="13.7109375" style="657" customWidth="1"/>
    <col min="11812" max="11812" width="11.5703125" style="657" customWidth="1"/>
    <col min="11813" max="11813" width="34.28515625" style="657" customWidth="1"/>
    <col min="11814" max="11814" width="24.28515625" style="657" customWidth="1"/>
    <col min="11815" max="11815" width="21.140625" style="657" customWidth="1"/>
    <col min="11816" max="11816" width="22.140625" style="657" customWidth="1"/>
    <col min="11817" max="11817" width="8" style="657" customWidth="1"/>
    <col min="11818" max="11818" width="17" style="657" customWidth="1"/>
    <col min="11819" max="11819" width="12.7109375" style="657" customWidth="1"/>
    <col min="11820" max="11820" width="24.5703125" style="657" customWidth="1"/>
    <col min="11821" max="11821" width="29" style="657" customWidth="1"/>
    <col min="11822" max="11822" width="17.7109375" style="657" customWidth="1"/>
    <col min="11823" max="11823" width="36.42578125" style="657" customWidth="1"/>
    <col min="11824" max="11824" width="21.85546875" style="657" customWidth="1"/>
    <col min="11825" max="11825" width="11.7109375" style="657" customWidth="1"/>
    <col min="11826" max="11826" width="26.28515625" style="657" customWidth="1"/>
    <col min="11827" max="11827" width="9" style="657" customWidth="1"/>
    <col min="11828" max="11828" width="6.28515625" style="657" customWidth="1"/>
    <col min="11829" max="11830" width="7.28515625" style="657" customWidth="1"/>
    <col min="11831" max="11831" width="8.42578125" style="657" customWidth="1"/>
    <col min="11832" max="11832" width="9.5703125" style="657" customWidth="1"/>
    <col min="11833" max="11833" width="6.28515625" style="657" customWidth="1"/>
    <col min="11834" max="11834" width="5.85546875" style="657" customWidth="1"/>
    <col min="11835" max="11836" width="4.42578125" style="657" customWidth="1"/>
    <col min="11837" max="11837" width="5" style="657" customWidth="1"/>
    <col min="11838" max="11838" width="5.85546875" style="657" customWidth="1"/>
    <col min="11839" max="11839" width="6.140625" style="657" customWidth="1"/>
    <col min="11840" max="11840" width="6.28515625" style="657" customWidth="1"/>
    <col min="11841" max="11841" width="11.140625" style="657" customWidth="1"/>
    <col min="11842" max="11842" width="14.140625" style="657" customWidth="1"/>
    <col min="11843" max="11843" width="19.85546875" style="657" customWidth="1"/>
    <col min="11844" max="11844" width="17" style="657" customWidth="1"/>
    <col min="11845" max="11845" width="20.85546875" style="657" customWidth="1"/>
    <col min="11846" max="12058" width="11.42578125" style="657"/>
    <col min="12059" max="12059" width="13.140625" style="657" customWidth="1"/>
    <col min="12060" max="12060" width="4" style="657" customWidth="1"/>
    <col min="12061" max="12061" width="12.85546875" style="657" customWidth="1"/>
    <col min="12062" max="12062" width="14.7109375" style="657" customWidth="1"/>
    <col min="12063" max="12063" width="10" style="657" customWidth="1"/>
    <col min="12064" max="12064" width="6.28515625" style="657" customWidth="1"/>
    <col min="12065" max="12065" width="12.28515625" style="657" customWidth="1"/>
    <col min="12066" max="12066" width="8.5703125" style="657" customWidth="1"/>
    <col min="12067" max="12067" width="13.7109375" style="657" customWidth="1"/>
    <col min="12068" max="12068" width="11.5703125" style="657" customWidth="1"/>
    <col min="12069" max="12069" width="34.28515625" style="657" customWidth="1"/>
    <col min="12070" max="12070" width="24.28515625" style="657" customWidth="1"/>
    <col min="12071" max="12071" width="21.140625" style="657" customWidth="1"/>
    <col min="12072" max="12072" width="22.140625" style="657" customWidth="1"/>
    <col min="12073" max="12073" width="8" style="657" customWidth="1"/>
    <col min="12074" max="12074" width="17" style="657" customWidth="1"/>
    <col min="12075" max="12075" width="12.7109375" style="657" customWidth="1"/>
    <col min="12076" max="12076" width="24.5703125" style="657" customWidth="1"/>
    <col min="12077" max="12077" width="29" style="657" customWidth="1"/>
    <col min="12078" max="12078" width="17.7109375" style="657" customWidth="1"/>
    <col min="12079" max="12079" width="36.42578125" style="657" customWidth="1"/>
    <col min="12080" max="12080" width="21.85546875" style="657" customWidth="1"/>
    <col min="12081" max="12081" width="11.7109375" style="657" customWidth="1"/>
    <col min="12082" max="12082" width="26.28515625" style="657" customWidth="1"/>
    <col min="12083" max="12083" width="9" style="657" customWidth="1"/>
    <col min="12084" max="12084" width="6.28515625" style="657" customWidth="1"/>
    <col min="12085" max="12086" width="7.28515625" style="657" customWidth="1"/>
    <col min="12087" max="12087" width="8.42578125" style="657" customWidth="1"/>
    <col min="12088" max="12088" width="9.5703125" style="657" customWidth="1"/>
    <col min="12089" max="12089" width="6.28515625" style="657" customWidth="1"/>
    <col min="12090" max="12090" width="5.85546875" style="657" customWidth="1"/>
    <col min="12091" max="12092" width="4.42578125" style="657" customWidth="1"/>
    <col min="12093" max="12093" width="5" style="657" customWidth="1"/>
    <col min="12094" max="12094" width="5.85546875" style="657" customWidth="1"/>
    <col min="12095" max="12095" width="6.140625" style="657" customWidth="1"/>
    <col min="12096" max="12096" width="6.28515625" style="657" customWidth="1"/>
    <col min="12097" max="12097" width="11.140625" style="657" customWidth="1"/>
    <col min="12098" max="12098" width="14.140625" style="657" customWidth="1"/>
    <col min="12099" max="12099" width="19.85546875" style="657" customWidth="1"/>
    <col min="12100" max="12100" width="17" style="657" customWidth="1"/>
    <col min="12101" max="12101" width="20.85546875" style="657" customWidth="1"/>
    <col min="12102" max="12314" width="11.42578125" style="657"/>
    <col min="12315" max="12315" width="13.140625" style="657" customWidth="1"/>
    <col min="12316" max="12316" width="4" style="657" customWidth="1"/>
    <col min="12317" max="12317" width="12.85546875" style="657" customWidth="1"/>
    <col min="12318" max="12318" width="14.7109375" style="657" customWidth="1"/>
    <col min="12319" max="12319" width="10" style="657" customWidth="1"/>
    <col min="12320" max="12320" width="6.28515625" style="657" customWidth="1"/>
    <col min="12321" max="12321" width="12.28515625" style="657" customWidth="1"/>
    <col min="12322" max="12322" width="8.5703125" style="657" customWidth="1"/>
    <col min="12323" max="12323" width="13.7109375" style="657" customWidth="1"/>
    <col min="12324" max="12324" width="11.5703125" style="657" customWidth="1"/>
    <col min="12325" max="12325" width="34.28515625" style="657" customWidth="1"/>
    <col min="12326" max="12326" width="24.28515625" style="657" customWidth="1"/>
    <col min="12327" max="12327" width="21.140625" style="657" customWidth="1"/>
    <col min="12328" max="12328" width="22.140625" style="657" customWidth="1"/>
    <col min="12329" max="12329" width="8" style="657" customWidth="1"/>
    <col min="12330" max="12330" width="17" style="657" customWidth="1"/>
    <col min="12331" max="12331" width="12.7109375" style="657" customWidth="1"/>
    <col min="12332" max="12332" width="24.5703125" style="657" customWidth="1"/>
    <col min="12333" max="12333" width="29" style="657" customWidth="1"/>
    <col min="12334" max="12334" width="17.7109375" style="657" customWidth="1"/>
    <col min="12335" max="12335" width="36.42578125" style="657" customWidth="1"/>
    <col min="12336" max="12336" width="21.85546875" style="657" customWidth="1"/>
    <col min="12337" max="12337" width="11.7109375" style="657" customWidth="1"/>
    <col min="12338" max="12338" width="26.28515625" style="657" customWidth="1"/>
    <col min="12339" max="12339" width="9" style="657" customWidth="1"/>
    <col min="12340" max="12340" width="6.28515625" style="657" customWidth="1"/>
    <col min="12341" max="12342" width="7.28515625" style="657" customWidth="1"/>
    <col min="12343" max="12343" width="8.42578125" style="657" customWidth="1"/>
    <col min="12344" max="12344" width="9.5703125" style="657" customWidth="1"/>
    <col min="12345" max="12345" width="6.28515625" style="657" customWidth="1"/>
    <col min="12346" max="12346" width="5.85546875" style="657" customWidth="1"/>
    <col min="12347" max="12348" width="4.42578125" style="657" customWidth="1"/>
    <col min="12349" max="12349" width="5" style="657" customWidth="1"/>
    <col min="12350" max="12350" width="5.85546875" style="657" customWidth="1"/>
    <col min="12351" max="12351" width="6.140625" style="657" customWidth="1"/>
    <col min="12352" max="12352" width="6.28515625" style="657" customWidth="1"/>
    <col min="12353" max="12353" width="11.140625" style="657" customWidth="1"/>
    <col min="12354" max="12354" width="14.140625" style="657" customWidth="1"/>
    <col min="12355" max="12355" width="19.85546875" style="657" customWidth="1"/>
    <col min="12356" max="12356" width="17" style="657" customWidth="1"/>
    <col min="12357" max="12357" width="20.85546875" style="657" customWidth="1"/>
    <col min="12358" max="12570" width="11.42578125" style="657"/>
    <col min="12571" max="12571" width="13.140625" style="657" customWidth="1"/>
    <col min="12572" max="12572" width="4" style="657" customWidth="1"/>
    <col min="12573" max="12573" width="12.85546875" style="657" customWidth="1"/>
    <col min="12574" max="12574" width="14.7109375" style="657" customWidth="1"/>
    <col min="12575" max="12575" width="10" style="657" customWidth="1"/>
    <col min="12576" max="12576" width="6.28515625" style="657" customWidth="1"/>
    <col min="12577" max="12577" width="12.28515625" style="657" customWidth="1"/>
    <col min="12578" max="12578" width="8.5703125" style="657" customWidth="1"/>
    <col min="12579" max="12579" width="13.7109375" style="657" customWidth="1"/>
    <col min="12580" max="12580" width="11.5703125" style="657" customWidth="1"/>
    <col min="12581" max="12581" width="34.28515625" style="657" customWidth="1"/>
    <col min="12582" max="12582" width="24.28515625" style="657" customWidth="1"/>
    <col min="12583" max="12583" width="21.140625" style="657" customWidth="1"/>
    <col min="12584" max="12584" width="22.140625" style="657" customWidth="1"/>
    <col min="12585" max="12585" width="8" style="657" customWidth="1"/>
    <col min="12586" max="12586" width="17" style="657" customWidth="1"/>
    <col min="12587" max="12587" width="12.7109375" style="657" customWidth="1"/>
    <col min="12588" max="12588" width="24.5703125" style="657" customWidth="1"/>
    <col min="12589" max="12589" width="29" style="657" customWidth="1"/>
    <col min="12590" max="12590" width="17.7109375" style="657" customWidth="1"/>
    <col min="12591" max="12591" width="36.42578125" style="657" customWidth="1"/>
    <col min="12592" max="12592" width="21.85546875" style="657" customWidth="1"/>
    <col min="12593" max="12593" width="11.7109375" style="657" customWidth="1"/>
    <col min="12594" max="12594" width="26.28515625" style="657" customWidth="1"/>
    <col min="12595" max="12595" width="9" style="657" customWidth="1"/>
    <col min="12596" max="12596" width="6.28515625" style="657" customWidth="1"/>
    <col min="12597" max="12598" width="7.28515625" style="657" customWidth="1"/>
    <col min="12599" max="12599" width="8.42578125" style="657" customWidth="1"/>
    <col min="12600" max="12600" width="9.5703125" style="657" customWidth="1"/>
    <col min="12601" max="12601" width="6.28515625" style="657" customWidth="1"/>
    <col min="12602" max="12602" width="5.85546875" style="657" customWidth="1"/>
    <col min="12603" max="12604" width="4.42578125" style="657" customWidth="1"/>
    <col min="12605" max="12605" width="5" style="657" customWidth="1"/>
    <col min="12606" max="12606" width="5.85546875" style="657" customWidth="1"/>
    <col min="12607" max="12607" width="6.140625" style="657" customWidth="1"/>
    <col min="12608" max="12608" width="6.28515625" style="657" customWidth="1"/>
    <col min="12609" max="12609" width="11.140625" style="657" customWidth="1"/>
    <col min="12610" max="12610" width="14.140625" style="657" customWidth="1"/>
    <col min="12611" max="12611" width="19.85546875" style="657" customWidth="1"/>
    <col min="12612" max="12612" width="17" style="657" customWidth="1"/>
    <col min="12613" max="12613" width="20.85546875" style="657" customWidth="1"/>
    <col min="12614" max="12826" width="11.42578125" style="657"/>
    <col min="12827" max="12827" width="13.140625" style="657" customWidth="1"/>
    <col min="12828" max="12828" width="4" style="657" customWidth="1"/>
    <col min="12829" max="12829" width="12.85546875" style="657" customWidth="1"/>
    <col min="12830" max="12830" width="14.7109375" style="657" customWidth="1"/>
    <col min="12831" max="12831" width="10" style="657" customWidth="1"/>
    <col min="12832" max="12832" width="6.28515625" style="657" customWidth="1"/>
    <col min="12833" max="12833" width="12.28515625" style="657" customWidth="1"/>
    <col min="12834" max="12834" width="8.5703125" style="657" customWidth="1"/>
    <col min="12835" max="12835" width="13.7109375" style="657" customWidth="1"/>
    <col min="12836" max="12836" width="11.5703125" style="657" customWidth="1"/>
    <col min="12837" max="12837" width="34.28515625" style="657" customWidth="1"/>
    <col min="12838" max="12838" width="24.28515625" style="657" customWidth="1"/>
    <col min="12839" max="12839" width="21.140625" style="657" customWidth="1"/>
    <col min="12840" max="12840" width="22.140625" style="657" customWidth="1"/>
    <col min="12841" max="12841" width="8" style="657" customWidth="1"/>
    <col min="12842" max="12842" width="17" style="657" customWidth="1"/>
    <col min="12843" max="12843" width="12.7109375" style="657" customWidth="1"/>
    <col min="12844" max="12844" width="24.5703125" style="657" customWidth="1"/>
    <col min="12845" max="12845" width="29" style="657" customWidth="1"/>
    <col min="12846" max="12846" width="17.7109375" style="657" customWidth="1"/>
    <col min="12847" max="12847" width="36.42578125" style="657" customWidth="1"/>
    <col min="12848" max="12848" width="21.85546875" style="657" customWidth="1"/>
    <col min="12849" max="12849" width="11.7109375" style="657" customWidth="1"/>
    <col min="12850" max="12850" width="26.28515625" style="657" customWidth="1"/>
    <col min="12851" max="12851" width="9" style="657" customWidth="1"/>
    <col min="12852" max="12852" width="6.28515625" style="657" customWidth="1"/>
    <col min="12853" max="12854" width="7.28515625" style="657" customWidth="1"/>
    <col min="12855" max="12855" width="8.42578125" style="657" customWidth="1"/>
    <col min="12856" max="12856" width="9.5703125" style="657" customWidth="1"/>
    <col min="12857" max="12857" width="6.28515625" style="657" customWidth="1"/>
    <col min="12858" max="12858" width="5.85546875" style="657" customWidth="1"/>
    <col min="12859" max="12860" width="4.42578125" style="657" customWidth="1"/>
    <col min="12861" max="12861" width="5" style="657" customWidth="1"/>
    <col min="12862" max="12862" width="5.85546875" style="657" customWidth="1"/>
    <col min="12863" max="12863" width="6.140625" style="657" customWidth="1"/>
    <col min="12864" max="12864" width="6.28515625" style="657" customWidth="1"/>
    <col min="12865" max="12865" width="11.140625" style="657" customWidth="1"/>
    <col min="12866" max="12866" width="14.140625" style="657" customWidth="1"/>
    <col min="12867" max="12867" width="19.85546875" style="657" customWidth="1"/>
    <col min="12868" max="12868" width="17" style="657" customWidth="1"/>
    <col min="12869" max="12869" width="20.85546875" style="657" customWidth="1"/>
    <col min="12870" max="13082" width="11.42578125" style="657"/>
    <col min="13083" max="13083" width="13.140625" style="657" customWidth="1"/>
    <col min="13084" max="13084" width="4" style="657" customWidth="1"/>
    <col min="13085" max="13085" width="12.85546875" style="657" customWidth="1"/>
    <col min="13086" max="13086" width="14.7109375" style="657" customWidth="1"/>
    <col min="13087" max="13087" width="10" style="657" customWidth="1"/>
    <col min="13088" max="13088" width="6.28515625" style="657" customWidth="1"/>
    <col min="13089" max="13089" width="12.28515625" style="657" customWidth="1"/>
    <col min="13090" max="13090" width="8.5703125" style="657" customWidth="1"/>
    <col min="13091" max="13091" width="13.7109375" style="657" customWidth="1"/>
    <col min="13092" max="13092" width="11.5703125" style="657" customWidth="1"/>
    <col min="13093" max="13093" width="34.28515625" style="657" customWidth="1"/>
    <col min="13094" max="13094" width="24.28515625" style="657" customWidth="1"/>
    <col min="13095" max="13095" width="21.140625" style="657" customWidth="1"/>
    <col min="13096" max="13096" width="22.140625" style="657" customWidth="1"/>
    <col min="13097" max="13097" width="8" style="657" customWidth="1"/>
    <col min="13098" max="13098" width="17" style="657" customWidth="1"/>
    <col min="13099" max="13099" width="12.7109375" style="657" customWidth="1"/>
    <col min="13100" max="13100" width="24.5703125" style="657" customWidth="1"/>
    <col min="13101" max="13101" width="29" style="657" customWidth="1"/>
    <col min="13102" max="13102" width="17.7109375" style="657" customWidth="1"/>
    <col min="13103" max="13103" width="36.42578125" style="657" customWidth="1"/>
    <col min="13104" max="13104" width="21.85546875" style="657" customWidth="1"/>
    <col min="13105" max="13105" width="11.7109375" style="657" customWidth="1"/>
    <col min="13106" max="13106" width="26.28515625" style="657" customWidth="1"/>
    <col min="13107" max="13107" width="9" style="657" customWidth="1"/>
    <col min="13108" max="13108" width="6.28515625" style="657" customWidth="1"/>
    <col min="13109" max="13110" width="7.28515625" style="657" customWidth="1"/>
    <col min="13111" max="13111" width="8.42578125" style="657" customWidth="1"/>
    <col min="13112" max="13112" width="9.5703125" style="657" customWidth="1"/>
    <col min="13113" max="13113" width="6.28515625" style="657" customWidth="1"/>
    <col min="13114" max="13114" width="5.85546875" style="657" customWidth="1"/>
    <col min="13115" max="13116" width="4.42578125" style="657" customWidth="1"/>
    <col min="13117" max="13117" width="5" style="657" customWidth="1"/>
    <col min="13118" max="13118" width="5.85546875" style="657" customWidth="1"/>
    <col min="13119" max="13119" width="6.140625" style="657" customWidth="1"/>
    <col min="13120" max="13120" width="6.28515625" style="657" customWidth="1"/>
    <col min="13121" max="13121" width="11.140625" style="657" customWidth="1"/>
    <col min="13122" max="13122" width="14.140625" style="657" customWidth="1"/>
    <col min="13123" max="13123" width="19.85546875" style="657" customWidth="1"/>
    <col min="13124" max="13124" width="17" style="657" customWidth="1"/>
    <col min="13125" max="13125" width="20.85546875" style="657" customWidth="1"/>
    <col min="13126" max="13338" width="11.42578125" style="657"/>
    <col min="13339" max="13339" width="13.140625" style="657" customWidth="1"/>
    <col min="13340" max="13340" width="4" style="657" customWidth="1"/>
    <col min="13341" max="13341" width="12.85546875" style="657" customWidth="1"/>
    <col min="13342" max="13342" width="14.7109375" style="657" customWidth="1"/>
    <col min="13343" max="13343" width="10" style="657" customWidth="1"/>
    <col min="13344" max="13344" width="6.28515625" style="657" customWidth="1"/>
    <col min="13345" max="13345" width="12.28515625" style="657" customWidth="1"/>
    <col min="13346" max="13346" width="8.5703125" style="657" customWidth="1"/>
    <col min="13347" max="13347" width="13.7109375" style="657" customWidth="1"/>
    <col min="13348" max="13348" width="11.5703125" style="657" customWidth="1"/>
    <col min="13349" max="13349" width="34.28515625" style="657" customWidth="1"/>
    <col min="13350" max="13350" width="24.28515625" style="657" customWidth="1"/>
    <col min="13351" max="13351" width="21.140625" style="657" customWidth="1"/>
    <col min="13352" max="13352" width="22.140625" style="657" customWidth="1"/>
    <col min="13353" max="13353" width="8" style="657" customWidth="1"/>
    <col min="13354" max="13354" width="17" style="657" customWidth="1"/>
    <col min="13355" max="13355" width="12.7109375" style="657" customWidth="1"/>
    <col min="13356" max="13356" width="24.5703125" style="657" customWidth="1"/>
    <col min="13357" max="13357" width="29" style="657" customWidth="1"/>
    <col min="13358" max="13358" width="17.7109375" style="657" customWidth="1"/>
    <col min="13359" max="13359" width="36.42578125" style="657" customWidth="1"/>
    <col min="13360" max="13360" width="21.85546875" style="657" customWidth="1"/>
    <col min="13361" max="13361" width="11.7109375" style="657" customWidth="1"/>
    <col min="13362" max="13362" width="26.28515625" style="657" customWidth="1"/>
    <col min="13363" max="13363" width="9" style="657" customWidth="1"/>
    <col min="13364" max="13364" width="6.28515625" style="657" customWidth="1"/>
    <col min="13365" max="13366" width="7.28515625" style="657" customWidth="1"/>
    <col min="13367" max="13367" width="8.42578125" style="657" customWidth="1"/>
    <col min="13368" max="13368" width="9.5703125" style="657" customWidth="1"/>
    <col min="13369" max="13369" width="6.28515625" style="657" customWidth="1"/>
    <col min="13370" max="13370" width="5.85546875" style="657" customWidth="1"/>
    <col min="13371" max="13372" width="4.42578125" style="657" customWidth="1"/>
    <col min="13373" max="13373" width="5" style="657" customWidth="1"/>
    <col min="13374" max="13374" width="5.85546875" style="657" customWidth="1"/>
    <col min="13375" max="13375" width="6.140625" style="657" customWidth="1"/>
    <col min="13376" max="13376" width="6.28515625" style="657" customWidth="1"/>
    <col min="13377" max="13377" width="11.140625" style="657" customWidth="1"/>
    <col min="13378" max="13378" width="14.140625" style="657" customWidth="1"/>
    <col min="13379" max="13379" width="19.85546875" style="657" customWidth="1"/>
    <col min="13380" max="13380" width="17" style="657" customWidth="1"/>
    <col min="13381" max="13381" width="20.85546875" style="657" customWidth="1"/>
    <col min="13382" max="13594" width="11.42578125" style="657"/>
    <col min="13595" max="13595" width="13.140625" style="657" customWidth="1"/>
    <col min="13596" max="13596" width="4" style="657" customWidth="1"/>
    <col min="13597" max="13597" width="12.85546875" style="657" customWidth="1"/>
    <col min="13598" max="13598" width="14.7109375" style="657" customWidth="1"/>
    <col min="13599" max="13599" width="10" style="657" customWidth="1"/>
    <col min="13600" max="13600" width="6.28515625" style="657" customWidth="1"/>
    <col min="13601" max="13601" width="12.28515625" style="657" customWidth="1"/>
    <col min="13602" max="13602" width="8.5703125" style="657" customWidth="1"/>
    <col min="13603" max="13603" width="13.7109375" style="657" customWidth="1"/>
    <col min="13604" max="13604" width="11.5703125" style="657" customWidth="1"/>
    <col min="13605" max="13605" width="34.28515625" style="657" customWidth="1"/>
    <col min="13606" max="13606" width="24.28515625" style="657" customWidth="1"/>
    <col min="13607" max="13607" width="21.140625" style="657" customWidth="1"/>
    <col min="13608" max="13608" width="22.140625" style="657" customWidth="1"/>
    <col min="13609" max="13609" width="8" style="657" customWidth="1"/>
    <col min="13610" max="13610" width="17" style="657" customWidth="1"/>
    <col min="13611" max="13611" width="12.7109375" style="657" customWidth="1"/>
    <col min="13612" max="13612" width="24.5703125" style="657" customWidth="1"/>
    <col min="13613" max="13613" width="29" style="657" customWidth="1"/>
    <col min="13614" max="13614" width="17.7109375" style="657" customWidth="1"/>
    <col min="13615" max="13615" width="36.42578125" style="657" customWidth="1"/>
    <col min="13616" max="13616" width="21.85546875" style="657" customWidth="1"/>
    <col min="13617" max="13617" width="11.7109375" style="657" customWidth="1"/>
    <col min="13618" max="13618" width="26.28515625" style="657" customWidth="1"/>
    <col min="13619" max="13619" width="9" style="657" customWidth="1"/>
    <col min="13620" max="13620" width="6.28515625" style="657" customWidth="1"/>
    <col min="13621" max="13622" width="7.28515625" style="657" customWidth="1"/>
    <col min="13623" max="13623" width="8.42578125" style="657" customWidth="1"/>
    <col min="13624" max="13624" width="9.5703125" style="657" customWidth="1"/>
    <col min="13625" max="13625" width="6.28515625" style="657" customWidth="1"/>
    <col min="13626" max="13626" width="5.85546875" style="657" customWidth="1"/>
    <col min="13627" max="13628" width="4.42578125" style="657" customWidth="1"/>
    <col min="13629" max="13629" width="5" style="657" customWidth="1"/>
    <col min="13630" max="13630" width="5.85546875" style="657" customWidth="1"/>
    <col min="13631" max="13631" width="6.140625" style="657" customWidth="1"/>
    <col min="13632" max="13632" width="6.28515625" style="657" customWidth="1"/>
    <col min="13633" max="13633" width="11.140625" style="657" customWidth="1"/>
    <col min="13634" max="13634" width="14.140625" style="657" customWidth="1"/>
    <col min="13635" max="13635" width="19.85546875" style="657" customWidth="1"/>
    <col min="13636" max="13636" width="17" style="657" customWidth="1"/>
    <col min="13637" max="13637" width="20.85546875" style="657" customWidth="1"/>
    <col min="13638" max="13850" width="11.42578125" style="657"/>
    <col min="13851" max="13851" width="13.140625" style="657" customWidth="1"/>
    <col min="13852" max="13852" width="4" style="657" customWidth="1"/>
    <col min="13853" max="13853" width="12.85546875" style="657" customWidth="1"/>
    <col min="13854" max="13854" width="14.7109375" style="657" customWidth="1"/>
    <col min="13855" max="13855" width="10" style="657" customWidth="1"/>
    <col min="13856" max="13856" width="6.28515625" style="657" customWidth="1"/>
    <col min="13857" max="13857" width="12.28515625" style="657" customWidth="1"/>
    <col min="13858" max="13858" width="8.5703125" style="657" customWidth="1"/>
    <col min="13859" max="13859" width="13.7109375" style="657" customWidth="1"/>
    <col min="13860" max="13860" width="11.5703125" style="657" customWidth="1"/>
    <col min="13861" max="13861" width="34.28515625" style="657" customWidth="1"/>
    <col min="13862" max="13862" width="24.28515625" style="657" customWidth="1"/>
    <col min="13863" max="13863" width="21.140625" style="657" customWidth="1"/>
    <col min="13864" max="13864" width="22.140625" style="657" customWidth="1"/>
    <col min="13865" max="13865" width="8" style="657" customWidth="1"/>
    <col min="13866" max="13866" width="17" style="657" customWidth="1"/>
    <col min="13867" max="13867" width="12.7109375" style="657" customWidth="1"/>
    <col min="13868" max="13868" width="24.5703125" style="657" customWidth="1"/>
    <col min="13869" max="13869" width="29" style="657" customWidth="1"/>
    <col min="13870" max="13870" width="17.7109375" style="657" customWidth="1"/>
    <col min="13871" max="13871" width="36.42578125" style="657" customWidth="1"/>
    <col min="13872" max="13872" width="21.85546875" style="657" customWidth="1"/>
    <col min="13873" max="13873" width="11.7109375" style="657" customWidth="1"/>
    <col min="13874" max="13874" width="26.28515625" style="657" customWidth="1"/>
    <col min="13875" max="13875" width="9" style="657" customWidth="1"/>
    <col min="13876" max="13876" width="6.28515625" style="657" customWidth="1"/>
    <col min="13877" max="13878" width="7.28515625" style="657" customWidth="1"/>
    <col min="13879" max="13879" width="8.42578125" style="657" customWidth="1"/>
    <col min="13880" max="13880" width="9.5703125" style="657" customWidth="1"/>
    <col min="13881" max="13881" width="6.28515625" style="657" customWidth="1"/>
    <col min="13882" max="13882" width="5.85546875" style="657" customWidth="1"/>
    <col min="13883" max="13884" width="4.42578125" style="657" customWidth="1"/>
    <col min="13885" max="13885" width="5" style="657" customWidth="1"/>
    <col min="13886" max="13886" width="5.85546875" style="657" customWidth="1"/>
    <col min="13887" max="13887" width="6.140625" style="657" customWidth="1"/>
    <col min="13888" max="13888" width="6.28515625" style="657" customWidth="1"/>
    <col min="13889" max="13889" width="11.140625" style="657" customWidth="1"/>
    <col min="13890" max="13890" width="14.140625" style="657" customWidth="1"/>
    <col min="13891" max="13891" width="19.85546875" style="657" customWidth="1"/>
    <col min="13892" max="13892" width="17" style="657" customWidth="1"/>
    <col min="13893" max="13893" width="20.85546875" style="657" customWidth="1"/>
    <col min="13894" max="14106" width="11.42578125" style="657"/>
    <col min="14107" max="14107" width="13.140625" style="657" customWidth="1"/>
    <col min="14108" max="14108" width="4" style="657" customWidth="1"/>
    <col min="14109" max="14109" width="12.85546875" style="657" customWidth="1"/>
    <col min="14110" max="14110" width="14.7109375" style="657" customWidth="1"/>
    <col min="14111" max="14111" width="10" style="657" customWidth="1"/>
    <col min="14112" max="14112" width="6.28515625" style="657" customWidth="1"/>
    <col min="14113" max="14113" width="12.28515625" style="657" customWidth="1"/>
    <col min="14114" max="14114" width="8.5703125" style="657" customWidth="1"/>
    <col min="14115" max="14115" width="13.7109375" style="657" customWidth="1"/>
    <col min="14116" max="14116" width="11.5703125" style="657" customWidth="1"/>
    <col min="14117" max="14117" width="34.28515625" style="657" customWidth="1"/>
    <col min="14118" max="14118" width="24.28515625" style="657" customWidth="1"/>
    <col min="14119" max="14119" width="21.140625" style="657" customWidth="1"/>
    <col min="14120" max="14120" width="22.140625" style="657" customWidth="1"/>
    <col min="14121" max="14121" width="8" style="657" customWidth="1"/>
    <col min="14122" max="14122" width="17" style="657" customWidth="1"/>
    <col min="14123" max="14123" width="12.7109375" style="657" customWidth="1"/>
    <col min="14124" max="14124" width="24.5703125" style="657" customWidth="1"/>
    <col min="14125" max="14125" width="29" style="657" customWidth="1"/>
    <col min="14126" max="14126" width="17.7109375" style="657" customWidth="1"/>
    <col min="14127" max="14127" width="36.42578125" style="657" customWidth="1"/>
    <col min="14128" max="14128" width="21.85546875" style="657" customWidth="1"/>
    <col min="14129" max="14129" width="11.7109375" style="657" customWidth="1"/>
    <col min="14130" max="14130" width="26.28515625" style="657" customWidth="1"/>
    <col min="14131" max="14131" width="9" style="657" customWidth="1"/>
    <col min="14132" max="14132" width="6.28515625" style="657" customWidth="1"/>
    <col min="14133" max="14134" width="7.28515625" style="657" customWidth="1"/>
    <col min="14135" max="14135" width="8.42578125" style="657" customWidth="1"/>
    <col min="14136" max="14136" width="9.5703125" style="657" customWidth="1"/>
    <col min="14137" max="14137" width="6.28515625" style="657" customWidth="1"/>
    <col min="14138" max="14138" width="5.85546875" style="657" customWidth="1"/>
    <col min="14139" max="14140" width="4.42578125" style="657" customWidth="1"/>
    <col min="14141" max="14141" width="5" style="657" customWidth="1"/>
    <col min="14142" max="14142" width="5.85546875" style="657" customWidth="1"/>
    <col min="14143" max="14143" width="6.140625" style="657" customWidth="1"/>
    <col min="14144" max="14144" width="6.28515625" style="657" customWidth="1"/>
    <col min="14145" max="14145" width="11.140625" style="657" customWidth="1"/>
    <col min="14146" max="14146" width="14.140625" style="657" customWidth="1"/>
    <col min="14147" max="14147" width="19.85546875" style="657" customWidth="1"/>
    <col min="14148" max="14148" width="17" style="657" customWidth="1"/>
    <col min="14149" max="14149" width="20.85546875" style="657" customWidth="1"/>
    <col min="14150" max="14362" width="11.42578125" style="657"/>
    <col min="14363" max="14363" width="13.140625" style="657" customWidth="1"/>
    <col min="14364" max="14364" width="4" style="657" customWidth="1"/>
    <col min="14365" max="14365" width="12.85546875" style="657" customWidth="1"/>
    <col min="14366" max="14366" width="14.7109375" style="657" customWidth="1"/>
    <col min="14367" max="14367" width="10" style="657" customWidth="1"/>
    <col min="14368" max="14368" width="6.28515625" style="657" customWidth="1"/>
    <col min="14369" max="14369" width="12.28515625" style="657" customWidth="1"/>
    <col min="14370" max="14370" width="8.5703125" style="657" customWidth="1"/>
    <col min="14371" max="14371" width="13.7109375" style="657" customWidth="1"/>
    <col min="14372" max="14372" width="11.5703125" style="657" customWidth="1"/>
    <col min="14373" max="14373" width="34.28515625" style="657" customWidth="1"/>
    <col min="14374" max="14374" width="24.28515625" style="657" customWidth="1"/>
    <col min="14375" max="14375" width="21.140625" style="657" customWidth="1"/>
    <col min="14376" max="14376" width="22.140625" style="657" customWidth="1"/>
    <col min="14377" max="14377" width="8" style="657" customWidth="1"/>
    <col min="14378" max="14378" width="17" style="657" customWidth="1"/>
    <col min="14379" max="14379" width="12.7109375" style="657" customWidth="1"/>
    <col min="14380" max="14380" width="24.5703125" style="657" customWidth="1"/>
    <col min="14381" max="14381" width="29" style="657" customWidth="1"/>
    <col min="14382" max="14382" width="17.7109375" style="657" customWidth="1"/>
    <col min="14383" max="14383" width="36.42578125" style="657" customWidth="1"/>
    <col min="14384" max="14384" width="21.85546875" style="657" customWidth="1"/>
    <col min="14385" max="14385" width="11.7109375" style="657" customWidth="1"/>
    <col min="14386" max="14386" width="26.28515625" style="657" customWidth="1"/>
    <col min="14387" max="14387" width="9" style="657" customWidth="1"/>
    <col min="14388" max="14388" width="6.28515625" style="657" customWidth="1"/>
    <col min="14389" max="14390" width="7.28515625" style="657" customWidth="1"/>
    <col min="14391" max="14391" width="8.42578125" style="657" customWidth="1"/>
    <col min="14392" max="14392" width="9.5703125" style="657" customWidth="1"/>
    <col min="14393" max="14393" width="6.28515625" style="657" customWidth="1"/>
    <col min="14394" max="14394" width="5.85546875" style="657" customWidth="1"/>
    <col min="14395" max="14396" width="4.42578125" style="657" customWidth="1"/>
    <col min="14397" max="14397" width="5" style="657" customWidth="1"/>
    <col min="14398" max="14398" width="5.85546875" style="657" customWidth="1"/>
    <col min="14399" max="14399" width="6.140625" style="657" customWidth="1"/>
    <col min="14400" max="14400" width="6.28515625" style="657" customWidth="1"/>
    <col min="14401" max="14401" width="11.140625" style="657" customWidth="1"/>
    <col min="14402" max="14402" width="14.140625" style="657" customWidth="1"/>
    <col min="14403" max="14403" width="19.85546875" style="657" customWidth="1"/>
    <col min="14404" max="14404" width="17" style="657" customWidth="1"/>
    <col min="14405" max="14405" width="20.85546875" style="657" customWidth="1"/>
    <col min="14406" max="14618" width="11.42578125" style="657"/>
    <col min="14619" max="14619" width="13.140625" style="657" customWidth="1"/>
    <col min="14620" max="14620" width="4" style="657" customWidth="1"/>
    <col min="14621" max="14621" width="12.85546875" style="657" customWidth="1"/>
    <col min="14622" max="14622" width="14.7109375" style="657" customWidth="1"/>
    <col min="14623" max="14623" width="10" style="657" customWidth="1"/>
    <col min="14624" max="14624" width="6.28515625" style="657" customWidth="1"/>
    <col min="14625" max="14625" width="12.28515625" style="657" customWidth="1"/>
    <col min="14626" max="14626" width="8.5703125" style="657" customWidth="1"/>
    <col min="14627" max="14627" width="13.7109375" style="657" customWidth="1"/>
    <col min="14628" max="14628" width="11.5703125" style="657" customWidth="1"/>
    <col min="14629" max="14629" width="34.28515625" style="657" customWidth="1"/>
    <col min="14630" max="14630" width="24.28515625" style="657" customWidth="1"/>
    <col min="14631" max="14631" width="21.140625" style="657" customWidth="1"/>
    <col min="14632" max="14632" width="22.140625" style="657" customWidth="1"/>
    <col min="14633" max="14633" width="8" style="657" customWidth="1"/>
    <col min="14634" max="14634" width="17" style="657" customWidth="1"/>
    <col min="14635" max="14635" width="12.7109375" style="657" customWidth="1"/>
    <col min="14636" max="14636" width="24.5703125" style="657" customWidth="1"/>
    <col min="14637" max="14637" width="29" style="657" customWidth="1"/>
    <col min="14638" max="14638" width="17.7109375" style="657" customWidth="1"/>
    <col min="14639" max="14639" width="36.42578125" style="657" customWidth="1"/>
    <col min="14640" max="14640" width="21.85546875" style="657" customWidth="1"/>
    <col min="14641" max="14641" width="11.7109375" style="657" customWidth="1"/>
    <col min="14642" max="14642" width="26.28515625" style="657" customWidth="1"/>
    <col min="14643" max="14643" width="9" style="657" customWidth="1"/>
    <col min="14644" max="14644" width="6.28515625" style="657" customWidth="1"/>
    <col min="14645" max="14646" width="7.28515625" style="657" customWidth="1"/>
    <col min="14647" max="14647" width="8.42578125" style="657" customWidth="1"/>
    <col min="14648" max="14648" width="9.5703125" style="657" customWidth="1"/>
    <col min="14649" max="14649" width="6.28515625" style="657" customWidth="1"/>
    <col min="14650" max="14650" width="5.85546875" style="657" customWidth="1"/>
    <col min="14651" max="14652" width="4.42578125" style="657" customWidth="1"/>
    <col min="14653" max="14653" width="5" style="657" customWidth="1"/>
    <col min="14654" max="14654" width="5.85546875" style="657" customWidth="1"/>
    <col min="14655" max="14655" width="6.140625" style="657" customWidth="1"/>
    <col min="14656" max="14656" width="6.28515625" style="657" customWidth="1"/>
    <col min="14657" max="14657" width="11.140625" style="657" customWidth="1"/>
    <col min="14658" max="14658" width="14.140625" style="657" customWidth="1"/>
    <col min="14659" max="14659" width="19.85546875" style="657" customWidth="1"/>
    <col min="14660" max="14660" width="17" style="657" customWidth="1"/>
    <col min="14661" max="14661" width="20.85546875" style="657" customWidth="1"/>
    <col min="14662" max="14874" width="11.42578125" style="657"/>
    <col min="14875" max="14875" width="13.140625" style="657" customWidth="1"/>
    <col min="14876" max="14876" width="4" style="657" customWidth="1"/>
    <col min="14877" max="14877" width="12.85546875" style="657" customWidth="1"/>
    <col min="14878" max="14878" width="14.7109375" style="657" customWidth="1"/>
    <col min="14879" max="14879" width="10" style="657" customWidth="1"/>
    <col min="14880" max="14880" width="6.28515625" style="657" customWidth="1"/>
    <col min="14881" max="14881" width="12.28515625" style="657" customWidth="1"/>
    <col min="14882" max="14882" width="8.5703125" style="657" customWidth="1"/>
    <col min="14883" max="14883" width="13.7109375" style="657" customWidth="1"/>
    <col min="14884" max="14884" width="11.5703125" style="657" customWidth="1"/>
    <col min="14885" max="14885" width="34.28515625" style="657" customWidth="1"/>
    <col min="14886" max="14886" width="24.28515625" style="657" customWidth="1"/>
    <col min="14887" max="14887" width="21.140625" style="657" customWidth="1"/>
    <col min="14888" max="14888" width="22.140625" style="657" customWidth="1"/>
    <col min="14889" max="14889" width="8" style="657" customWidth="1"/>
    <col min="14890" max="14890" width="17" style="657" customWidth="1"/>
    <col min="14891" max="14891" width="12.7109375" style="657" customWidth="1"/>
    <col min="14892" max="14892" width="24.5703125" style="657" customWidth="1"/>
    <col min="14893" max="14893" width="29" style="657" customWidth="1"/>
    <col min="14894" max="14894" width="17.7109375" style="657" customWidth="1"/>
    <col min="14895" max="14895" width="36.42578125" style="657" customWidth="1"/>
    <col min="14896" max="14896" width="21.85546875" style="657" customWidth="1"/>
    <col min="14897" max="14897" width="11.7109375" style="657" customWidth="1"/>
    <col min="14898" max="14898" width="26.28515625" style="657" customWidth="1"/>
    <col min="14899" max="14899" width="9" style="657" customWidth="1"/>
    <col min="14900" max="14900" width="6.28515625" style="657" customWidth="1"/>
    <col min="14901" max="14902" width="7.28515625" style="657" customWidth="1"/>
    <col min="14903" max="14903" width="8.42578125" style="657" customWidth="1"/>
    <col min="14904" max="14904" width="9.5703125" style="657" customWidth="1"/>
    <col min="14905" max="14905" width="6.28515625" style="657" customWidth="1"/>
    <col min="14906" max="14906" width="5.85546875" style="657" customWidth="1"/>
    <col min="14907" max="14908" width="4.42578125" style="657" customWidth="1"/>
    <col min="14909" max="14909" width="5" style="657" customWidth="1"/>
    <col min="14910" max="14910" width="5.85546875" style="657" customWidth="1"/>
    <col min="14911" max="14911" width="6.140625" style="657" customWidth="1"/>
    <col min="14912" max="14912" width="6.28515625" style="657" customWidth="1"/>
    <col min="14913" max="14913" width="11.140625" style="657" customWidth="1"/>
    <col min="14914" max="14914" width="14.140625" style="657" customWidth="1"/>
    <col min="14915" max="14915" width="19.85546875" style="657" customWidth="1"/>
    <col min="14916" max="14916" width="17" style="657" customWidth="1"/>
    <col min="14917" max="14917" width="20.85546875" style="657" customWidth="1"/>
    <col min="14918" max="15130" width="11.42578125" style="657"/>
    <col min="15131" max="15131" width="13.140625" style="657" customWidth="1"/>
    <col min="15132" max="15132" width="4" style="657" customWidth="1"/>
    <col min="15133" max="15133" width="12.85546875" style="657" customWidth="1"/>
    <col min="15134" max="15134" width="14.7109375" style="657" customWidth="1"/>
    <col min="15135" max="15135" width="10" style="657" customWidth="1"/>
    <col min="15136" max="15136" width="6.28515625" style="657" customWidth="1"/>
    <col min="15137" max="15137" width="12.28515625" style="657" customWidth="1"/>
    <col min="15138" max="15138" width="8.5703125" style="657" customWidth="1"/>
    <col min="15139" max="15139" width="13.7109375" style="657" customWidth="1"/>
    <col min="15140" max="15140" width="11.5703125" style="657" customWidth="1"/>
    <col min="15141" max="15141" width="34.28515625" style="657" customWidth="1"/>
    <col min="15142" max="15142" width="24.28515625" style="657" customWidth="1"/>
    <col min="15143" max="15143" width="21.140625" style="657" customWidth="1"/>
    <col min="15144" max="15144" width="22.140625" style="657" customWidth="1"/>
    <col min="15145" max="15145" width="8" style="657" customWidth="1"/>
    <col min="15146" max="15146" width="17" style="657" customWidth="1"/>
    <col min="15147" max="15147" width="12.7109375" style="657" customWidth="1"/>
    <col min="15148" max="15148" width="24.5703125" style="657" customWidth="1"/>
    <col min="15149" max="15149" width="29" style="657" customWidth="1"/>
    <col min="15150" max="15150" width="17.7109375" style="657" customWidth="1"/>
    <col min="15151" max="15151" width="36.42578125" style="657" customWidth="1"/>
    <col min="15152" max="15152" width="21.85546875" style="657" customWidth="1"/>
    <col min="15153" max="15153" width="11.7109375" style="657" customWidth="1"/>
    <col min="15154" max="15154" width="26.28515625" style="657" customWidth="1"/>
    <col min="15155" max="15155" width="9" style="657" customWidth="1"/>
    <col min="15156" max="15156" width="6.28515625" style="657" customWidth="1"/>
    <col min="15157" max="15158" width="7.28515625" style="657" customWidth="1"/>
    <col min="15159" max="15159" width="8.42578125" style="657" customWidth="1"/>
    <col min="15160" max="15160" width="9.5703125" style="657" customWidth="1"/>
    <col min="15161" max="15161" width="6.28515625" style="657" customWidth="1"/>
    <col min="15162" max="15162" width="5.85546875" style="657" customWidth="1"/>
    <col min="15163" max="15164" width="4.42578125" style="657" customWidth="1"/>
    <col min="15165" max="15165" width="5" style="657" customWidth="1"/>
    <col min="15166" max="15166" width="5.85546875" style="657" customWidth="1"/>
    <col min="15167" max="15167" width="6.140625" style="657" customWidth="1"/>
    <col min="15168" max="15168" width="6.28515625" style="657" customWidth="1"/>
    <col min="15169" max="15169" width="11.140625" style="657" customWidth="1"/>
    <col min="15170" max="15170" width="14.140625" style="657" customWidth="1"/>
    <col min="15171" max="15171" width="19.85546875" style="657" customWidth="1"/>
    <col min="15172" max="15172" width="17" style="657" customWidth="1"/>
    <col min="15173" max="15173" width="20.85546875" style="657" customWidth="1"/>
    <col min="15174" max="15386" width="11.42578125" style="657"/>
    <col min="15387" max="15387" width="13.140625" style="657" customWidth="1"/>
    <col min="15388" max="15388" width="4" style="657" customWidth="1"/>
    <col min="15389" max="15389" width="12.85546875" style="657" customWidth="1"/>
    <col min="15390" max="15390" width="14.7109375" style="657" customWidth="1"/>
    <col min="15391" max="15391" width="10" style="657" customWidth="1"/>
    <col min="15392" max="15392" width="6.28515625" style="657" customWidth="1"/>
    <col min="15393" max="15393" width="12.28515625" style="657" customWidth="1"/>
    <col min="15394" max="15394" width="8.5703125" style="657" customWidth="1"/>
    <col min="15395" max="15395" width="13.7109375" style="657" customWidth="1"/>
    <col min="15396" max="15396" width="11.5703125" style="657" customWidth="1"/>
    <col min="15397" max="15397" width="34.28515625" style="657" customWidth="1"/>
    <col min="15398" max="15398" width="24.28515625" style="657" customWidth="1"/>
    <col min="15399" max="15399" width="21.140625" style="657" customWidth="1"/>
    <col min="15400" max="15400" width="22.140625" style="657" customWidth="1"/>
    <col min="15401" max="15401" width="8" style="657" customWidth="1"/>
    <col min="15402" max="15402" width="17" style="657" customWidth="1"/>
    <col min="15403" max="15403" width="12.7109375" style="657" customWidth="1"/>
    <col min="15404" max="15404" width="24.5703125" style="657" customWidth="1"/>
    <col min="15405" max="15405" width="29" style="657" customWidth="1"/>
    <col min="15406" max="15406" width="17.7109375" style="657" customWidth="1"/>
    <col min="15407" max="15407" width="36.42578125" style="657" customWidth="1"/>
    <col min="15408" max="15408" width="21.85546875" style="657" customWidth="1"/>
    <col min="15409" max="15409" width="11.7109375" style="657" customWidth="1"/>
    <col min="15410" max="15410" width="26.28515625" style="657" customWidth="1"/>
    <col min="15411" max="15411" width="9" style="657" customWidth="1"/>
    <col min="15412" max="15412" width="6.28515625" style="657" customWidth="1"/>
    <col min="15413" max="15414" width="7.28515625" style="657" customWidth="1"/>
    <col min="15415" max="15415" width="8.42578125" style="657" customWidth="1"/>
    <col min="15416" max="15416" width="9.5703125" style="657" customWidth="1"/>
    <col min="15417" max="15417" width="6.28515625" style="657" customWidth="1"/>
    <col min="15418" max="15418" width="5.85546875" style="657" customWidth="1"/>
    <col min="15419" max="15420" width="4.42578125" style="657" customWidth="1"/>
    <col min="15421" max="15421" width="5" style="657" customWidth="1"/>
    <col min="15422" max="15422" width="5.85546875" style="657" customWidth="1"/>
    <col min="15423" max="15423" width="6.140625" style="657" customWidth="1"/>
    <col min="15424" max="15424" width="6.28515625" style="657" customWidth="1"/>
    <col min="15425" max="15425" width="11.140625" style="657" customWidth="1"/>
    <col min="15426" max="15426" width="14.140625" style="657" customWidth="1"/>
    <col min="15427" max="15427" width="19.85546875" style="657" customWidth="1"/>
    <col min="15428" max="15428" width="17" style="657" customWidth="1"/>
    <col min="15429" max="15429" width="20.85546875" style="657" customWidth="1"/>
    <col min="15430" max="15642" width="11.42578125" style="657"/>
    <col min="15643" max="15643" width="13.140625" style="657" customWidth="1"/>
    <col min="15644" max="15644" width="4" style="657" customWidth="1"/>
    <col min="15645" max="15645" width="12.85546875" style="657" customWidth="1"/>
    <col min="15646" max="15646" width="14.7109375" style="657" customWidth="1"/>
    <col min="15647" max="15647" width="10" style="657" customWidth="1"/>
    <col min="15648" max="15648" width="6.28515625" style="657" customWidth="1"/>
    <col min="15649" max="15649" width="12.28515625" style="657" customWidth="1"/>
    <col min="15650" max="15650" width="8.5703125" style="657" customWidth="1"/>
    <col min="15651" max="15651" width="13.7109375" style="657" customWidth="1"/>
    <col min="15652" max="15652" width="11.5703125" style="657" customWidth="1"/>
    <col min="15653" max="15653" width="34.28515625" style="657" customWidth="1"/>
    <col min="15654" max="15654" width="24.28515625" style="657" customWidth="1"/>
    <col min="15655" max="15655" width="21.140625" style="657" customWidth="1"/>
    <col min="15656" max="15656" width="22.140625" style="657" customWidth="1"/>
    <col min="15657" max="15657" width="8" style="657" customWidth="1"/>
    <col min="15658" max="15658" width="17" style="657" customWidth="1"/>
    <col min="15659" max="15659" width="12.7109375" style="657" customWidth="1"/>
    <col min="15660" max="15660" width="24.5703125" style="657" customWidth="1"/>
    <col min="15661" max="15661" width="29" style="657" customWidth="1"/>
    <col min="15662" max="15662" width="17.7109375" style="657" customWidth="1"/>
    <col min="15663" max="15663" width="36.42578125" style="657" customWidth="1"/>
    <col min="15664" max="15664" width="21.85546875" style="657" customWidth="1"/>
    <col min="15665" max="15665" width="11.7109375" style="657" customWidth="1"/>
    <col min="15666" max="15666" width="26.28515625" style="657" customWidth="1"/>
    <col min="15667" max="15667" width="9" style="657" customWidth="1"/>
    <col min="15668" max="15668" width="6.28515625" style="657" customWidth="1"/>
    <col min="15669" max="15670" width="7.28515625" style="657" customWidth="1"/>
    <col min="15671" max="15671" width="8.42578125" style="657" customWidth="1"/>
    <col min="15672" max="15672" width="9.5703125" style="657" customWidth="1"/>
    <col min="15673" max="15673" width="6.28515625" style="657" customWidth="1"/>
    <col min="15674" max="15674" width="5.85546875" style="657" customWidth="1"/>
    <col min="15675" max="15676" width="4.42578125" style="657" customWidth="1"/>
    <col min="15677" max="15677" width="5" style="657" customWidth="1"/>
    <col min="15678" max="15678" width="5.85546875" style="657" customWidth="1"/>
    <col min="15679" max="15679" width="6.140625" style="657" customWidth="1"/>
    <col min="15680" max="15680" width="6.28515625" style="657" customWidth="1"/>
    <col min="15681" max="15681" width="11.140625" style="657" customWidth="1"/>
    <col min="15682" max="15682" width="14.140625" style="657" customWidth="1"/>
    <col min="15683" max="15683" width="19.85546875" style="657" customWidth="1"/>
    <col min="15684" max="15684" width="17" style="657" customWidth="1"/>
    <col min="15685" max="15685" width="20.85546875" style="657" customWidth="1"/>
    <col min="15686" max="15898" width="11.42578125" style="657"/>
    <col min="15899" max="15899" width="13.140625" style="657" customWidth="1"/>
    <col min="15900" max="15900" width="4" style="657" customWidth="1"/>
    <col min="15901" max="15901" width="12.85546875" style="657" customWidth="1"/>
    <col min="15902" max="15902" width="14.7109375" style="657" customWidth="1"/>
    <col min="15903" max="15903" width="10" style="657" customWidth="1"/>
    <col min="15904" max="15904" width="6.28515625" style="657" customWidth="1"/>
    <col min="15905" max="15905" width="12.28515625" style="657" customWidth="1"/>
    <col min="15906" max="15906" width="8.5703125" style="657" customWidth="1"/>
    <col min="15907" max="15907" width="13.7109375" style="657" customWidth="1"/>
    <col min="15908" max="15908" width="11.5703125" style="657" customWidth="1"/>
    <col min="15909" max="15909" width="34.28515625" style="657" customWidth="1"/>
    <col min="15910" max="15910" width="24.28515625" style="657" customWidth="1"/>
    <col min="15911" max="15911" width="21.140625" style="657" customWidth="1"/>
    <col min="15912" max="15912" width="22.140625" style="657" customWidth="1"/>
    <col min="15913" max="15913" width="8" style="657" customWidth="1"/>
    <col min="15914" max="15914" width="17" style="657" customWidth="1"/>
    <col min="15915" max="15915" width="12.7109375" style="657" customWidth="1"/>
    <col min="15916" max="15916" width="24.5703125" style="657" customWidth="1"/>
    <col min="15917" max="15917" width="29" style="657" customWidth="1"/>
    <col min="15918" max="15918" width="17.7109375" style="657" customWidth="1"/>
    <col min="15919" max="15919" width="36.42578125" style="657" customWidth="1"/>
    <col min="15920" max="15920" width="21.85546875" style="657" customWidth="1"/>
    <col min="15921" max="15921" width="11.7109375" style="657" customWidth="1"/>
    <col min="15922" max="15922" width="26.28515625" style="657" customWidth="1"/>
    <col min="15923" max="15923" width="9" style="657" customWidth="1"/>
    <col min="15924" max="15924" width="6.28515625" style="657" customWidth="1"/>
    <col min="15925" max="15926" width="7.28515625" style="657" customWidth="1"/>
    <col min="15927" max="15927" width="8.42578125" style="657" customWidth="1"/>
    <col min="15928" max="15928" width="9.5703125" style="657" customWidth="1"/>
    <col min="15929" max="15929" width="6.28515625" style="657" customWidth="1"/>
    <col min="15930" max="15930" width="5.85546875" style="657" customWidth="1"/>
    <col min="15931" max="15932" width="4.42578125" style="657" customWidth="1"/>
    <col min="15933" max="15933" width="5" style="657" customWidth="1"/>
    <col min="15934" max="15934" width="5.85546875" style="657" customWidth="1"/>
    <col min="15935" max="15935" width="6.140625" style="657" customWidth="1"/>
    <col min="15936" max="15936" width="6.28515625" style="657" customWidth="1"/>
    <col min="15937" max="15937" width="11.140625" style="657" customWidth="1"/>
    <col min="15938" max="15938" width="14.140625" style="657" customWidth="1"/>
    <col min="15939" max="15939" width="19.85546875" style="657" customWidth="1"/>
    <col min="15940" max="15940" width="17" style="657" customWidth="1"/>
    <col min="15941" max="15941" width="20.85546875" style="657" customWidth="1"/>
    <col min="15942" max="16154" width="11.42578125" style="657"/>
    <col min="16155" max="16155" width="13.140625" style="657" customWidth="1"/>
    <col min="16156" max="16156" width="4" style="657" customWidth="1"/>
    <col min="16157" max="16157" width="12.85546875" style="657" customWidth="1"/>
    <col min="16158" max="16158" width="14.7109375" style="657" customWidth="1"/>
    <col min="16159" max="16159" width="10" style="657" customWidth="1"/>
    <col min="16160" max="16160" width="6.28515625" style="657" customWidth="1"/>
    <col min="16161" max="16161" width="12.28515625" style="657" customWidth="1"/>
    <col min="16162" max="16162" width="8.5703125" style="657" customWidth="1"/>
    <col min="16163" max="16163" width="13.7109375" style="657" customWidth="1"/>
    <col min="16164" max="16164" width="11.5703125" style="657" customWidth="1"/>
    <col min="16165" max="16165" width="34.28515625" style="657" customWidth="1"/>
    <col min="16166" max="16166" width="24.28515625" style="657" customWidth="1"/>
    <col min="16167" max="16167" width="21.140625" style="657" customWidth="1"/>
    <col min="16168" max="16168" width="22.140625" style="657" customWidth="1"/>
    <col min="16169" max="16169" width="8" style="657" customWidth="1"/>
    <col min="16170" max="16170" width="17" style="657" customWidth="1"/>
    <col min="16171" max="16171" width="12.7109375" style="657" customWidth="1"/>
    <col min="16172" max="16172" width="24.5703125" style="657" customWidth="1"/>
    <col min="16173" max="16173" width="29" style="657" customWidth="1"/>
    <col min="16174" max="16174" width="17.7109375" style="657" customWidth="1"/>
    <col min="16175" max="16175" width="36.42578125" style="657" customWidth="1"/>
    <col min="16176" max="16176" width="21.85546875" style="657" customWidth="1"/>
    <col min="16177" max="16177" width="11.7109375" style="657" customWidth="1"/>
    <col min="16178" max="16178" width="26.28515625" style="657" customWidth="1"/>
    <col min="16179" max="16179" width="9" style="657" customWidth="1"/>
    <col min="16180" max="16180" width="6.28515625" style="657" customWidth="1"/>
    <col min="16181" max="16182" width="7.28515625" style="657" customWidth="1"/>
    <col min="16183" max="16183" width="8.42578125" style="657" customWidth="1"/>
    <col min="16184" max="16184" width="9.5703125" style="657" customWidth="1"/>
    <col min="16185" max="16185" width="6.28515625" style="657" customWidth="1"/>
    <col min="16186" max="16186" width="5.85546875" style="657" customWidth="1"/>
    <col min="16187" max="16188" width="4.42578125" style="657" customWidth="1"/>
    <col min="16189" max="16189" width="5" style="657" customWidth="1"/>
    <col min="16190" max="16190" width="5.85546875" style="657" customWidth="1"/>
    <col min="16191" max="16191" width="6.140625" style="657" customWidth="1"/>
    <col min="16192" max="16192" width="6.28515625" style="657" customWidth="1"/>
    <col min="16193" max="16193" width="11.140625" style="657" customWidth="1"/>
    <col min="16194" max="16194" width="14.140625" style="657" customWidth="1"/>
    <col min="16195" max="16195" width="19.85546875" style="657" customWidth="1"/>
    <col min="16196" max="16196" width="17" style="657" customWidth="1"/>
    <col min="16197" max="16197" width="20.85546875" style="657" customWidth="1"/>
    <col min="16198" max="16384" width="11.42578125" style="657"/>
  </cols>
  <sheetData>
    <row r="1" spans="1:89" ht="21" customHeight="1" x14ac:dyDescent="0.25">
      <c r="A1" s="3241" t="s">
        <v>1287</v>
      </c>
      <c r="B1" s="2745"/>
      <c r="C1" s="2745"/>
      <c r="D1" s="2745"/>
      <c r="E1" s="2745"/>
      <c r="F1" s="2745"/>
      <c r="G1" s="2745"/>
      <c r="H1" s="2745"/>
      <c r="I1" s="2745"/>
      <c r="J1" s="2745"/>
      <c r="K1" s="2745"/>
      <c r="L1" s="2745"/>
      <c r="M1" s="2745"/>
      <c r="N1" s="2745"/>
      <c r="O1" s="2745"/>
      <c r="P1" s="2745"/>
      <c r="Q1" s="2745"/>
      <c r="R1" s="2745"/>
      <c r="S1" s="2745"/>
      <c r="T1" s="2745"/>
      <c r="U1" s="2745"/>
      <c r="V1" s="2745"/>
      <c r="W1" s="2745"/>
      <c r="X1" s="2745"/>
      <c r="Y1" s="2745"/>
      <c r="Z1" s="2745"/>
      <c r="AA1" s="2745"/>
      <c r="AB1" s="2745"/>
      <c r="AC1" s="2745"/>
      <c r="AD1" s="2745"/>
      <c r="AE1" s="2745"/>
      <c r="AF1" s="2745"/>
      <c r="AG1" s="2745"/>
      <c r="AH1" s="2745"/>
      <c r="AI1" s="2745"/>
      <c r="AJ1" s="2745"/>
      <c r="AK1" s="2745"/>
      <c r="AL1" s="2745"/>
      <c r="AM1" s="2745"/>
      <c r="AN1" s="2745"/>
      <c r="AO1" s="2745"/>
      <c r="AP1" s="2745"/>
      <c r="AQ1" s="2745"/>
      <c r="AR1" s="2745"/>
      <c r="AS1" s="2745"/>
      <c r="AT1" s="2745"/>
      <c r="AU1" s="2745"/>
      <c r="AV1" s="2745"/>
      <c r="AW1" s="2745"/>
      <c r="AX1" s="2745"/>
      <c r="AY1" s="2745"/>
      <c r="AZ1" s="2745"/>
      <c r="BA1" s="2745"/>
      <c r="BB1" s="2745"/>
      <c r="BC1" s="2745"/>
      <c r="BD1" s="2745"/>
      <c r="BE1" s="2745"/>
      <c r="BF1" s="2745"/>
      <c r="BG1" s="2745"/>
      <c r="BH1" s="2745"/>
      <c r="BI1" s="2745"/>
      <c r="BJ1" s="2745"/>
      <c r="BK1" s="2745"/>
      <c r="BL1" s="2745"/>
      <c r="BM1" s="2745"/>
      <c r="BN1" s="2745"/>
      <c r="BO1" s="2745"/>
      <c r="BP1" s="3493"/>
      <c r="BQ1" s="1171" t="s">
        <v>1</v>
      </c>
      <c r="BR1" s="1172" t="s">
        <v>2</v>
      </c>
    </row>
    <row r="2" spans="1:89" ht="21" customHeight="1" x14ac:dyDescent="0.25">
      <c r="A2" s="3241"/>
      <c r="B2" s="2745"/>
      <c r="C2" s="2745"/>
      <c r="D2" s="2745"/>
      <c r="E2" s="2745"/>
      <c r="F2" s="2745"/>
      <c r="G2" s="2745"/>
      <c r="H2" s="2745"/>
      <c r="I2" s="2745"/>
      <c r="J2" s="2745"/>
      <c r="K2" s="2745"/>
      <c r="L2" s="2745"/>
      <c r="M2" s="2745"/>
      <c r="N2" s="2745"/>
      <c r="O2" s="2745"/>
      <c r="P2" s="2745"/>
      <c r="Q2" s="2745"/>
      <c r="R2" s="2745"/>
      <c r="S2" s="2745"/>
      <c r="T2" s="2745"/>
      <c r="U2" s="2745"/>
      <c r="V2" s="2745"/>
      <c r="W2" s="2745"/>
      <c r="X2" s="2745"/>
      <c r="Y2" s="2745"/>
      <c r="Z2" s="2745"/>
      <c r="AA2" s="2745"/>
      <c r="AB2" s="2745"/>
      <c r="AC2" s="2745"/>
      <c r="AD2" s="2745"/>
      <c r="AE2" s="2745"/>
      <c r="AF2" s="2745"/>
      <c r="AG2" s="2745"/>
      <c r="AH2" s="2745"/>
      <c r="AI2" s="2745"/>
      <c r="AJ2" s="2745"/>
      <c r="AK2" s="2745"/>
      <c r="AL2" s="2745"/>
      <c r="AM2" s="2745"/>
      <c r="AN2" s="2745"/>
      <c r="AO2" s="2745"/>
      <c r="AP2" s="2745"/>
      <c r="AQ2" s="2745"/>
      <c r="AR2" s="2745"/>
      <c r="AS2" s="2745"/>
      <c r="AT2" s="2745"/>
      <c r="AU2" s="2745"/>
      <c r="AV2" s="2745"/>
      <c r="AW2" s="2745"/>
      <c r="AX2" s="2745"/>
      <c r="AY2" s="2745"/>
      <c r="AZ2" s="2745"/>
      <c r="BA2" s="2745"/>
      <c r="BB2" s="2745"/>
      <c r="BC2" s="2745"/>
      <c r="BD2" s="2745"/>
      <c r="BE2" s="2745"/>
      <c r="BF2" s="2745"/>
      <c r="BG2" s="2745"/>
      <c r="BH2" s="2745"/>
      <c r="BI2" s="2745"/>
      <c r="BJ2" s="2745"/>
      <c r="BK2" s="2745"/>
      <c r="BL2" s="2745"/>
      <c r="BM2" s="2745"/>
      <c r="BN2" s="2745"/>
      <c r="BO2" s="2745"/>
      <c r="BP2" s="3493"/>
      <c r="BQ2" s="1173" t="s">
        <v>3</v>
      </c>
      <c r="BR2" s="1174">
        <v>6</v>
      </c>
    </row>
    <row r="3" spans="1:89" ht="21" customHeight="1" x14ac:dyDescent="0.25">
      <c r="A3" s="3241"/>
      <c r="B3" s="2745"/>
      <c r="C3" s="2745"/>
      <c r="D3" s="2745"/>
      <c r="E3" s="2745"/>
      <c r="F3" s="2745"/>
      <c r="G3" s="2745"/>
      <c r="H3" s="2745"/>
      <c r="I3" s="2745"/>
      <c r="J3" s="2745"/>
      <c r="K3" s="2745"/>
      <c r="L3" s="2745"/>
      <c r="M3" s="2745"/>
      <c r="N3" s="2745"/>
      <c r="O3" s="2745"/>
      <c r="P3" s="2745"/>
      <c r="Q3" s="2745"/>
      <c r="R3" s="2745"/>
      <c r="S3" s="2745"/>
      <c r="T3" s="2745"/>
      <c r="U3" s="2745"/>
      <c r="V3" s="2745"/>
      <c r="W3" s="2745"/>
      <c r="X3" s="2745"/>
      <c r="Y3" s="2745"/>
      <c r="Z3" s="2745"/>
      <c r="AA3" s="2745"/>
      <c r="AB3" s="2745"/>
      <c r="AC3" s="2745"/>
      <c r="AD3" s="2745"/>
      <c r="AE3" s="2745"/>
      <c r="AF3" s="2745"/>
      <c r="AG3" s="2745"/>
      <c r="AH3" s="2745"/>
      <c r="AI3" s="2745"/>
      <c r="AJ3" s="2745"/>
      <c r="AK3" s="2745"/>
      <c r="AL3" s="2745"/>
      <c r="AM3" s="2745"/>
      <c r="AN3" s="2745"/>
      <c r="AO3" s="2745"/>
      <c r="AP3" s="2745"/>
      <c r="AQ3" s="2745"/>
      <c r="AR3" s="2745"/>
      <c r="AS3" s="2745"/>
      <c r="AT3" s="2745"/>
      <c r="AU3" s="2745"/>
      <c r="AV3" s="2745"/>
      <c r="AW3" s="2745"/>
      <c r="AX3" s="2745"/>
      <c r="AY3" s="2745"/>
      <c r="AZ3" s="2745"/>
      <c r="BA3" s="2745"/>
      <c r="BB3" s="2745"/>
      <c r="BC3" s="2745"/>
      <c r="BD3" s="2745"/>
      <c r="BE3" s="2745"/>
      <c r="BF3" s="2745"/>
      <c r="BG3" s="2745"/>
      <c r="BH3" s="2745"/>
      <c r="BI3" s="2745"/>
      <c r="BJ3" s="2745"/>
      <c r="BK3" s="2745"/>
      <c r="BL3" s="2745"/>
      <c r="BM3" s="2745"/>
      <c r="BN3" s="2745"/>
      <c r="BO3" s="2745"/>
      <c r="BP3" s="3493"/>
      <c r="BQ3" s="4" t="s">
        <v>4</v>
      </c>
      <c r="BR3" s="1175" t="s">
        <v>5</v>
      </c>
    </row>
    <row r="4" spans="1:89" s="928" customFormat="1" ht="21" customHeight="1" x14ac:dyDescent="0.2">
      <c r="A4" s="3242"/>
      <c r="B4" s="2746"/>
      <c r="C4" s="2746"/>
      <c r="D4" s="2746"/>
      <c r="E4" s="2746"/>
      <c r="F4" s="2746"/>
      <c r="G4" s="2746"/>
      <c r="H4" s="2746"/>
      <c r="I4" s="2746"/>
      <c r="J4" s="2746"/>
      <c r="K4" s="2746"/>
      <c r="L4" s="2746"/>
      <c r="M4" s="2746"/>
      <c r="N4" s="2746"/>
      <c r="O4" s="2746"/>
      <c r="P4" s="2746"/>
      <c r="Q4" s="2746"/>
      <c r="R4" s="2746"/>
      <c r="S4" s="2746"/>
      <c r="T4" s="2746"/>
      <c r="U4" s="2746"/>
      <c r="V4" s="2746"/>
      <c r="W4" s="2746"/>
      <c r="X4" s="2746"/>
      <c r="Y4" s="2746"/>
      <c r="Z4" s="2746"/>
      <c r="AA4" s="2746"/>
      <c r="AB4" s="2746"/>
      <c r="AC4" s="2746"/>
      <c r="AD4" s="2746"/>
      <c r="AE4" s="2746"/>
      <c r="AF4" s="2746"/>
      <c r="AG4" s="2746"/>
      <c r="AH4" s="2746"/>
      <c r="AI4" s="2746"/>
      <c r="AJ4" s="2746"/>
      <c r="AK4" s="2746"/>
      <c r="AL4" s="2746"/>
      <c r="AM4" s="2746"/>
      <c r="AN4" s="2746"/>
      <c r="AO4" s="2746"/>
      <c r="AP4" s="2746"/>
      <c r="AQ4" s="2746"/>
      <c r="AR4" s="2746"/>
      <c r="AS4" s="2746"/>
      <c r="AT4" s="2746"/>
      <c r="AU4" s="2746"/>
      <c r="AV4" s="2746"/>
      <c r="AW4" s="2746"/>
      <c r="AX4" s="2746"/>
      <c r="AY4" s="2746"/>
      <c r="AZ4" s="2746"/>
      <c r="BA4" s="2746"/>
      <c r="BB4" s="2746"/>
      <c r="BC4" s="2746"/>
      <c r="BD4" s="2746"/>
      <c r="BE4" s="2746"/>
      <c r="BF4" s="2746"/>
      <c r="BG4" s="2746"/>
      <c r="BH4" s="2746"/>
      <c r="BI4" s="2746"/>
      <c r="BJ4" s="2746"/>
      <c r="BK4" s="2746"/>
      <c r="BL4" s="2746"/>
      <c r="BM4" s="2746"/>
      <c r="BN4" s="2746"/>
      <c r="BO4" s="2746"/>
      <c r="BP4" s="3494"/>
      <c r="BQ4" s="1176" t="s">
        <v>6</v>
      </c>
      <c r="BR4" s="1177" t="s">
        <v>7</v>
      </c>
    </row>
    <row r="5" spans="1:89" ht="21" customHeight="1" x14ac:dyDescent="0.2">
      <c r="A5" s="3243" t="s">
        <v>8</v>
      </c>
      <c r="B5" s="2642"/>
      <c r="C5" s="2642"/>
      <c r="D5" s="2642"/>
      <c r="E5" s="2642"/>
      <c r="F5" s="2642"/>
      <c r="G5" s="2642"/>
      <c r="H5" s="2642"/>
      <c r="I5" s="2642"/>
      <c r="J5" s="2642"/>
      <c r="K5" s="2642"/>
      <c r="L5" s="2642"/>
      <c r="M5" s="2642"/>
      <c r="N5" s="4729"/>
      <c r="O5" s="2994" t="s">
        <v>9</v>
      </c>
      <c r="P5" s="3246"/>
      <c r="Q5" s="3246"/>
      <c r="R5" s="3246"/>
      <c r="S5" s="3246"/>
      <c r="T5" s="3246"/>
      <c r="U5" s="3246"/>
      <c r="V5" s="3246"/>
      <c r="W5" s="3246"/>
      <c r="X5" s="3246"/>
      <c r="Y5" s="3246"/>
      <c r="Z5" s="3246"/>
      <c r="AA5" s="3246"/>
      <c r="AB5" s="3246"/>
      <c r="AC5" s="3246"/>
      <c r="AD5" s="3246"/>
      <c r="AE5" s="3246"/>
      <c r="AF5" s="3246"/>
      <c r="AG5" s="3246"/>
      <c r="AH5" s="3246"/>
      <c r="AI5" s="3246"/>
      <c r="AJ5" s="3246"/>
      <c r="AK5" s="3246"/>
      <c r="AL5" s="3246"/>
      <c r="AM5" s="3246"/>
      <c r="AN5" s="3246"/>
      <c r="AO5" s="3246"/>
      <c r="AP5" s="3246"/>
      <c r="AQ5" s="3246"/>
      <c r="AR5" s="3246"/>
      <c r="AS5" s="3246"/>
      <c r="AT5" s="3246"/>
      <c r="AU5" s="3246"/>
      <c r="AV5" s="3246"/>
      <c r="AW5" s="3246"/>
      <c r="AX5" s="3246"/>
      <c r="AY5" s="3246"/>
      <c r="AZ5" s="3246"/>
      <c r="BA5" s="3246"/>
      <c r="BB5" s="3246"/>
      <c r="BC5" s="3246"/>
      <c r="BD5" s="3246"/>
      <c r="BE5" s="3246"/>
      <c r="BF5" s="3246"/>
      <c r="BG5" s="3246"/>
      <c r="BH5" s="3246"/>
      <c r="BI5" s="3246"/>
      <c r="BJ5" s="3246"/>
      <c r="BK5" s="3246"/>
      <c r="BL5" s="3246"/>
      <c r="BM5" s="3246"/>
      <c r="BN5" s="3246"/>
      <c r="BO5" s="3246"/>
      <c r="BP5" s="3246"/>
      <c r="BQ5" s="3246"/>
      <c r="BR5" s="3496"/>
    </row>
    <row r="6" spans="1:89" ht="21" customHeight="1" thickBot="1" x14ac:dyDescent="0.25">
      <c r="A6" s="3244"/>
      <c r="B6" s="2643"/>
      <c r="C6" s="2643"/>
      <c r="D6" s="2643"/>
      <c r="E6" s="2643"/>
      <c r="F6" s="2643"/>
      <c r="G6" s="2643"/>
      <c r="H6" s="2643"/>
      <c r="I6" s="2643"/>
      <c r="J6" s="2643"/>
      <c r="K6" s="2643"/>
      <c r="L6" s="2643"/>
      <c r="M6" s="2643"/>
      <c r="N6" s="2646"/>
      <c r="O6" s="2994"/>
      <c r="P6" s="3246"/>
      <c r="Q6" s="3246"/>
      <c r="R6" s="3246"/>
      <c r="S6" s="3246"/>
      <c r="T6" s="3246"/>
      <c r="U6" s="3246"/>
      <c r="V6" s="3246"/>
      <c r="W6" s="3246"/>
      <c r="X6" s="3246"/>
      <c r="Y6" s="3246"/>
      <c r="Z6" s="3246"/>
      <c r="AA6" s="3247"/>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178"/>
      <c r="BJ6" s="1178"/>
      <c r="BK6" s="1179"/>
      <c r="BL6" s="15"/>
      <c r="BM6" s="15"/>
      <c r="BN6" s="2994"/>
      <c r="BO6" s="3246"/>
      <c r="BP6" s="3246"/>
      <c r="BQ6" s="3246"/>
      <c r="BR6" s="3496"/>
    </row>
    <row r="7" spans="1:89" ht="37.5" customHeight="1" x14ac:dyDescent="0.2">
      <c r="A7" s="4730" t="s">
        <v>10</v>
      </c>
      <c r="B7" s="2659" t="s">
        <v>11</v>
      </c>
      <c r="C7" s="2659"/>
      <c r="D7" s="2659" t="s">
        <v>10</v>
      </c>
      <c r="E7" s="2659" t="s">
        <v>12</v>
      </c>
      <c r="F7" s="2659"/>
      <c r="G7" s="2659" t="s">
        <v>10</v>
      </c>
      <c r="H7" s="2659" t="s">
        <v>13</v>
      </c>
      <c r="I7" s="2659"/>
      <c r="J7" s="2659" t="s">
        <v>10</v>
      </c>
      <c r="K7" s="2659" t="s">
        <v>14</v>
      </c>
      <c r="L7" s="2659" t="s">
        <v>15</v>
      </c>
      <c r="M7" s="3248" t="s">
        <v>16</v>
      </c>
      <c r="N7" s="3249"/>
      <c r="O7" s="2659" t="s">
        <v>17</v>
      </c>
      <c r="P7" s="3645" t="s">
        <v>18</v>
      </c>
      <c r="Q7" s="2659" t="s">
        <v>9</v>
      </c>
      <c r="R7" s="2659" t="s">
        <v>19</v>
      </c>
      <c r="S7" s="2659" t="s">
        <v>20</v>
      </c>
      <c r="T7" s="2659" t="s">
        <v>21</v>
      </c>
      <c r="U7" s="2659" t="s">
        <v>22</v>
      </c>
      <c r="V7" s="4734" t="s">
        <v>23</v>
      </c>
      <c r="W7" s="3248" t="s">
        <v>20</v>
      </c>
      <c r="X7" s="4735"/>
      <c r="Y7" s="3249"/>
      <c r="Z7" s="3645" t="s">
        <v>10</v>
      </c>
      <c r="AA7" s="2659" t="s">
        <v>24</v>
      </c>
      <c r="AB7" s="4737" t="s">
        <v>25</v>
      </c>
      <c r="AC7" s="3910"/>
      <c r="AD7" s="3910"/>
      <c r="AE7" s="4738"/>
      <c r="AF7" s="3911" t="s">
        <v>26</v>
      </c>
      <c r="AG7" s="3663"/>
      <c r="AH7" s="3663"/>
      <c r="AI7" s="3663"/>
      <c r="AJ7" s="3663"/>
      <c r="AK7" s="3663"/>
      <c r="AL7" s="3663"/>
      <c r="AM7" s="3664"/>
      <c r="AN7" s="3653" t="s">
        <v>27</v>
      </c>
      <c r="AO7" s="3654"/>
      <c r="AP7" s="3654"/>
      <c r="AQ7" s="3654"/>
      <c r="AR7" s="3654"/>
      <c r="AS7" s="3654"/>
      <c r="AT7" s="3654"/>
      <c r="AU7" s="3654"/>
      <c r="AV7" s="3654"/>
      <c r="AW7" s="3654"/>
      <c r="AX7" s="3654"/>
      <c r="AY7" s="3655"/>
      <c r="AZ7" s="3911" t="s">
        <v>28</v>
      </c>
      <c r="BA7" s="3663"/>
      <c r="BB7" s="3663"/>
      <c r="BC7" s="3663"/>
      <c r="BD7" s="3663"/>
      <c r="BE7" s="3664"/>
      <c r="BF7" s="3659" t="s">
        <v>29</v>
      </c>
      <c r="BG7" s="3660"/>
      <c r="BH7" s="4749" t="s">
        <v>30</v>
      </c>
      <c r="BI7" s="4750"/>
      <c r="BJ7" s="4750"/>
      <c r="BK7" s="4750"/>
      <c r="BL7" s="4750"/>
      <c r="BM7" s="4751"/>
      <c r="BN7" s="3902" t="s">
        <v>31</v>
      </c>
      <c r="BO7" s="3903"/>
      <c r="BP7" s="3902" t="s">
        <v>32</v>
      </c>
      <c r="BQ7" s="3903"/>
      <c r="BR7" s="3269" t="s">
        <v>33</v>
      </c>
    </row>
    <row r="8" spans="1:89" ht="61.5" customHeight="1" x14ac:dyDescent="0.2">
      <c r="A8" s="4730"/>
      <c r="B8" s="2659"/>
      <c r="C8" s="2659"/>
      <c r="D8" s="2659"/>
      <c r="E8" s="2659"/>
      <c r="F8" s="2659"/>
      <c r="G8" s="2659"/>
      <c r="H8" s="2659"/>
      <c r="I8" s="2659"/>
      <c r="J8" s="2659"/>
      <c r="K8" s="2659"/>
      <c r="L8" s="2659"/>
      <c r="M8" s="3907"/>
      <c r="N8" s="3908"/>
      <c r="O8" s="2659"/>
      <c r="P8" s="2996"/>
      <c r="Q8" s="2659"/>
      <c r="R8" s="2659"/>
      <c r="S8" s="2659"/>
      <c r="T8" s="2659"/>
      <c r="U8" s="2659"/>
      <c r="V8" s="4734"/>
      <c r="W8" s="2998"/>
      <c r="X8" s="4736"/>
      <c r="Y8" s="3000"/>
      <c r="Z8" s="2996"/>
      <c r="AA8" s="2659"/>
      <c r="AB8" s="3671" t="s">
        <v>37</v>
      </c>
      <c r="AC8" s="3671"/>
      <c r="AD8" s="4731" t="s">
        <v>38</v>
      </c>
      <c r="AE8" s="4731"/>
      <c r="AF8" s="3008" t="s">
        <v>39</v>
      </c>
      <c r="AG8" s="4732"/>
      <c r="AH8" s="3671" t="s">
        <v>40</v>
      </c>
      <c r="AI8" s="4733"/>
      <c r="AJ8" s="3008" t="s">
        <v>521</v>
      </c>
      <c r="AK8" s="3009"/>
      <c r="AL8" s="3671" t="s">
        <v>42</v>
      </c>
      <c r="AM8" s="3671"/>
      <c r="AN8" s="3671" t="s">
        <v>43</v>
      </c>
      <c r="AO8" s="3671"/>
      <c r="AP8" s="3671" t="s">
        <v>44</v>
      </c>
      <c r="AQ8" s="3671"/>
      <c r="AR8" s="3671" t="s">
        <v>45</v>
      </c>
      <c r="AS8" s="3671"/>
      <c r="AT8" s="3671" t="s">
        <v>46</v>
      </c>
      <c r="AU8" s="3671"/>
      <c r="AV8" s="3671" t="s">
        <v>47</v>
      </c>
      <c r="AW8" s="3671"/>
      <c r="AX8" s="3671" t="s">
        <v>48</v>
      </c>
      <c r="AY8" s="3671"/>
      <c r="AZ8" s="3671" t="s">
        <v>49</v>
      </c>
      <c r="BA8" s="3671"/>
      <c r="BB8" s="3671" t="s">
        <v>50</v>
      </c>
      <c r="BC8" s="3671"/>
      <c r="BD8" s="3671" t="s">
        <v>51</v>
      </c>
      <c r="BE8" s="3671"/>
      <c r="BF8" s="3014"/>
      <c r="BG8" s="3015"/>
      <c r="BH8" s="3026" t="s">
        <v>52</v>
      </c>
      <c r="BI8" s="4739" t="s">
        <v>53</v>
      </c>
      <c r="BJ8" s="4739" t="s">
        <v>54</v>
      </c>
      <c r="BK8" s="3027" t="s">
        <v>55</v>
      </c>
      <c r="BL8" s="3026" t="s">
        <v>56</v>
      </c>
      <c r="BM8" s="3028" t="s">
        <v>57</v>
      </c>
      <c r="BN8" s="3904"/>
      <c r="BO8" s="3905"/>
      <c r="BP8" s="3904"/>
      <c r="BQ8" s="3905"/>
      <c r="BR8" s="3269"/>
    </row>
    <row r="9" spans="1:89" ht="36" customHeight="1" x14ac:dyDescent="0.2">
      <c r="A9" s="4730"/>
      <c r="B9" s="2659"/>
      <c r="C9" s="2659"/>
      <c r="D9" s="2659"/>
      <c r="E9" s="2659"/>
      <c r="F9" s="2659"/>
      <c r="G9" s="2659"/>
      <c r="H9" s="2659"/>
      <c r="I9" s="2659"/>
      <c r="J9" s="2659"/>
      <c r="K9" s="2659"/>
      <c r="L9" s="2659"/>
      <c r="M9" s="24" t="s">
        <v>58</v>
      </c>
      <c r="N9" s="24" t="s">
        <v>59</v>
      </c>
      <c r="O9" s="2659"/>
      <c r="P9" s="2996"/>
      <c r="Q9" s="2659"/>
      <c r="R9" s="2659"/>
      <c r="S9" s="2659"/>
      <c r="T9" s="2659"/>
      <c r="U9" s="2659"/>
      <c r="V9" s="4734"/>
      <c r="W9" s="24" t="s">
        <v>34</v>
      </c>
      <c r="X9" s="24" t="s">
        <v>35</v>
      </c>
      <c r="Y9" s="24" t="s">
        <v>36</v>
      </c>
      <c r="Z9" s="2999"/>
      <c r="AA9" s="2659"/>
      <c r="AB9" s="24" t="s">
        <v>58</v>
      </c>
      <c r="AC9" s="24" t="s">
        <v>59</v>
      </c>
      <c r="AD9" s="24" t="s">
        <v>58</v>
      </c>
      <c r="AE9" s="24" t="s">
        <v>59</v>
      </c>
      <c r="AF9" s="24" t="s">
        <v>58</v>
      </c>
      <c r="AG9" s="24" t="s">
        <v>59</v>
      </c>
      <c r="AH9" s="24" t="s">
        <v>58</v>
      </c>
      <c r="AI9" s="24" t="s">
        <v>59</v>
      </c>
      <c r="AJ9" s="24" t="s">
        <v>58</v>
      </c>
      <c r="AK9" s="24" t="s">
        <v>59</v>
      </c>
      <c r="AL9" s="24" t="s">
        <v>58</v>
      </c>
      <c r="AM9" s="24" t="s">
        <v>59</v>
      </c>
      <c r="AN9" s="24" t="s">
        <v>58</v>
      </c>
      <c r="AO9" s="24" t="s">
        <v>59</v>
      </c>
      <c r="AP9" s="24" t="s">
        <v>58</v>
      </c>
      <c r="AQ9" s="24" t="s">
        <v>59</v>
      </c>
      <c r="AR9" s="24" t="s">
        <v>58</v>
      </c>
      <c r="AS9" s="24" t="s">
        <v>59</v>
      </c>
      <c r="AT9" s="24" t="s">
        <v>58</v>
      </c>
      <c r="AU9" s="24" t="s">
        <v>59</v>
      </c>
      <c r="AV9" s="24" t="s">
        <v>58</v>
      </c>
      <c r="AW9" s="24" t="s">
        <v>59</v>
      </c>
      <c r="AX9" s="24" t="s">
        <v>58</v>
      </c>
      <c r="AY9" s="24" t="s">
        <v>59</v>
      </c>
      <c r="AZ9" s="24" t="s">
        <v>58</v>
      </c>
      <c r="BA9" s="24" t="s">
        <v>59</v>
      </c>
      <c r="BB9" s="24" t="s">
        <v>58</v>
      </c>
      <c r="BC9" s="24" t="s">
        <v>59</v>
      </c>
      <c r="BD9" s="24" t="s">
        <v>58</v>
      </c>
      <c r="BE9" s="24" t="s">
        <v>59</v>
      </c>
      <c r="BF9" s="24" t="s">
        <v>58</v>
      </c>
      <c r="BG9" s="24" t="s">
        <v>59</v>
      </c>
      <c r="BH9" s="3026"/>
      <c r="BI9" s="4739"/>
      <c r="BJ9" s="4739"/>
      <c r="BK9" s="3027"/>
      <c r="BL9" s="3026"/>
      <c r="BM9" s="3029"/>
      <c r="BN9" s="1180" t="s">
        <v>58</v>
      </c>
      <c r="BO9" s="1180" t="s">
        <v>59</v>
      </c>
      <c r="BP9" s="1180" t="s">
        <v>58</v>
      </c>
      <c r="BQ9" s="1180" t="s">
        <v>59</v>
      </c>
      <c r="BR9" s="3269"/>
    </row>
    <row r="10" spans="1:89" ht="20.25" customHeight="1" x14ac:dyDescent="0.2">
      <c r="A10" s="1181">
        <v>3</v>
      </c>
      <c r="B10" s="1182"/>
      <c r="C10" s="1182" t="s">
        <v>115</v>
      </c>
      <c r="D10" s="1182"/>
      <c r="E10" s="1182"/>
      <c r="F10" s="1182"/>
      <c r="G10" s="1182"/>
      <c r="H10" s="1182"/>
      <c r="I10" s="1182"/>
      <c r="J10" s="1182"/>
      <c r="K10" s="1183"/>
      <c r="L10" s="1182"/>
      <c r="M10" s="1182"/>
      <c r="N10" s="1182"/>
      <c r="O10" s="1182"/>
      <c r="P10" s="1184"/>
      <c r="Q10" s="1183"/>
      <c r="R10" s="1185"/>
      <c r="S10" s="1186"/>
      <c r="T10" s="1183"/>
      <c r="U10" s="1183"/>
      <c r="V10" s="1183"/>
      <c r="W10" s="1183"/>
      <c r="X10" s="1183"/>
      <c r="Y10" s="1183"/>
      <c r="Z10" s="1187"/>
      <c r="AA10" s="1184"/>
      <c r="AB10" s="1182"/>
      <c r="AC10" s="1182"/>
      <c r="AD10" s="1182"/>
      <c r="AE10" s="1182"/>
      <c r="AF10" s="1182"/>
      <c r="AG10" s="1182"/>
      <c r="AH10" s="1182"/>
      <c r="AI10" s="1182"/>
      <c r="AJ10" s="1182"/>
      <c r="AK10" s="1182"/>
      <c r="AL10" s="1182"/>
      <c r="AM10" s="1182"/>
      <c r="AN10" s="1182"/>
      <c r="AO10" s="1182"/>
      <c r="AP10" s="1182"/>
      <c r="AQ10" s="1182"/>
      <c r="AR10" s="1182"/>
      <c r="AS10" s="1182"/>
      <c r="AT10" s="1182"/>
      <c r="AU10" s="1182"/>
      <c r="AV10" s="1182"/>
      <c r="AW10" s="1182"/>
      <c r="AX10" s="1182"/>
      <c r="AY10" s="1182"/>
      <c r="AZ10" s="1182"/>
      <c r="BA10" s="1182"/>
      <c r="BB10" s="1182"/>
      <c r="BC10" s="1182"/>
      <c r="BD10" s="1182"/>
      <c r="BE10" s="1182"/>
      <c r="BF10" s="1182"/>
      <c r="BG10" s="1188"/>
      <c r="BH10" s="1188"/>
      <c r="BI10" s="1189"/>
      <c r="BJ10" s="1189"/>
      <c r="BK10" s="1190"/>
      <c r="BL10" s="1188"/>
      <c r="BM10" s="1191"/>
      <c r="BN10" s="1191"/>
      <c r="BO10" s="1191"/>
      <c r="BP10" s="1191"/>
      <c r="BQ10" s="1192"/>
      <c r="BR10" s="1192"/>
      <c r="BS10" s="656"/>
      <c r="BT10" s="656"/>
      <c r="BU10" s="656"/>
      <c r="BV10" s="656"/>
      <c r="BW10" s="656"/>
      <c r="BX10" s="656"/>
      <c r="BY10" s="656"/>
      <c r="BZ10" s="656"/>
      <c r="CA10" s="656"/>
      <c r="CB10" s="656"/>
      <c r="CC10" s="656"/>
      <c r="CD10" s="656"/>
      <c r="CE10" s="656"/>
      <c r="CF10" s="656"/>
      <c r="CG10" s="656"/>
      <c r="CH10" s="656"/>
      <c r="CI10" s="656"/>
      <c r="CJ10" s="656"/>
      <c r="CK10" s="656"/>
    </row>
    <row r="11" spans="1:89" s="656" customFormat="1" ht="20.25" customHeight="1" x14ac:dyDescent="0.2">
      <c r="A11" s="1193"/>
      <c r="B11" s="1194"/>
      <c r="C11" s="1195"/>
      <c r="D11" s="1196">
        <v>20</v>
      </c>
      <c r="E11" s="1197" t="s">
        <v>1288</v>
      </c>
      <c r="F11" s="1197"/>
      <c r="G11" s="1197"/>
      <c r="H11" s="1197"/>
      <c r="I11" s="1197"/>
      <c r="J11" s="1197"/>
      <c r="K11" s="1198"/>
      <c r="L11" s="1197"/>
      <c r="M11" s="1197"/>
      <c r="N11" s="1197"/>
      <c r="O11" s="1197"/>
      <c r="P11" s="1199"/>
      <c r="Q11" s="1198"/>
      <c r="R11" s="1200"/>
      <c r="S11" s="1201"/>
      <c r="T11" s="1198"/>
      <c r="U11" s="1198"/>
      <c r="V11" s="1198"/>
      <c r="W11" s="1202"/>
      <c r="X11" s="1202"/>
      <c r="Y11" s="1202"/>
      <c r="Z11" s="1203"/>
      <c r="AA11" s="1199"/>
      <c r="AB11" s="1197"/>
      <c r="AC11" s="1197"/>
      <c r="AD11" s="1197"/>
      <c r="AE11" s="1197"/>
      <c r="AF11" s="1197"/>
      <c r="AG11" s="1197"/>
      <c r="AH11" s="1197"/>
      <c r="AI11" s="1197"/>
      <c r="AJ11" s="1197"/>
      <c r="AK11" s="1197"/>
      <c r="AL11" s="1197"/>
      <c r="AM11" s="1197"/>
      <c r="AN11" s="1197"/>
      <c r="AO11" s="1197"/>
      <c r="AP11" s="1197"/>
      <c r="AQ11" s="1197"/>
      <c r="AR11" s="1197"/>
      <c r="AS11" s="1197"/>
      <c r="AT11" s="1197"/>
      <c r="AU11" s="1197"/>
      <c r="AV11" s="1197"/>
      <c r="AW11" s="1197"/>
      <c r="AX11" s="1197"/>
      <c r="AY11" s="1197"/>
      <c r="AZ11" s="1197"/>
      <c r="BA11" s="1197"/>
      <c r="BB11" s="1197"/>
      <c r="BC11" s="1197"/>
      <c r="BD11" s="1197"/>
      <c r="BE11" s="1197"/>
      <c r="BF11" s="1197"/>
      <c r="BG11" s="1197"/>
      <c r="BH11" s="1204"/>
      <c r="BI11" s="1205"/>
      <c r="BJ11" s="1205"/>
      <c r="BK11" s="1206"/>
      <c r="BL11" s="1207"/>
      <c r="BM11" s="1204"/>
      <c r="BN11" s="1208"/>
      <c r="BO11" s="1208"/>
      <c r="BP11" s="1208"/>
      <c r="BQ11" s="1208"/>
      <c r="BR11" s="1209"/>
    </row>
    <row r="12" spans="1:89" s="656" customFormat="1" ht="20.25" customHeight="1" x14ac:dyDescent="0.2">
      <c r="A12" s="1210"/>
      <c r="B12" s="1211"/>
      <c r="C12" s="1212"/>
      <c r="D12" s="1213"/>
      <c r="E12" s="1214"/>
      <c r="F12" s="1214"/>
      <c r="G12" s="1215">
        <v>68</v>
      </c>
      <c r="H12" s="1216" t="s">
        <v>1289</v>
      </c>
      <c r="I12" s="1216"/>
      <c r="J12" s="1216"/>
      <c r="K12" s="1217"/>
      <c r="L12" s="1216"/>
      <c r="M12" s="1216"/>
      <c r="N12" s="1216"/>
      <c r="O12" s="1216"/>
      <c r="P12" s="1218"/>
      <c r="Q12" s="1217"/>
      <c r="R12" s="1219"/>
      <c r="S12" s="1220"/>
      <c r="T12" s="1217"/>
      <c r="U12" s="1217"/>
      <c r="V12" s="1217"/>
      <c r="W12" s="1221"/>
      <c r="X12" s="1221"/>
      <c r="Y12" s="1221"/>
      <c r="Z12" s="1222"/>
      <c r="AA12" s="1218"/>
      <c r="AB12" s="1216"/>
      <c r="AC12" s="1216"/>
      <c r="AD12" s="1216"/>
      <c r="AE12" s="1216"/>
      <c r="AF12" s="1216"/>
      <c r="AG12" s="1216"/>
      <c r="AH12" s="1216"/>
      <c r="AI12" s="1216"/>
      <c r="AJ12" s="1216"/>
      <c r="AK12" s="1216"/>
      <c r="AL12" s="1216"/>
      <c r="AM12" s="1216"/>
      <c r="AN12" s="1216"/>
      <c r="AO12" s="1216"/>
      <c r="AP12" s="1216"/>
      <c r="AQ12" s="1216"/>
      <c r="AR12" s="1216"/>
      <c r="AS12" s="1216"/>
      <c r="AT12" s="1216"/>
      <c r="AU12" s="1216"/>
      <c r="AV12" s="1216"/>
      <c r="AW12" s="1216"/>
      <c r="AX12" s="1216"/>
      <c r="AY12" s="1216"/>
      <c r="AZ12" s="1216"/>
      <c r="BA12" s="1216"/>
      <c r="BB12" s="1216"/>
      <c r="BC12" s="1216"/>
      <c r="BD12" s="1216"/>
      <c r="BE12" s="1216"/>
      <c r="BF12" s="1216"/>
      <c r="BG12" s="1216"/>
      <c r="BH12" s="1223"/>
      <c r="BI12" s="1224"/>
      <c r="BJ12" s="1224"/>
      <c r="BK12" s="1225"/>
      <c r="BL12" s="1226"/>
      <c r="BM12" s="1223"/>
      <c r="BN12" s="1227"/>
      <c r="BO12" s="1227"/>
      <c r="BP12" s="1227"/>
      <c r="BQ12" s="1227"/>
      <c r="BR12" s="1228"/>
    </row>
    <row r="13" spans="1:89" s="656" customFormat="1" ht="33" customHeight="1" x14ac:dyDescent="0.2">
      <c r="A13" s="1210"/>
      <c r="B13" s="1211"/>
      <c r="C13" s="1212"/>
      <c r="D13" s="1229"/>
      <c r="E13" s="1230"/>
      <c r="F13" s="1230"/>
      <c r="G13" s="1231"/>
      <c r="H13" s="1230"/>
      <c r="I13" s="1230"/>
      <c r="J13" s="3164">
        <v>202</v>
      </c>
      <c r="K13" s="3836" t="s">
        <v>1290</v>
      </c>
      <c r="L13" s="3836" t="s">
        <v>1291</v>
      </c>
      <c r="M13" s="3164">
        <v>23</v>
      </c>
      <c r="N13" s="3828">
        <v>23</v>
      </c>
      <c r="O13" s="1233" t="s">
        <v>1292</v>
      </c>
      <c r="P13" s="3165" t="s">
        <v>1293</v>
      </c>
      <c r="Q13" s="3810" t="s">
        <v>1294</v>
      </c>
      <c r="R13" s="4755">
        <f>+(W13+W14+W15+W16+W17+W18)/S13</f>
        <v>0.91249586506429403</v>
      </c>
      <c r="S13" s="3315">
        <f>SUM(W13:W19)</f>
        <v>2180137888.8000002</v>
      </c>
      <c r="T13" s="3810" t="s">
        <v>1295</v>
      </c>
      <c r="U13" s="4740" t="s">
        <v>1296</v>
      </c>
      <c r="V13" s="4757" t="s">
        <v>1297</v>
      </c>
      <c r="W13" s="1319">
        <v>199249781</v>
      </c>
      <c r="X13" s="1320">
        <v>130230800</v>
      </c>
      <c r="Y13" s="1321">
        <v>69791919</v>
      </c>
      <c r="Z13" s="1235">
        <v>12</v>
      </c>
      <c r="AA13" s="1236" t="s">
        <v>1298</v>
      </c>
      <c r="AB13" s="3829">
        <v>300</v>
      </c>
      <c r="AC13" s="3829">
        <v>249</v>
      </c>
      <c r="AD13" s="3829">
        <v>710</v>
      </c>
      <c r="AE13" s="3829">
        <v>395</v>
      </c>
      <c r="AF13" s="3829">
        <v>317</v>
      </c>
      <c r="AG13" s="3829">
        <v>197</v>
      </c>
      <c r="AH13" s="3829">
        <v>633</v>
      </c>
      <c r="AI13" s="3829">
        <v>205</v>
      </c>
      <c r="AJ13" s="3829"/>
      <c r="AK13" s="3829">
        <v>85</v>
      </c>
      <c r="AL13" s="3829"/>
      <c r="AM13" s="3829">
        <v>1</v>
      </c>
      <c r="AN13" s="3829"/>
      <c r="AO13" s="3829">
        <v>1</v>
      </c>
      <c r="AP13" s="3829"/>
      <c r="AQ13" s="3829">
        <v>1</v>
      </c>
      <c r="AR13" s="3829"/>
      <c r="AS13" s="3829"/>
      <c r="AT13" s="3829"/>
      <c r="AU13" s="3829"/>
      <c r="AV13" s="3829"/>
      <c r="AW13" s="3829">
        <v>5</v>
      </c>
      <c r="AX13" s="3829"/>
      <c r="AY13" s="3829"/>
      <c r="AZ13" s="3829"/>
      <c r="BA13" s="3829"/>
      <c r="BB13" s="3829">
        <v>60</v>
      </c>
      <c r="BC13" s="3829">
        <v>159</v>
      </c>
      <c r="BD13" s="4760"/>
      <c r="BE13" s="4760"/>
      <c r="BF13" s="3829">
        <f>+AB13+AD13</f>
        <v>1010</v>
      </c>
      <c r="BG13" s="3829">
        <f>+AC13+AE13</f>
        <v>644</v>
      </c>
      <c r="BH13" s="4752">
        <v>73</v>
      </c>
      <c r="BI13" s="3315">
        <f>+SUM(X13:X19)</f>
        <v>699146205.79999995</v>
      </c>
      <c r="BJ13" s="3315">
        <f>+SUM(Y13:Y19)</f>
        <v>370414869.5</v>
      </c>
      <c r="BK13" s="4743">
        <f>+BJ13/BI13</f>
        <v>0.52981031210224727</v>
      </c>
      <c r="BL13" s="1237" t="s">
        <v>1298</v>
      </c>
      <c r="BM13" s="4746" t="s">
        <v>1299</v>
      </c>
      <c r="BN13" s="3832">
        <v>43480</v>
      </c>
      <c r="BO13" s="3832">
        <v>43480</v>
      </c>
      <c r="BP13" s="3832">
        <v>43830</v>
      </c>
      <c r="BQ13" s="3832">
        <v>43830</v>
      </c>
      <c r="BR13" s="4740" t="s">
        <v>1300</v>
      </c>
    </row>
    <row r="14" spans="1:89" s="656" customFormat="1" ht="30" customHeight="1" x14ac:dyDescent="0.2">
      <c r="A14" s="1210"/>
      <c r="B14" s="1211"/>
      <c r="C14" s="1212"/>
      <c r="D14" s="1229"/>
      <c r="E14" s="1230"/>
      <c r="F14" s="1230"/>
      <c r="G14" s="1229"/>
      <c r="H14" s="1230"/>
      <c r="I14" s="1230"/>
      <c r="J14" s="3164"/>
      <c r="K14" s="3836"/>
      <c r="L14" s="3836"/>
      <c r="M14" s="3164"/>
      <c r="N14" s="3828"/>
      <c r="O14" s="1233" t="s">
        <v>1301</v>
      </c>
      <c r="P14" s="3207"/>
      <c r="Q14" s="3823"/>
      <c r="R14" s="4761"/>
      <c r="S14" s="3316"/>
      <c r="T14" s="3823"/>
      <c r="U14" s="4741"/>
      <c r="V14" s="4759"/>
      <c r="W14" s="1319">
        <v>20000000</v>
      </c>
      <c r="X14" s="1320">
        <v>8701913</v>
      </c>
      <c r="Y14" s="1321">
        <v>8251913</v>
      </c>
      <c r="Z14" s="1235">
        <v>9</v>
      </c>
      <c r="AA14" s="1236" t="s">
        <v>1302</v>
      </c>
      <c r="AB14" s="3837"/>
      <c r="AC14" s="3837"/>
      <c r="AD14" s="3837"/>
      <c r="AE14" s="3837"/>
      <c r="AF14" s="3837"/>
      <c r="AG14" s="3837"/>
      <c r="AH14" s="3837"/>
      <c r="AI14" s="3837"/>
      <c r="AJ14" s="3837"/>
      <c r="AK14" s="3837"/>
      <c r="AL14" s="3837"/>
      <c r="AM14" s="3837"/>
      <c r="AN14" s="3837"/>
      <c r="AO14" s="3837"/>
      <c r="AP14" s="3837"/>
      <c r="AQ14" s="3837"/>
      <c r="AR14" s="3837"/>
      <c r="AS14" s="3837"/>
      <c r="AT14" s="3837"/>
      <c r="AU14" s="3837"/>
      <c r="AV14" s="3837"/>
      <c r="AW14" s="3837"/>
      <c r="AX14" s="3837"/>
      <c r="AY14" s="3837"/>
      <c r="AZ14" s="3837"/>
      <c r="BA14" s="3837"/>
      <c r="BB14" s="3837"/>
      <c r="BC14" s="3837"/>
      <c r="BD14" s="4760"/>
      <c r="BE14" s="4760"/>
      <c r="BF14" s="3837"/>
      <c r="BG14" s="3837"/>
      <c r="BH14" s="4753"/>
      <c r="BI14" s="3316"/>
      <c r="BJ14" s="3316"/>
      <c r="BK14" s="4744"/>
      <c r="BL14" s="1238" t="s">
        <v>1302</v>
      </c>
      <c r="BM14" s="4747"/>
      <c r="BN14" s="3854"/>
      <c r="BO14" s="3854"/>
      <c r="BP14" s="3854"/>
      <c r="BQ14" s="3854"/>
      <c r="BR14" s="4741"/>
    </row>
    <row r="15" spans="1:89" s="656" customFormat="1" ht="36" customHeight="1" x14ac:dyDescent="0.2">
      <c r="A15" s="1210"/>
      <c r="B15" s="1211"/>
      <c r="C15" s="1212"/>
      <c r="D15" s="1229"/>
      <c r="E15" s="1230"/>
      <c r="F15" s="1230"/>
      <c r="G15" s="1229"/>
      <c r="H15" s="1230"/>
      <c r="I15" s="1230"/>
      <c r="J15" s="3164"/>
      <c r="K15" s="3836"/>
      <c r="L15" s="3836"/>
      <c r="M15" s="3164"/>
      <c r="N15" s="3828"/>
      <c r="O15" s="1239" t="s">
        <v>1303</v>
      </c>
      <c r="P15" s="3207"/>
      <c r="Q15" s="3823"/>
      <c r="R15" s="4761"/>
      <c r="S15" s="3316"/>
      <c r="T15" s="3823"/>
      <c r="U15" s="4741"/>
      <c r="V15" s="4759"/>
      <c r="W15" s="1322">
        <v>78571457</v>
      </c>
      <c r="X15" s="1320">
        <v>24250000</v>
      </c>
      <c r="Y15" s="1321">
        <v>12160000</v>
      </c>
      <c r="Z15" s="1235">
        <v>3</v>
      </c>
      <c r="AA15" s="1240" t="s">
        <v>1304</v>
      </c>
      <c r="AB15" s="3837"/>
      <c r="AC15" s="3837"/>
      <c r="AD15" s="3837"/>
      <c r="AE15" s="3837"/>
      <c r="AF15" s="3837"/>
      <c r="AG15" s="3837"/>
      <c r="AH15" s="3837"/>
      <c r="AI15" s="3837"/>
      <c r="AJ15" s="3837"/>
      <c r="AK15" s="3837"/>
      <c r="AL15" s="3837"/>
      <c r="AM15" s="3837"/>
      <c r="AN15" s="3837"/>
      <c r="AO15" s="3837"/>
      <c r="AP15" s="3837"/>
      <c r="AQ15" s="3837"/>
      <c r="AR15" s="3837"/>
      <c r="AS15" s="3837"/>
      <c r="AT15" s="3837"/>
      <c r="AU15" s="3837"/>
      <c r="AV15" s="3837"/>
      <c r="AW15" s="3837"/>
      <c r="AX15" s="3837"/>
      <c r="AY15" s="3837"/>
      <c r="AZ15" s="3837"/>
      <c r="BA15" s="3837"/>
      <c r="BB15" s="3837"/>
      <c r="BC15" s="3837"/>
      <c r="BD15" s="4760"/>
      <c r="BE15" s="4760"/>
      <c r="BF15" s="3837"/>
      <c r="BG15" s="3837"/>
      <c r="BH15" s="4753"/>
      <c r="BI15" s="3316"/>
      <c r="BJ15" s="3316"/>
      <c r="BK15" s="4744"/>
      <c r="BL15" s="1241" t="s">
        <v>1304</v>
      </c>
      <c r="BM15" s="4747"/>
      <c r="BN15" s="3854"/>
      <c r="BO15" s="3854"/>
      <c r="BP15" s="3854"/>
      <c r="BQ15" s="3854"/>
      <c r="BR15" s="4741"/>
    </row>
    <row r="16" spans="1:89" s="656" customFormat="1" ht="33" customHeight="1" x14ac:dyDescent="0.2">
      <c r="A16" s="1210"/>
      <c r="B16" s="1211"/>
      <c r="C16" s="1212"/>
      <c r="D16" s="1229"/>
      <c r="E16" s="1230"/>
      <c r="F16" s="1230"/>
      <c r="G16" s="1229"/>
      <c r="H16" s="1230"/>
      <c r="I16" s="1230"/>
      <c r="J16" s="3164"/>
      <c r="K16" s="3836"/>
      <c r="L16" s="3836"/>
      <c r="M16" s="3164"/>
      <c r="N16" s="3828"/>
      <c r="O16" s="1233" t="s">
        <v>1305</v>
      </c>
      <c r="P16" s="3207"/>
      <c r="Q16" s="3823"/>
      <c r="R16" s="4761"/>
      <c r="S16" s="3316"/>
      <c r="T16" s="3823"/>
      <c r="U16" s="4741"/>
      <c r="V16" s="4759"/>
      <c r="W16" s="1323">
        <v>77863791</v>
      </c>
      <c r="X16" s="1320">
        <v>53012000</v>
      </c>
      <c r="Y16" s="1321">
        <v>680000</v>
      </c>
      <c r="Z16" s="1242">
        <v>12</v>
      </c>
      <c r="AA16" s="1240" t="s">
        <v>1298</v>
      </c>
      <c r="AB16" s="3837"/>
      <c r="AC16" s="3837"/>
      <c r="AD16" s="3837"/>
      <c r="AE16" s="3837"/>
      <c r="AF16" s="3837"/>
      <c r="AG16" s="3837"/>
      <c r="AH16" s="3837"/>
      <c r="AI16" s="3837"/>
      <c r="AJ16" s="3837"/>
      <c r="AK16" s="3837"/>
      <c r="AL16" s="3837"/>
      <c r="AM16" s="3837"/>
      <c r="AN16" s="3837"/>
      <c r="AO16" s="3837"/>
      <c r="AP16" s="3837"/>
      <c r="AQ16" s="3837"/>
      <c r="AR16" s="3837"/>
      <c r="AS16" s="3837"/>
      <c r="AT16" s="3837"/>
      <c r="AU16" s="3837"/>
      <c r="AV16" s="3837"/>
      <c r="AW16" s="3837"/>
      <c r="AX16" s="3837"/>
      <c r="AY16" s="3837"/>
      <c r="AZ16" s="3837"/>
      <c r="BA16" s="3837"/>
      <c r="BB16" s="3837"/>
      <c r="BC16" s="3837"/>
      <c r="BD16" s="4760"/>
      <c r="BE16" s="4760"/>
      <c r="BF16" s="3837"/>
      <c r="BG16" s="3837"/>
      <c r="BH16" s="4753"/>
      <c r="BI16" s="3316"/>
      <c r="BJ16" s="3316"/>
      <c r="BK16" s="4744"/>
      <c r="BL16" s="1241" t="s">
        <v>1298</v>
      </c>
      <c r="BM16" s="4747"/>
      <c r="BN16" s="3854"/>
      <c r="BO16" s="3854"/>
      <c r="BP16" s="3854"/>
      <c r="BQ16" s="3854"/>
      <c r="BR16" s="4741"/>
    </row>
    <row r="17" spans="1:70" s="656" customFormat="1" ht="28.5" customHeight="1" x14ac:dyDescent="0.2">
      <c r="A17" s="1210"/>
      <c r="B17" s="1211"/>
      <c r="C17" s="1212"/>
      <c r="D17" s="1229"/>
      <c r="E17" s="1230"/>
      <c r="F17" s="1230"/>
      <c r="G17" s="1229"/>
      <c r="H17" s="1230"/>
      <c r="I17" s="1230"/>
      <c r="J17" s="3164"/>
      <c r="K17" s="3836"/>
      <c r="L17" s="3836"/>
      <c r="M17" s="3164"/>
      <c r="N17" s="3828"/>
      <c r="O17" s="658" t="s">
        <v>1306</v>
      </c>
      <c r="P17" s="3207"/>
      <c r="Q17" s="3823"/>
      <c r="R17" s="4761"/>
      <c r="S17" s="3316"/>
      <c r="T17" s="3823"/>
      <c r="U17" s="4741"/>
      <c r="V17" s="4758"/>
      <c r="W17" s="1323">
        <v>1242107102.8</v>
      </c>
      <c r="X17" s="1320">
        <v>187894998.80000001</v>
      </c>
      <c r="Y17" s="1321">
        <v>65217000</v>
      </c>
      <c r="Z17" s="1242">
        <v>6</v>
      </c>
      <c r="AA17" s="1240" t="s">
        <v>1307</v>
      </c>
      <c r="AB17" s="3837"/>
      <c r="AC17" s="3837"/>
      <c r="AD17" s="3837"/>
      <c r="AE17" s="3837"/>
      <c r="AF17" s="3837"/>
      <c r="AG17" s="3837"/>
      <c r="AH17" s="3837"/>
      <c r="AI17" s="3837"/>
      <c r="AJ17" s="3837"/>
      <c r="AK17" s="3837"/>
      <c r="AL17" s="3837"/>
      <c r="AM17" s="3837"/>
      <c r="AN17" s="3837"/>
      <c r="AO17" s="3837"/>
      <c r="AP17" s="3837"/>
      <c r="AQ17" s="3837"/>
      <c r="AR17" s="3837"/>
      <c r="AS17" s="3837"/>
      <c r="AT17" s="3837"/>
      <c r="AU17" s="3837"/>
      <c r="AV17" s="3837"/>
      <c r="AW17" s="3837"/>
      <c r="AX17" s="3837"/>
      <c r="AY17" s="3837"/>
      <c r="AZ17" s="3837"/>
      <c r="BA17" s="3837"/>
      <c r="BB17" s="3837"/>
      <c r="BC17" s="3837"/>
      <c r="BD17" s="4760"/>
      <c r="BE17" s="4760"/>
      <c r="BF17" s="3837"/>
      <c r="BG17" s="3837"/>
      <c r="BH17" s="4753"/>
      <c r="BI17" s="3316"/>
      <c r="BJ17" s="3316"/>
      <c r="BK17" s="4744"/>
      <c r="BL17" s="1241" t="s">
        <v>1307</v>
      </c>
      <c r="BM17" s="4747"/>
      <c r="BN17" s="3854"/>
      <c r="BO17" s="3854"/>
      <c r="BP17" s="3854"/>
      <c r="BQ17" s="3854"/>
      <c r="BR17" s="4741"/>
    </row>
    <row r="18" spans="1:70" s="656" customFormat="1" ht="51.75" customHeight="1" x14ac:dyDescent="0.2">
      <c r="A18" s="1210"/>
      <c r="B18" s="1211"/>
      <c r="C18" s="1212"/>
      <c r="D18" s="1229"/>
      <c r="E18" s="3343"/>
      <c r="F18" s="3343"/>
      <c r="G18" s="1229"/>
      <c r="H18" s="1211"/>
      <c r="I18" s="1211"/>
      <c r="J18" s="3164"/>
      <c r="K18" s="3836"/>
      <c r="L18" s="3836"/>
      <c r="M18" s="3164"/>
      <c r="N18" s="3828"/>
      <c r="O18" s="1233" t="s">
        <v>1308</v>
      </c>
      <c r="P18" s="3207"/>
      <c r="Q18" s="3823"/>
      <c r="R18" s="4756"/>
      <c r="S18" s="3316"/>
      <c r="T18" s="3823"/>
      <c r="U18" s="4741"/>
      <c r="V18" s="1244" t="s">
        <v>1309</v>
      </c>
      <c r="W18" s="1319">
        <v>371574677</v>
      </c>
      <c r="X18" s="1320">
        <v>219571494</v>
      </c>
      <c r="Y18" s="1324">
        <v>138829037.5</v>
      </c>
      <c r="Z18" s="1235">
        <v>4</v>
      </c>
      <c r="AA18" s="1236" t="s">
        <v>1310</v>
      </c>
      <c r="AB18" s="3837"/>
      <c r="AC18" s="3837"/>
      <c r="AD18" s="3837"/>
      <c r="AE18" s="3837"/>
      <c r="AF18" s="3837"/>
      <c r="AG18" s="3837"/>
      <c r="AH18" s="3837"/>
      <c r="AI18" s="3837"/>
      <c r="AJ18" s="3837"/>
      <c r="AK18" s="3837"/>
      <c r="AL18" s="3837"/>
      <c r="AM18" s="3837"/>
      <c r="AN18" s="3837"/>
      <c r="AO18" s="3837"/>
      <c r="AP18" s="3837"/>
      <c r="AQ18" s="3837"/>
      <c r="AR18" s="3837"/>
      <c r="AS18" s="3837"/>
      <c r="AT18" s="3837"/>
      <c r="AU18" s="3837"/>
      <c r="AV18" s="3837"/>
      <c r="AW18" s="3837"/>
      <c r="AX18" s="3837"/>
      <c r="AY18" s="3837"/>
      <c r="AZ18" s="3837"/>
      <c r="BA18" s="3837"/>
      <c r="BB18" s="3837"/>
      <c r="BC18" s="3837"/>
      <c r="BD18" s="4760"/>
      <c r="BE18" s="4760"/>
      <c r="BF18" s="3837"/>
      <c r="BG18" s="3837"/>
      <c r="BH18" s="4753"/>
      <c r="BI18" s="3316"/>
      <c r="BJ18" s="3316"/>
      <c r="BK18" s="4744"/>
      <c r="BL18" s="1238" t="s">
        <v>1310</v>
      </c>
      <c r="BM18" s="4747"/>
      <c r="BN18" s="3854"/>
      <c r="BO18" s="3854"/>
      <c r="BP18" s="3854"/>
      <c r="BQ18" s="3854"/>
      <c r="BR18" s="4741"/>
    </row>
    <row r="19" spans="1:70" s="656" customFormat="1" ht="113.25" customHeight="1" x14ac:dyDescent="0.2">
      <c r="A19" s="1210"/>
      <c r="B19" s="1211"/>
      <c r="C19" s="1212"/>
      <c r="D19" s="1229"/>
      <c r="E19" s="1230"/>
      <c r="F19" s="1230"/>
      <c r="G19" s="1229"/>
      <c r="H19" s="1230"/>
      <c r="I19" s="1230"/>
      <c r="J19" s="1233">
        <v>203</v>
      </c>
      <c r="K19" s="821" t="s">
        <v>1311</v>
      </c>
      <c r="L19" s="821" t="s">
        <v>1312</v>
      </c>
      <c r="M19" s="1233">
        <v>20</v>
      </c>
      <c r="N19" s="1233">
        <v>20</v>
      </c>
      <c r="O19" s="1233" t="s">
        <v>1313</v>
      </c>
      <c r="P19" s="3179"/>
      <c r="Q19" s="3811"/>
      <c r="R19" s="1245">
        <f>+W19/$S$13</f>
        <v>8.7504134935705802E-2</v>
      </c>
      <c r="S19" s="3317"/>
      <c r="T19" s="3811"/>
      <c r="U19" s="4742"/>
      <c r="V19" s="1246" t="s">
        <v>1314</v>
      </c>
      <c r="W19" s="1325">
        <v>190771080</v>
      </c>
      <c r="X19" s="1320">
        <v>75485000</v>
      </c>
      <c r="Y19" s="1321">
        <v>75485000</v>
      </c>
      <c r="Z19" s="1235">
        <v>4</v>
      </c>
      <c r="AA19" s="1233" t="s">
        <v>1310</v>
      </c>
      <c r="AB19" s="3843"/>
      <c r="AC19" s="3843"/>
      <c r="AD19" s="3843"/>
      <c r="AE19" s="3843"/>
      <c r="AF19" s="3843"/>
      <c r="AG19" s="3843"/>
      <c r="AH19" s="3843"/>
      <c r="AI19" s="3843"/>
      <c r="AJ19" s="3843"/>
      <c r="AK19" s="3843"/>
      <c r="AL19" s="3843"/>
      <c r="AM19" s="3843"/>
      <c r="AN19" s="3843"/>
      <c r="AO19" s="3843"/>
      <c r="AP19" s="3843"/>
      <c r="AQ19" s="3843"/>
      <c r="AR19" s="3843"/>
      <c r="AS19" s="3843"/>
      <c r="AT19" s="3843"/>
      <c r="AU19" s="3843"/>
      <c r="AV19" s="3843"/>
      <c r="AW19" s="3843"/>
      <c r="AX19" s="3843"/>
      <c r="AY19" s="3843"/>
      <c r="AZ19" s="3843"/>
      <c r="BA19" s="3843"/>
      <c r="BB19" s="3843"/>
      <c r="BC19" s="3843"/>
      <c r="BD19" s="4760"/>
      <c r="BE19" s="4760"/>
      <c r="BF19" s="3843"/>
      <c r="BG19" s="3843"/>
      <c r="BH19" s="4753"/>
      <c r="BI19" s="3317"/>
      <c r="BJ19" s="3317"/>
      <c r="BK19" s="4745"/>
      <c r="BL19" s="1236" t="s">
        <v>1310</v>
      </c>
      <c r="BM19" s="4748"/>
      <c r="BN19" s="3830"/>
      <c r="BO19" s="3830"/>
      <c r="BP19" s="3830"/>
      <c r="BQ19" s="3830"/>
      <c r="BR19" s="4742"/>
    </row>
    <row r="20" spans="1:70" s="656" customFormat="1" ht="23.25" customHeight="1" x14ac:dyDescent="0.2">
      <c r="A20" s="1210"/>
      <c r="B20" s="1211"/>
      <c r="C20" s="1212"/>
      <c r="D20" s="1229"/>
      <c r="E20" s="1230"/>
      <c r="F20" s="1230"/>
      <c r="G20" s="1215">
        <v>69</v>
      </c>
      <c r="H20" s="1216" t="s">
        <v>1315</v>
      </c>
      <c r="I20" s="1216"/>
      <c r="J20" s="1216"/>
      <c r="K20" s="1217"/>
      <c r="L20" s="1216"/>
      <c r="M20" s="1216"/>
      <c r="N20" s="1216"/>
      <c r="O20" s="1216"/>
      <c r="P20" s="1218"/>
      <c r="Q20" s="1217"/>
      <c r="R20" s="1219"/>
      <c r="S20" s="1316"/>
      <c r="T20" s="1217" t="s">
        <v>1316</v>
      </c>
      <c r="U20" s="1217" t="s">
        <v>1316</v>
      </c>
      <c r="V20" s="1217"/>
      <c r="W20" s="1326">
        <f>+SUM(W13:W19)</f>
        <v>2180137888.8000002</v>
      </c>
      <c r="X20" s="1326">
        <f>+SUM(X13:X19)</f>
        <v>699146205.79999995</v>
      </c>
      <c r="Y20" s="1326">
        <f>+SUM(Y13:Y19)</f>
        <v>370414869.5</v>
      </c>
      <c r="Z20" s="1222"/>
      <c r="AA20" s="1218"/>
      <c r="AB20" s="1247"/>
      <c r="AC20" s="1247"/>
      <c r="AD20" s="1247"/>
      <c r="AE20" s="1247"/>
      <c r="AF20" s="1247"/>
      <c r="AG20" s="1247"/>
      <c r="AH20" s="1247"/>
      <c r="AI20" s="1247"/>
      <c r="AJ20" s="1247"/>
      <c r="AK20" s="1247"/>
      <c r="AL20" s="1247"/>
      <c r="AM20" s="1247"/>
      <c r="AN20" s="1247"/>
      <c r="AO20" s="1247"/>
      <c r="AP20" s="1247"/>
      <c r="AQ20" s="1247"/>
      <c r="AR20" s="1247"/>
      <c r="AS20" s="1247"/>
      <c r="AT20" s="1247"/>
      <c r="AU20" s="1247"/>
      <c r="AV20" s="1247"/>
      <c r="AW20" s="1247"/>
      <c r="AX20" s="1247"/>
      <c r="AY20" s="1247"/>
      <c r="AZ20" s="1247"/>
      <c r="BA20" s="1247"/>
      <c r="BB20" s="1247"/>
      <c r="BC20" s="1247"/>
      <c r="BD20" s="1247"/>
      <c r="BE20" s="1247"/>
      <c r="BF20" s="1247"/>
      <c r="BG20" s="1247"/>
      <c r="BH20" s="4753"/>
      <c r="BI20" s="1333"/>
      <c r="BJ20" s="1333"/>
      <c r="BK20" s="1248"/>
      <c r="BL20" s="1249"/>
      <c r="BM20" s="1247"/>
      <c r="BN20" s="1227"/>
      <c r="BO20" s="1227"/>
      <c r="BP20" s="1227"/>
      <c r="BQ20" s="1227"/>
      <c r="BR20" s="1250"/>
    </row>
    <row r="21" spans="1:70" s="656" customFormat="1" ht="46.5" customHeight="1" x14ac:dyDescent="0.2">
      <c r="A21" s="1210"/>
      <c r="B21" s="1211"/>
      <c r="C21" s="1212"/>
      <c r="D21" s="1229"/>
      <c r="E21" s="1230"/>
      <c r="F21" s="1230"/>
      <c r="G21" s="1229"/>
      <c r="H21" s="1230"/>
      <c r="I21" s="1230"/>
      <c r="J21" s="3164">
        <v>204</v>
      </c>
      <c r="K21" s="3836" t="s">
        <v>1317</v>
      </c>
      <c r="L21" s="2807" t="s">
        <v>1318</v>
      </c>
      <c r="M21" s="3165">
        <v>13</v>
      </c>
      <c r="N21" s="3165">
        <v>13</v>
      </c>
      <c r="O21" s="1233" t="s">
        <v>1319</v>
      </c>
      <c r="P21" s="3165" t="s">
        <v>1293</v>
      </c>
      <c r="Q21" s="3810" t="s">
        <v>1294</v>
      </c>
      <c r="R21" s="4755">
        <f>+(W21+W22)/S21</f>
        <v>1</v>
      </c>
      <c r="S21" s="3315">
        <f>SUM(W21:W22)</f>
        <v>170200000</v>
      </c>
      <c r="T21" s="3810" t="s">
        <v>1295</v>
      </c>
      <c r="U21" s="3810" t="s">
        <v>1296</v>
      </c>
      <c r="V21" s="4757" t="s">
        <v>1320</v>
      </c>
      <c r="W21" s="1319">
        <v>110200000</v>
      </c>
      <c r="X21" s="1324">
        <v>74117580</v>
      </c>
      <c r="Y21" s="1324">
        <v>18416440.300000001</v>
      </c>
      <c r="Z21" s="1235">
        <v>4</v>
      </c>
      <c r="AA21" s="1236" t="s">
        <v>1310</v>
      </c>
      <c r="AB21" s="3829"/>
      <c r="AC21" s="3829"/>
      <c r="AD21" s="3829"/>
      <c r="AE21" s="3829"/>
      <c r="AF21" s="3829"/>
      <c r="AG21" s="3829"/>
      <c r="AH21" s="3829"/>
      <c r="AI21" s="3829"/>
      <c r="AJ21" s="3829"/>
      <c r="AK21" s="3829"/>
      <c r="AL21" s="3829"/>
      <c r="AM21" s="3829"/>
      <c r="AN21" s="3829"/>
      <c r="AO21" s="3829"/>
      <c r="AP21" s="3829"/>
      <c r="AQ21" s="3829"/>
      <c r="AR21" s="3829"/>
      <c r="AS21" s="3829"/>
      <c r="AT21" s="3829"/>
      <c r="AU21" s="3829"/>
      <c r="AV21" s="3829"/>
      <c r="AW21" s="3829"/>
      <c r="AX21" s="3829"/>
      <c r="AY21" s="3829"/>
      <c r="AZ21" s="3829"/>
      <c r="BA21" s="3829"/>
      <c r="BB21" s="3829"/>
      <c r="BC21" s="3829"/>
      <c r="BD21" s="3829"/>
      <c r="BE21" s="3829"/>
      <c r="BF21" s="3829"/>
      <c r="BG21" s="3829"/>
      <c r="BH21" s="4753"/>
      <c r="BI21" s="3315">
        <f>+SUM(X21:X22)</f>
        <v>107872580</v>
      </c>
      <c r="BJ21" s="3315">
        <f>+SUM(Y21:Y22)</f>
        <v>45581632.100000001</v>
      </c>
      <c r="BK21" s="4743">
        <f>+BJ21/BI21</f>
        <v>0.422550680627088</v>
      </c>
      <c r="BL21" s="1237" t="s">
        <v>1310</v>
      </c>
      <c r="BM21" s="4746" t="s">
        <v>1299</v>
      </c>
      <c r="BN21" s="3832">
        <v>43480</v>
      </c>
      <c r="BO21" s="3832">
        <v>43480</v>
      </c>
      <c r="BP21" s="3832">
        <f>+BP13</f>
        <v>43830</v>
      </c>
      <c r="BQ21" s="3832">
        <v>43830</v>
      </c>
      <c r="BR21" s="4740" t="s">
        <v>1300</v>
      </c>
    </row>
    <row r="22" spans="1:70" s="656" customFormat="1" ht="51.75" customHeight="1" x14ac:dyDescent="0.2">
      <c r="A22" s="1210"/>
      <c r="B22" s="1211"/>
      <c r="C22" s="1212"/>
      <c r="D22" s="1229"/>
      <c r="E22" s="1230"/>
      <c r="F22" s="1230"/>
      <c r="G22" s="1229"/>
      <c r="H22" s="1230"/>
      <c r="I22" s="1230"/>
      <c r="J22" s="3164"/>
      <c r="K22" s="3836"/>
      <c r="L22" s="2807"/>
      <c r="M22" s="3179"/>
      <c r="N22" s="3179"/>
      <c r="O22" s="1233" t="s">
        <v>1321</v>
      </c>
      <c r="P22" s="3179"/>
      <c r="Q22" s="3811"/>
      <c r="R22" s="4756"/>
      <c r="S22" s="3317"/>
      <c r="T22" s="3811"/>
      <c r="U22" s="3811" t="s">
        <v>1316</v>
      </c>
      <c r="V22" s="4758"/>
      <c r="W22" s="1319">
        <v>60000000</v>
      </c>
      <c r="X22" s="1320">
        <v>33755000</v>
      </c>
      <c r="Y22" s="1321">
        <v>27165191.800000001</v>
      </c>
      <c r="Z22" s="1235">
        <v>12</v>
      </c>
      <c r="AA22" s="1236" t="s">
        <v>1298</v>
      </c>
      <c r="AB22" s="3843"/>
      <c r="AC22" s="3843"/>
      <c r="AD22" s="3843"/>
      <c r="AE22" s="3843"/>
      <c r="AF22" s="3843"/>
      <c r="AG22" s="3843"/>
      <c r="AH22" s="3843"/>
      <c r="AI22" s="3843"/>
      <c r="AJ22" s="3843"/>
      <c r="AK22" s="3843"/>
      <c r="AL22" s="3843"/>
      <c r="AM22" s="3843"/>
      <c r="AN22" s="3843"/>
      <c r="AO22" s="3843"/>
      <c r="AP22" s="3843"/>
      <c r="AQ22" s="3843"/>
      <c r="AR22" s="3843"/>
      <c r="AS22" s="3843"/>
      <c r="AT22" s="3843"/>
      <c r="AU22" s="3843"/>
      <c r="AV22" s="3843"/>
      <c r="AW22" s="3843"/>
      <c r="AX22" s="3843"/>
      <c r="AY22" s="3843"/>
      <c r="AZ22" s="3843"/>
      <c r="BA22" s="3843"/>
      <c r="BB22" s="3843"/>
      <c r="BC22" s="3843"/>
      <c r="BD22" s="3843"/>
      <c r="BE22" s="3843"/>
      <c r="BF22" s="3843"/>
      <c r="BG22" s="3843"/>
      <c r="BH22" s="4754"/>
      <c r="BI22" s="3317"/>
      <c r="BJ22" s="3317"/>
      <c r="BK22" s="4745"/>
      <c r="BL22" s="1236" t="s">
        <v>1298</v>
      </c>
      <c r="BM22" s="4748"/>
      <c r="BN22" s="3854"/>
      <c r="BO22" s="3854"/>
      <c r="BP22" s="3854"/>
      <c r="BQ22" s="3854"/>
      <c r="BR22" s="4741"/>
    </row>
    <row r="23" spans="1:70" s="656" customFormat="1" ht="23.25" customHeight="1" x14ac:dyDescent="0.2">
      <c r="A23" s="1210"/>
      <c r="B23" s="1211"/>
      <c r="C23" s="1212"/>
      <c r="D23" s="1229"/>
      <c r="E23" s="1230"/>
      <c r="F23" s="1230"/>
      <c r="G23" s="1215">
        <v>70</v>
      </c>
      <c r="H23" s="1216" t="s">
        <v>1322</v>
      </c>
      <c r="I23" s="1216"/>
      <c r="J23" s="1216"/>
      <c r="K23" s="1217"/>
      <c r="L23" s="1216"/>
      <c r="M23" s="1216"/>
      <c r="N23" s="1216"/>
      <c r="O23" s="1216"/>
      <c r="P23" s="1218"/>
      <c r="Q23" s="1217"/>
      <c r="R23" s="1219"/>
      <c r="S23" s="1316"/>
      <c r="T23" s="1217" t="s">
        <v>1316</v>
      </c>
      <c r="U23" s="1217" t="s">
        <v>1316</v>
      </c>
      <c r="V23" s="1217"/>
      <c r="W23" s="1326">
        <f>+SUM(W21:W22)</f>
        <v>170200000</v>
      </c>
      <c r="X23" s="1326">
        <f t="shared" ref="X23:Y23" si="0">+SUM(X21:X22)</f>
        <v>107872580</v>
      </c>
      <c r="Y23" s="1326">
        <f t="shared" si="0"/>
        <v>45581632.100000001</v>
      </c>
      <c r="Z23" s="1222"/>
      <c r="AA23" s="1218"/>
      <c r="AB23" s="1247"/>
      <c r="AC23" s="1247"/>
      <c r="AD23" s="1247"/>
      <c r="AE23" s="1247"/>
      <c r="AF23" s="1247"/>
      <c r="AG23" s="1247"/>
      <c r="AH23" s="1247"/>
      <c r="AI23" s="1247"/>
      <c r="AJ23" s="1247"/>
      <c r="AK23" s="1247"/>
      <c r="AL23" s="1247"/>
      <c r="AM23" s="1247"/>
      <c r="AN23" s="1247"/>
      <c r="AO23" s="1247"/>
      <c r="AP23" s="1247"/>
      <c r="AQ23" s="1247"/>
      <c r="AR23" s="1247"/>
      <c r="AS23" s="1247"/>
      <c r="AT23" s="1247"/>
      <c r="AU23" s="1247"/>
      <c r="AV23" s="1247"/>
      <c r="AW23" s="1247"/>
      <c r="AX23" s="1247"/>
      <c r="AY23" s="1247"/>
      <c r="AZ23" s="1247"/>
      <c r="BA23" s="1247"/>
      <c r="BB23" s="1247"/>
      <c r="BC23" s="1247"/>
      <c r="BD23" s="1247"/>
      <c r="BE23" s="1247"/>
      <c r="BF23" s="1247"/>
      <c r="BG23" s="1247"/>
      <c r="BH23" s="1247"/>
      <c r="BI23" s="1333"/>
      <c r="BJ23" s="1333"/>
      <c r="BK23" s="1248"/>
      <c r="BL23" s="1249"/>
      <c r="BM23" s="1247"/>
      <c r="BN23" s="1227"/>
      <c r="BO23" s="1227"/>
      <c r="BP23" s="1227"/>
      <c r="BQ23" s="1227"/>
      <c r="BR23" s="1250"/>
    </row>
    <row r="24" spans="1:70" s="656" customFormat="1" ht="42.75" customHeight="1" x14ac:dyDescent="0.2">
      <c r="A24" s="1210"/>
      <c r="B24" s="1211"/>
      <c r="C24" s="1212"/>
      <c r="D24" s="1229"/>
      <c r="E24" s="1230"/>
      <c r="F24" s="1230"/>
      <c r="G24" s="1229"/>
      <c r="H24" s="1230"/>
      <c r="I24" s="1230"/>
      <c r="J24" s="3164">
        <v>205</v>
      </c>
      <c r="K24" s="3836" t="s">
        <v>1323</v>
      </c>
      <c r="L24" s="3161" t="s">
        <v>1324</v>
      </c>
      <c r="M24" s="3164">
        <v>1</v>
      </c>
      <c r="N24" s="3164">
        <v>0.4</v>
      </c>
      <c r="O24" s="1233" t="s">
        <v>1325</v>
      </c>
      <c r="P24" s="3164" t="s">
        <v>1326</v>
      </c>
      <c r="Q24" s="3836" t="s">
        <v>1327</v>
      </c>
      <c r="R24" s="4755">
        <f>+(W24+W25+W26+W27+W28)/S24</f>
        <v>1</v>
      </c>
      <c r="S24" s="3822">
        <f>+SUM(W24:W28)</f>
        <v>378974532.34000003</v>
      </c>
      <c r="T24" s="3810" t="s">
        <v>1328</v>
      </c>
      <c r="U24" s="3810" t="s">
        <v>1329</v>
      </c>
      <c r="V24" s="4757" t="s">
        <v>1330</v>
      </c>
      <c r="W24" s="1319">
        <v>120000000</v>
      </c>
      <c r="X24" s="1320">
        <v>13230000</v>
      </c>
      <c r="Y24" s="1321">
        <v>5670000</v>
      </c>
      <c r="Z24" s="1235">
        <v>12</v>
      </c>
      <c r="AA24" s="1236" t="s">
        <v>1298</v>
      </c>
      <c r="AB24" s="3828">
        <v>6000</v>
      </c>
      <c r="AC24" s="3828">
        <v>5646</v>
      </c>
      <c r="AD24" s="3828">
        <v>9000</v>
      </c>
      <c r="AE24" s="3828">
        <v>8410</v>
      </c>
      <c r="AF24" s="3828">
        <v>10500</v>
      </c>
      <c r="AG24" s="3828">
        <v>9640</v>
      </c>
      <c r="AH24" s="3828">
        <v>4500</v>
      </c>
      <c r="AI24" s="3828">
        <v>4416</v>
      </c>
      <c r="AJ24" s="3828"/>
      <c r="AK24" s="3828"/>
      <c r="AL24" s="3828"/>
      <c r="AM24" s="3828"/>
      <c r="AN24" s="3828">
        <v>22</v>
      </c>
      <c r="AO24" s="3828">
        <v>33</v>
      </c>
      <c r="AP24" s="3828">
        <v>115</v>
      </c>
      <c r="AQ24" s="3828">
        <v>90</v>
      </c>
      <c r="AR24" s="3828">
        <v>1</v>
      </c>
      <c r="AS24" s="3828">
        <v>2</v>
      </c>
      <c r="AT24" s="3828"/>
      <c r="AU24" s="3828">
        <v>6</v>
      </c>
      <c r="AV24" s="3828"/>
      <c r="AW24" s="3828"/>
      <c r="AX24" s="3828"/>
      <c r="AY24" s="3828"/>
      <c r="AZ24" s="3828"/>
      <c r="BA24" s="3828"/>
      <c r="BB24" s="3828">
        <v>59</v>
      </c>
      <c r="BC24" s="3828">
        <v>21</v>
      </c>
      <c r="BD24" s="4762"/>
      <c r="BE24" s="4762"/>
      <c r="BF24" s="3828">
        <f>+AB24+AD24</f>
        <v>15000</v>
      </c>
      <c r="BG24" s="3828">
        <f>+AC24+AE24</f>
        <v>14056</v>
      </c>
      <c r="BH24" s="3828">
        <v>22</v>
      </c>
      <c r="BI24" s="3315">
        <f>+SUM(X24:X28)</f>
        <v>73243000</v>
      </c>
      <c r="BJ24" s="3315">
        <f>+SUM(Y24:Y28)</f>
        <v>34350000</v>
      </c>
      <c r="BK24" s="4767">
        <f>+BJ24/BI24</f>
        <v>0.46898679737312782</v>
      </c>
      <c r="BL24" s="1237" t="s">
        <v>1298</v>
      </c>
      <c r="BM24" s="4765" t="s">
        <v>1331</v>
      </c>
      <c r="BN24" s="3831">
        <v>43480</v>
      </c>
      <c r="BO24" s="3831">
        <v>43480</v>
      </c>
      <c r="BP24" s="3831">
        <v>43830</v>
      </c>
      <c r="BQ24" s="3831">
        <v>43830</v>
      </c>
      <c r="BR24" s="4766" t="s">
        <v>1300</v>
      </c>
    </row>
    <row r="25" spans="1:70" s="656" customFormat="1" ht="38.25" customHeight="1" x14ac:dyDescent="0.2">
      <c r="A25" s="1210"/>
      <c r="B25" s="1211"/>
      <c r="C25" s="1212"/>
      <c r="D25" s="1229"/>
      <c r="E25" s="1230"/>
      <c r="F25" s="1230"/>
      <c r="G25" s="1229"/>
      <c r="H25" s="1230"/>
      <c r="I25" s="1230"/>
      <c r="J25" s="3164"/>
      <c r="K25" s="3836"/>
      <c r="L25" s="3161"/>
      <c r="M25" s="3164"/>
      <c r="N25" s="3164"/>
      <c r="O25" s="1233" t="s">
        <v>1332</v>
      </c>
      <c r="P25" s="3164"/>
      <c r="Q25" s="3836"/>
      <c r="R25" s="4761"/>
      <c r="S25" s="3822"/>
      <c r="T25" s="3823"/>
      <c r="U25" s="3823" t="s">
        <v>1316</v>
      </c>
      <c r="V25" s="4759"/>
      <c r="W25" s="1319">
        <v>100000000</v>
      </c>
      <c r="X25" s="1320">
        <v>40690000</v>
      </c>
      <c r="Y25" s="1321">
        <v>28680000</v>
      </c>
      <c r="Z25" s="1235">
        <v>4</v>
      </c>
      <c r="AA25" s="1236" t="s">
        <v>1310</v>
      </c>
      <c r="AB25" s="3828"/>
      <c r="AC25" s="3828"/>
      <c r="AD25" s="3828"/>
      <c r="AE25" s="3828"/>
      <c r="AF25" s="3828"/>
      <c r="AG25" s="3828"/>
      <c r="AH25" s="3828"/>
      <c r="AI25" s="3828"/>
      <c r="AJ25" s="3828"/>
      <c r="AK25" s="3828"/>
      <c r="AL25" s="3828"/>
      <c r="AM25" s="3828"/>
      <c r="AN25" s="3828"/>
      <c r="AO25" s="3828"/>
      <c r="AP25" s="3828"/>
      <c r="AQ25" s="3828"/>
      <c r="AR25" s="3828"/>
      <c r="AS25" s="3828"/>
      <c r="AT25" s="3828"/>
      <c r="AU25" s="3828"/>
      <c r="AV25" s="3828"/>
      <c r="AW25" s="3828"/>
      <c r="AX25" s="3828"/>
      <c r="AY25" s="3828"/>
      <c r="AZ25" s="3828"/>
      <c r="BA25" s="3828"/>
      <c r="BB25" s="3828"/>
      <c r="BC25" s="3828"/>
      <c r="BD25" s="4763"/>
      <c r="BE25" s="4763"/>
      <c r="BF25" s="3828"/>
      <c r="BG25" s="3828"/>
      <c r="BH25" s="3828"/>
      <c r="BI25" s="3316"/>
      <c r="BJ25" s="3316"/>
      <c r="BK25" s="4767"/>
      <c r="BL25" s="1238" t="s">
        <v>1310</v>
      </c>
      <c r="BM25" s="4765"/>
      <c r="BN25" s="3831"/>
      <c r="BO25" s="3831"/>
      <c r="BP25" s="3831"/>
      <c r="BQ25" s="3831"/>
      <c r="BR25" s="4766"/>
    </row>
    <row r="26" spans="1:70" s="656" customFormat="1" ht="38.25" customHeight="1" x14ac:dyDescent="0.2">
      <c r="A26" s="1210"/>
      <c r="B26" s="1211"/>
      <c r="C26" s="1212"/>
      <c r="D26" s="1229"/>
      <c r="E26" s="1230"/>
      <c r="F26" s="1230"/>
      <c r="G26" s="1229"/>
      <c r="H26" s="1230"/>
      <c r="I26" s="1230"/>
      <c r="J26" s="3164"/>
      <c r="K26" s="3836"/>
      <c r="L26" s="3161"/>
      <c r="M26" s="3164"/>
      <c r="N26" s="3164"/>
      <c r="O26" s="1233" t="s">
        <v>1333</v>
      </c>
      <c r="P26" s="3164"/>
      <c r="Q26" s="3836"/>
      <c r="R26" s="4761"/>
      <c r="S26" s="3822"/>
      <c r="T26" s="3823"/>
      <c r="U26" s="3823"/>
      <c r="V26" s="4759"/>
      <c r="W26" s="1319">
        <v>100000000</v>
      </c>
      <c r="X26" s="1320">
        <v>0</v>
      </c>
      <c r="Y26" s="1321">
        <v>0</v>
      </c>
      <c r="Z26" s="1235">
        <v>7</v>
      </c>
      <c r="AA26" s="1236" t="s">
        <v>1334</v>
      </c>
      <c r="AB26" s="3828"/>
      <c r="AC26" s="3828"/>
      <c r="AD26" s="3828"/>
      <c r="AE26" s="3828"/>
      <c r="AF26" s="3828"/>
      <c r="AG26" s="3828"/>
      <c r="AH26" s="3828"/>
      <c r="AI26" s="3828"/>
      <c r="AJ26" s="3828"/>
      <c r="AK26" s="3828"/>
      <c r="AL26" s="3828"/>
      <c r="AM26" s="3828"/>
      <c r="AN26" s="3828"/>
      <c r="AO26" s="3828"/>
      <c r="AP26" s="3828"/>
      <c r="AQ26" s="3828"/>
      <c r="AR26" s="3828"/>
      <c r="AS26" s="3828"/>
      <c r="AT26" s="3828"/>
      <c r="AU26" s="3828"/>
      <c r="AV26" s="3828"/>
      <c r="AW26" s="3828"/>
      <c r="AX26" s="3828"/>
      <c r="AY26" s="3828"/>
      <c r="AZ26" s="3828"/>
      <c r="BA26" s="3828"/>
      <c r="BB26" s="3828"/>
      <c r="BC26" s="3828"/>
      <c r="BD26" s="4763"/>
      <c r="BE26" s="4763"/>
      <c r="BF26" s="3828"/>
      <c r="BG26" s="3828"/>
      <c r="BH26" s="3828"/>
      <c r="BI26" s="3316"/>
      <c r="BJ26" s="3316"/>
      <c r="BK26" s="4767"/>
      <c r="BL26" s="1238" t="s">
        <v>1334</v>
      </c>
      <c r="BM26" s="4765"/>
      <c r="BN26" s="3831"/>
      <c r="BO26" s="3831"/>
      <c r="BP26" s="3831"/>
      <c r="BQ26" s="3831"/>
      <c r="BR26" s="4766"/>
    </row>
    <row r="27" spans="1:70" s="656" customFormat="1" ht="38.25" customHeight="1" x14ac:dyDescent="0.2">
      <c r="A27" s="1210"/>
      <c r="B27" s="1211"/>
      <c r="C27" s="1212"/>
      <c r="D27" s="1229"/>
      <c r="E27" s="1230"/>
      <c r="F27" s="1230"/>
      <c r="G27" s="1229"/>
      <c r="H27" s="1230"/>
      <c r="I27" s="1230"/>
      <c r="J27" s="3164"/>
      <c r="K27" s="3836"/>
      <c r="L27" s="3161"/>
      <c r="M27" s="3164"/>
      <c r="N27" s="3164"/>
      <c r="O27" s="1233" t="s">
        <v>1335</v>
      </c>
      <c r="P27" s="3164"/>
      <c r="Q27" s="3836"/>
      <c r="R27" s="4761"/>
      <c r="S27" s="3822"/>
      <c r="T27" s="3823"/>
      <c r="U27" s="3823"/>
      <c r="V27" s="4759"/>
      <c r="W27" s="1319">
        <v>45006589.340000004</v>
      </c>
      <c r="X27" s="1320">
        <v>7000000</v>
      </c>
      <c r="Y27" s="1321">
        <v>0</v>
      </c>
      <c r="Z27" s="1235">
        <v>13</v>
      </c>
      <c r="AA27" s="1236" t="s">
        <v>1336</v>
      </c>
      <c r="AB27" s="3828"/>
      <c r="AC27" s="3828"/>
      <c r="AD27" s="3828"/>
      <c r="AE27" s="3828"/>
      <c r="AF27" s="3828"/>
      <c r="AG27" s="3828"/>
      <c r="AH27" s="3828"/>
      <c r="AI27" s="3828"/>
      <c r="AJ27" s="3828"/>
      <c r="AK27" s="3828"/>
      <c r="AL27" s="3828"/>
      <c r="AM27" s="3828"/>
      <c r="AN27" s="3828"/>
      <c r="AO27" s="3828"/>
      <c r="AP27" s="3828"/>
      <c r="AQ27" s="3828"/>
      <c r="AR27" s="3828"/>
      <c r="AS27" s="3828"/>
      <c r="AT27" s="3828"/>
      <c r="AU27" s="3828"/>
      <c r="AV27" s="3828"/>
      <c r="AW27" s="3828"/>
      <c r="AX27" s="3828"/>
      <c r="AY27" s="3828"/>
      <c r="AZ27" s="3828"/>
      <c r="BA27" s="3828"/>
      <c r="BB27" s="3828"/>
      <c r="BC27" s="3828"/>
      <c r="BD27" s="4763"/>
      <c r="BE27" s="4763"/>
      <c r="BF27" s="3828"/>
      <c r="BG27" s="3828"/>
      <c r="BH27" s="3828"/>
      <c r="BI27" s="3316"/>
      <c r="BJ27" s="3316"/>
      <c r="BK27" s="4767"/>
      <c r="BL27" s="1238" t="s">
        <v>1336</v>
      </c>
      <c r="BM27" s="4765"/>
      <c r="BN27" s="3831"/>
      <c r="BO27" s="3831"/>
      <c r="BP27" s="3831"/>
      <c r="BQ27" s="3831"/>
      <c r="BR27" s="4766"/>
    </row>
    <row r="28" spans="1:70" s="656" customFormat="1" ht="38.25" customHeight="1" x14ac:dyDescent="0.2">
      <c r="A28" s="1210"/>
      <c r="B28" s="1211"/>
      <c r="C28" s="1212"/>
      <c r="D28" s="1229"/>
      <c r="E28" s="1230"/>
      <c r="F28" s="1230"/>
      <c r="G28" s="1229"/>
      <c r="H28" s="1230"/>
      <c r="I28" s="1230"/>
      <c r="J28" s="3164"/>
      <c r="K28" s="3836"/>
      <c r="L28" s="3161"/>
      <c r="M28" s="3164"/>
      <c r="N28" s="3164"/>
      <c r="O28" s="658" t="s">
        <v>1337</v>
      </c>
      <c r="P28" s="3164"/>
      <c r="Q28" s="3836"/>
      <c r="R28" s="4756"/>
      <c r="S28" s="3822"/>
      <c r="T28" s="3823"/>
      <c r="U28" s="3823"/>
      <c r="V28" s="4759"/>
      <c r="W28" s="1323">
        <v>13967943</v>
      </c>
      <c r="X28" s="1320">
        <v>12323000</v>
      </c>
      <c r="Y28" s="1321">
        <v>0</v>
      </c>
      <c r="Z28" s="1235">
        <v>15</v>
      </c>
      <c r="AA28" s="1230" t="s">
        <v>1302</v>
      </c>
      <c r="AB28" s="3828"/>
      <c r="AC28" s="3828"/>
      <c r="AD28" s="3828"/>
      <c r="AE28" s="3828"/>
      <c r="AF28" s="3828"/>
      <c r="AG28" s="3828"/>
      <c r="AH28" s="3828"/>
      <c r="AI28" s="3828"/>
      <c r="AJ28" s="3828"/>
      <c r="AK28" s="3828"/>
      <c r="AL28" s="3828"/>
      <c r="AM28" s="3828"/>
      <c r="AN28" s="3828"/>
      <c r="AO28" s="3828"/>
      <c r="AP28" s="3828"/>
      <c r="AQ28" s="3828"/>
      <c r="AR28" s="3828"/>
      <c r="AS28" s="3828"/>
      <c r="AT28" s="3828"/>
      <c r="AU28" s="3828"/>
      <c r="AV28" s="3828"/>
      <c r="AW28" s="3828"/>
      <c r="AX28" s="3828"/>
      <c r="AY28" s="3828"/>
      <c r="AZ28" s="3828"/>
      <c r="BA28" s="3828"/>
      <c r="BB28" s="3828"/>
      <c r="BC28" s="3828"/>
      <c r="BD28" s="4764"/>
      <c r="BE28" s="4764"/>
      <c r="BF28" s="3828"/>
      <c r="BG28" s="3828"/>
      <c r="BH28" s="3828"/>
      <c r="BI28" s="3316"/>
      <c r="BJ28" s="3316"/>
      <c r="BK28" s="4767"/>
      <c r="BL28" s="1236" t="s">
        <v>1302</v>
      </c>
      <c r="BM28" s="4765"/>
      <c r="BN28" s="3831"/>
      <c r="BO28" s="3831"/>
      <c r="BP28" s="3831"/>
      <c r="BQ28" s="3831"/>
      <c r="BR28" s="4766"/>
    </row>
    <row r="29" spans="1:70" s="656" customFormat="1" ht="23.25" customHeight="1" thickBot="1" x14ac:dyDescent="0.25">
      <c r="A29" s="1210"/>
      <c r="B29" s="1211"/>
      <c r="C29" s="1212"/>
      <c r="D29" s="1229"/>
      <c r="E29" s="1230"/>
      <c r="F29" s="1230"/>
      <c r="G29" s="1215">
        <v>71</v>
      </c>
      <c r="H29" s="1216" t="s">
        <v>1338</v>
      </c>
      <c r="I29" s="1216"/>
      <c r="J29" s="1216"/>
      <c r="K29" s="1217"/>
      <c r="L29" s="1216"/>
      <c r="M29" s="1216"/>
      <c r="N29" s="1216"/>
      <c r="O29" s="1216"/>
      <c r="P29" s="1218"/>
      <c r="Q29" s="1217"/>
      <c r="R29" s="1219"/>
      <c r="S29" s="1316"/>
      <c r="T29" s="1217" t="s">
        <v>1316</v>
      </c>
      <c r="U29" s="1217" t="s">
        <v>1316</v>
      </c>
      <c r="V29" s="1217"/>
      <c r="W29" s="1326">
        <f>+SUM(W24:W28)</f>
        <v>378974532.34000003</v>
      </c>
      <c r="X29" s="1326">
        <f>+SUM(X24:X28)</f>
        <v>73243000</v>
      </c>
      <c r="Y29" s="1326">
        <f>+SUM(Y24:Y28)</f>
        <v>34350000</v>
      </c>
      <c r="Z29" s="1222"/>
      <c r="AA29" s="1218"/>
      <c r="AB29" s="1247"/>
      <c r="AC29" s="1247"/>
      <c r="AD29" s="1247"/>
      <c r="AE29" s="1247"/>
      <c r="AF29" s="1247"/>
      <c r="AG29" s="1247"/>
      <c r="AH29" s="1247"/>
      <c r="AI29" s="1247"/>
      <c r="AJ29" s="1247"/>
      <c r="AK29" s="1247"/>
      <c r="AL29" s="1247"/>
      <c r="AM29" s="1247"/>
      <c r="AN29" s="1247"/>
      <c r="AO29" s="1247"/>
      <c r="AP29" s="1247"/>
      <c r="AQ29" s="1247"/>
      <c r="AR29" s="1247"/>
      <c r="AS29" s="1247"/>
      <c r="AT29" s="1247"/>
      <c r="AU29" s="1247"/>
      <c r="AV29" s="1247"/>
      <c r="AW29" s="1247"/>
      <c r="AX29" s="1247"/>
      <c r="AY29" s="1247"/>
      <c r="AZ29" s="1247"/>
      <c r="BA29" s="1247"/>
      <c r="BB29" s="1247"/>
      <c r="BC29" s="1247"/>
      <c r="BD29" s="1247"/>
      <c r="BE29" s="1247"/>
      <c r="BF29" s="1247"/>
      <c r="BG29" s="1247"/>
      <c r="BH29" s="1247"/>
      <c r="BI29" s="1333"/>
      <c r="BJ29" s="1333"/>
      <c r="BK29" s="1248"/>
      <c r="BL29" s="1249"/>
      <c r="BM29" s="1247"/>
      <c r="BN29" s="1227"/>
      <c r="BO29" s="1227"/>
      <c r="BP29" s="1227"/>
      <c r="BQ29" s="1227"/>
      <c r="BR29" s="1250"/>
    </row>
    <row r="30" spans="1:70" s="656" customFormat="1" ht="52.5" customHeight="1" x14ac:dyDescent="0.2">
      <c r="A30" s="1210"/>
      <c r="B30" s="1211"/>
      <c r="C30" s="1212"/>
      <c r="D30" s="1229"/>
      <c r="E30" s="1230"/>
      <c r="F30" s="1230"/>
      <c r="G30" s="1229"/>
      <c r="H30" s="1230"/>
      <c r="I30" s="1230"/>
      <c r="J30" s="3165">
        <v>206</v>
      </c>
      <c r="K30" s="2977" t="s">
        <v>1339</v>
      </c>
      <c r="L30" s="3165" t="s">
        <v>1340</v>
      </c>
      <c r="M30" s="3165">
        <v>12</v>
      </c>
      <c r="N30" s="3165">
        <v>12</v>
      </c>
      <c r="O30" s="1233" t="s">
        <v>1341</v>
      </c>
      <c r="P30" s="3165" t="s">
        <v>1342</v>
      </c>
      <c r="Q30" s="3810" t="s">
        <v>1343</v>
      </c>
      <c r="R30" s="4755">
        <f>+(W30+W31)/$S$30</f>
        <v>0.32857142857142857</v>
      </c>
      <c r="S30" s="3822">
        <f>SUM(W30:W35)</f>
        <v>350000000</v>
      </c>
      <c r="T30" s="3810" t="s">
        <v>1344</v>
      </c>
      <c r="U30" s="3810" t="s">
        <v>1345</v>
      </c>
      <c r="V30" s="4757" t="s">
        <v>1346</v>
      </c>
      <c r="W30" s="1319">
        <v>55000000</v>
      </c>
      <c r="X30" s="1324">
        <v>16107600</v>
      </c>
      <c r="Y30" s="1321">
        <v>6107600</v>
      </c>
      <c r="Z30" s="1251">
        <v>12</v>
      </c>
      <c r="AA30" s="1252" t="s">
        <v>1298</v>
      </c>
      <c r="AB30" s="3829">
        <v>900</v>
      </c>
      <c r="AC30" s="3829">
        <v>219</v>
      </c>
      <c r="AD30" s="3829">
        <v>300</v>
      </c>
      <c r="AE30" s="3829">
        <v>1006</v>
      </c>
      <c r="AF30" s="3829">
        <v>372</v>
      </c>
      <c r="AG30" s="3829">
        <v>380</v>
      </c>
      <c r="AH30" s="3829">
        <v>94</v>
      </c>
      <c r="AI30" s="3829">
        <v>505</v>
      </c>
      <c r="AJ30" s="3829">
        <v>734</v>
      </c>
      <c r="AK30" s="3829">
        <v>314</v>
      </c>
      <c r="AL30" s="3829"/>
      <c r="AM30" s="3829">
        <v>26</v>
      </c>
      <c r="AN30" s="3829"/>
      <c r="AO30" s="3829">
        <v>1</v>
      </c>
      <c r="AP30" s="3829"/>
      <c r="AQ30" s="3829">
        <v>1</v>
      </c>
      <c r="AR30" s="3829"/>
      <c r="AS30" s="3829"/>
      <c r="AT30" s="3829"/>
      <c r="AU30" s="3829"/>
      <c r="AV30" s="3829"/>
      <c r="AW30" s="3829"/>
      <c r="AX30" s="3829"/>
      <c r="AY30" s="3829"/>
      <c r="AZ30" s="3829"/>
      <c r="BA30" s="3829"/>
      <c r="BB30" s="3829"/>
      <c r="BC30" s="3829"/>
      <c r="BD30" s="4762"/>
      <c r="BE30" s="4762"/>
      <c r="BF30" s="3829">
        <f>+AB30+AD30</f>
        <v>1200</v>
      </c>
      <c r="BG30" s="3829">
        <f>+AC30+AE30</f>
        <v>1225</v>
      </c>
      <c r="BH30" s="3829">
        <v>25</v>
      </c>
      <c r="BI30" s="3315">
        <f>+SUM(X30:X35)</f>
        <v>198545076</v>
      </c>
      <c r="BJ30" s="3315">
        <f>+SUM(Y30:Y35)</f>
        <v>71043600</v>
      </c>
      <c r="BK30" s="4743">
        <f>+BJ30/BI30</f>
        <v>0.35782101188951165</v>
      </c>
      <c r="BL30" s="1237" t="s">
        <v>1298</v>
      </c>
      <c r="BM30" s="4746" t="s">
        <v>1299</v>
      </c>
      <c r="BN30" s="3832">
        <v>43480</v>
      </c>
      <c r="BO30" s="3832">
        <v>43480</v>
      </c>
      <c r="BP30" s="3832">
        <v>43830</v>
      </c>
      <c r="BQ30" s="3832">
        <v>43830</v>
      </c>
      <c r="BR30" s="4768" t="s">
        <v>1300</v>
      </c>
    </row>
    <row r="31" spans="1:70" s="656" customFormat="1" ht="33" customHeight="1" x14ac:dyDescent="0.2">
      <c r="A31" s="1210"/>
      <c r="B31" s="1211"/>
      <c r="C31" s="1212"/>
      <c r="D31" s="1229"/>
      <c r="E31" s="1230"/>
      <c r="F31" s="1230"/>
      <c r="G31" s="1229"/>
      <c r="H31" s="1230"/>
      <c r="I31" s="1230"/>
      <c r="J31" s="3179"/>
      <c r="K31" s="2967"/>
      <c r="L31" s="3179"/>
      <c r="M31" s="3179"/>
      <c r="N31" s="3179"/>
      <c r="O31" s="1233" t="s">
        <v>1347</v>
      </c>
      <c r="P31" s="3207"/>
      <c r="Q31" s="3823"/>
      <c r="R31" s="4756"/>
      <c r="S31" s="3822"/>
      <c r="T31" s="3823"/>
      <c r="U31" s="3823"/>
      <c r="V31" s="4758"/>
      <c r="W31" s="1319">
        <v>60000000</v>
      </c>
      <c r="X31" s="1324">
        <v>49731000</v>
      </c>
      <c r="Y31" s="1321">
        <v>7402000</v>
      </c>
      <c r="Z31" s="1253">
        <v>13</v>
      </c>
      <c r="AA31" s="1233" t="s">
        <v>1348</v>
      </c>
      <c r="AB31" s="3837"/>
      <c r="AC31" s="3837"/>
      <c r="AD31" s="3837"/>
      <c r="AE31" s="3837"/>
      <c r="AF31" s="3837"/>
      <c r="AG31" s="3837"/>
      <c r="AH31" s="3837"/>
      <c r="AI31" s="3837"/>
      <c r="AJ31" s="3837"/>
      <c r="AK31" s="3837"/>
      <c r="AL31" s="3837"/>
      <c r="AM31" s="3837"/>
      <c r="AN31" s="3837"/>
      <c r="AO31" s="3837"/>
      <c r="AP31" s="3837"/>
      <c r="AQ31" s="3837"/>
      <c r="AR31" s="3837"/>
      <c r="AS31" s="3837"/>
      <c r="AT31" s="3837"/>
      <c r="AU31" s="3837"/>
      <c r="AV31" s="3837"/>
      <c r="AW31" s="3837"/>
      <c r="AX31" s="3837"/>
      <c r="AY31" s="3837"/>
      <c r="AZ31" s="3837"/>
      <c r="BA31" s="3837"/>
      <c r="BB31" s="3837"/>
      <c r="BC31" s="3837"/>
      <c r="BD31" s="4763"/>
      <c r="BE31" s="4763"/>
      <c r="BF31" s="3837"/>
      <c r="BG31" s="3837"/>
      <c r="BH31" s="3837"/>
      <c r="BI31" s="3316"/>
      <c r="BJ31" s="3316"/>
      <c r="BK31" s="4744"/>
      <c r="BL31" s="1238" t="s">
        <v>1348</v>
      </c>
      <c r="BM31" s="4747"/>
      <c r="BN31" s="3854"/>
      <c r="BO31" s="3854"/>
      <c r="BP31" s="3854"/>
      <c r="BQ31" s="3854"/>
      <c r="BR31" s="4769"/>
    </row>
    <row r="32" spans="1:70" s="656" customFormat="1" ht="54" customHeight="1" x14ac:dyDescent="0.2">
      <c r="A32" s="1210"/>
      <c r="B32" s="1211"/>
      <c r="C32" s="1212"/>
      <c r="D32" s="1229"/>
      <c r="E32" s="1230"/>
      <c r="F32" s="1230"/>
      <c r="G32" s="1229"/>
      <c r="H32" s="1230"/>
      <c r="I32" s="1230"/>
      <c r="J32" s="3165">
        <v>207</v>
      </c>
      <c r="K32" s="2977" t="s">
        <v>1349</v>
      </c>
      <c r="L32" s="3165" t="s">
        <v>1350</v>
      </c>
      <c r="M32" s="3165">
        <v>1</v>
      </c>
      <c r="N32" s="3165">
        <v>0.5</v>
      </c>
      <c r="O32" s="1233" t="s">
        <v>1351</v>
      </c>
      <c r="P32" s="3207"/>
      <c r="Q32" s="3823"/>
      <c r="R32" s="4755">
        <f>+(W32+W33)/$S$30</f>
        <v>0.51428571428571423</v>
      </c>
      <c r="S32" s="3822"/>
      <c r="T32" s="3823"/>
      <c r="U32" s="3823"/>
      <c r="V32" s="4757" t="s">
        <v>1352</v>
      </c>
      <c r="W32" s="1319">
        <v>100000000</v>
      </c>
      <c r="X32" s="1324">
        <v>40055179</v>
      </c>
      <c r="Y32" s="1324">
        <v>0</v>
      </c>
      <c r="Z32" s="1253">
        <v>13</v>
      </c>
      <c r="AA32" s="1233" t="s">
        <v>1348</v>
      </c>
      <c r="AB32" s="3837"/>
      <c r="AC32" s="3837"/>
      <c r="AD32" s="3837"/>
      <c r="AE32" s="3837"/>
      <c r="AF32" s="3837"/>
      <c r="AG32" s="3837"/>
      <c r="AH32" s="3837"/>
      <c r="AI32" s="3837"/>
      <c r="AJ32" s="3837"/>
      <c r="AK32" s="3837"/>
      <c r="AL32" s="3837"/>
      <c r="AM32" s="3837"/>
      <c r="AN32" s="3837"/>
      <c r="AO32" s="3837"/>
      <c r="AP32" s="3837"/>
      <c r="AQ32" s="3837"/>
      <c r="AR32" s="3837"/>
      <c r="AS32" s="3837"/>
      <c r="AT32" s="3837"/>
      <c r="AU32" s="3837"/>
      <c r="AV32" s="3837"/>
      <c r="AW32" s="3837"/>
      <c r="AX32" s="3837"/>
      <c r="AY32" s="3837"/>
      <c r="AZ32" s="3837"/>
      <c r="BA32" s="3837"/>
      <c r="BB32" s="3837"/>
      <c r="BC32" s="3837"/>
      <c r="BD32" s="4763"/>
      <c r="BE32" s="4763"/>
      <c r="BF32" s="3837"/>
      <c r="BG32" s="3837"/>
      <c r="BH32" s="3837"/>
      <c r="BI32" s="3316"/>
      <c r="BJ32" s="3316"/>
      <c r="BK32" s="4744"/>
      <c r="BL32" s="1238" t="s">
        <v>1348</v>
      </c>
      <c r="BM32" s="4747"/>
      <c r="BN32" s="3854"/>
      <c r="BO32" s="3854"/>
      <c r="BP32" s="3854"/>
      <c r="BQ32" s="3854"/>
      <c r="BR32" s="4769"/>
    </row>
    <row r="33" spans="1:70" s="656" customFormat="1" ht="33" customHeight="1" x14ac:dyDescent="0.2">
      <c r="A33" s="1210"/>
      <c r="B33" s="1211"/>
      <c r="C33" s="1212"/>
      <c r="D33" s="1229"/>
      <c r="E33" s="1230"/>
      <c r="F33" s="1230"/>
      <c r="G33" s="1229"/>
      <c r="H33" s="1230"/>
      <c r="I33" s="1230"/>
      <c r="J33" s="3179"/>
      <c r="K33" s="2967"/>
      <c r="L33" s="3179"/>
      <c r="M33" s="3179"/>
      <c r="N33" s="3179"/>
      <c r="O33" s="1233" t="s">
        <v>1353</v>
      </c>
      <c r="P33" s="3207"/>
      <c r="Q33" s="3823"/>
      <c r="R33" s="4756"/>
      <c r="S33" s="3822"/>
      <c r="T33" s="3823"/>
      <c r="U33" s="3823" t="s">
        <v>1316</v>
      </c>
      <c r="V33" s="4758"/>
      <c r="W33" s="1319">
        <v>80000000</v>
      </c>
      <c r="X33" s="1324">
        <v>69456000</v>
      </c>
      <c r="Y33" s="1324">
        <v>47334000</v>
      </c>
      <c r="Z33" s="1253">
        <v>12</v>
      </c>
      <c r="AA33" s="1233" t="s">
        <v>1298</v>
      </c>
      <c r="AB33" s="3837"/>
      <c r="AC33" s="3837"/>
      <c r="AD33" s="3837"/>
      <c r="AE33" s="3837"/>
      <c r="AF33" s="3837"/>
      <c r="AG33" s="3837"/>
      <c r="AH33" s="3837"/>
      <c r="AI33" s="3837"/>
      <c r="AJ33" s="3837"/>
      <c r="AK33" s="3837"/>
      <c r="AL33" s="3837"/>
      <c r="AM33" s="3837"/>
      <c r="AN33" s="3837"/>
      <c r="AO33" s="3837"/>
      <c r="AP33" s="3837"/>
      <c r="AQ33" s="3837"/>
      <c r="AR33" s="3837"/>
      <c r="AS33" s="3837"/>
      <c r="AT33" s="3837"/>
      <c r="AU33" s="3837"/>
      <c r="AV33" s="3837"/>
      <c r="AW33" s="3837"/>
      <c r="AX33" s="3837"/>
      <c r="AY33" s="3837"/>
      <c r="AZ33" s="3837"/>
      <c r="BA33" s="3837"/>
      <c r="BB33" s="3837"/>
      <c r="BC33" s="3837"/>
      <c r="BD33" s="4763"/>
      <c r="BE33" s="4763"/>
      <c r="BF33" s="3837"/>
      <c r="BG33" s="3837"/>
      <c r="BH33" s="3837"/>
      <c r="BI33" s="3316"/>
      <c r="BJ33" s="3316"/>
      <c r="BK33" s="4744"/>
      <c r="BL33" s="1238" t="s">
        <v>1298</v>
      </c>
      <c r="BM33" s="4747"/>
      <c r="BN33" s="3854"/>
      <c r="BO33" s="3854"/>
      <c r="BP33" s="3854"/>
      <c r="BQ33" s="3854"/>
      <c r="BR33" s="4769"/>
    </row>
    <row r="34" spans="1:70" s="656" customFormat="1" ht="38.25" customHeight="1" x14ac:dyDescent="0.2">
      <c r="A34" s="1210"/>
      <c r="B34" s="1211"/>
      <c r="C34" s="1212"/>
      <c r="D34" s="1229"/>
      <c r="E34" s="1230"/>
      <c r="F34" s="1230"/>
      <c r="G34" s="1229"/>
      <c r="H34" s="1230"/>
      <c r="I34" s="1230"/>
      <c r="J34" s="3164">
        <v>208</v>
      </c>
      <c r="K34" s="2807" t="s">
        <v>1354</v>
      </c>
      <c r="L34" s="2807" t="s">
        <v>1355</v>
      </c>
      <c r="M34" s="3164">
        <v>1</v>
      </c>
      <c r="N34" s="3164">
        <v>0.4</v>
      </c>
      <c r="O34" s="1233" t="s">
        <v>1356</v>
      </c>
      <c r="P34" s="3207"/>
      <c r="Q34" s="3823"/>
      <c r="R34" s="4755">
        <f>+(W34+W35)/$S$30</f>
        <v>0.15714285714285714</v>
      </c>
      <c r="S34" s="3822"/>
      <c r="T34" s="3823"/>
      <c r="U34" s="3823" t="s">
        <v>1316</v>
      </c>
      <c r="V34" s="4412" t="s">
        <v>1357</v>
      </c>
      <c r="W34" s="1319">
        <v>30000000</v>
      </c>
      <c r="X34" s="1320">
        <v>17795297</v>
      </c>
      <c r="Y34" s="1321">
        <v>6500000</v>
      </c>
      <c r="Z34" s="1255">
        <v>4</v>
      </c>
      <c r="AA34" s="1233" t="s">
        <v>1310</v>
      </c>
      <c r="AB34" s="3837"/>
      <c r="AC34" s="3837"/>
      <c r="AD34" s="3837"/>
      <c r="AE34" s="3837"/>
      <c r="AF34" s="3837"/>
      <c r="AG34" s="3837"/>
      <c r="AH34" s="3837"/>
      <c r="AI34" s="3837"/>
      <c r="AJ34" s="3837"/>
      <c r="AK34" s="3837"/>
      <c r="AL34" s="3837"/>
      <c r="AM34" s="3837"/>
      <c r="AN34" s="3837"/>
      <c r="AO34" s="3837"/>
      <c r="AP34" s="3837"/>
      <c r="AQ34" s="3837"/>
      <c r="AR34" s="3837"/>
      <c r="AS34" s="3837"/>
      <c r="AT34" s="3837"/>
      <c r="AU34" s="3837"/>
      <c r="AV34" s="3837"/>
      <c r="AW34" s="3837"/>
      <c r="AX34" s="3837"/>
      <c r="AY34" s="3837"/>
      <c r="AZ34" s="3837"/>
      <c r="BA34" s="3837"/>
      <c r="BB34" s="3837"/>
      <c r="BC34" s="3837"/>
      <c r="BD34" s="4763"/>
      <c r="BE34" s="4763"/>
      <c r="BF34" s="3837"/>
      <c r="BG34" s="3837"/>
      <c r="BH34" s="3837"/>
      <c r="BI34" s="3316"/>
      <c r="BJ34" s="3316"/>
      <c r="BK34" s="4744"/>
      <c r="BL34" s="1238" t="s">
        <v>1310</v>
      </c>
      <c r="BM34" s="4747"/>
      <c r="BN34" s="3854"/>
      <c r="BO34" s="3854"/>
      <c r="BP34" s="3854"/>
      <c r="BQ34" s="3854"/>
      <c r="BR34" s="4769"/>
    </row>
    <row r="35" spans="1:70" s="656" customFormat="1" ht="37.5" customHeight="1" x14ac:dyDescent="0.2">
      <c r="A35" s="1210"/>
      <c r="B35" s="1211"/>
      <c r="C35" s="1212"/>
      <c r="D35" s="1229"/>
      <c r="E35" s="1230"/>
      <c r="F35" s="1230"/>
      <c r="G35" s="1229"/>
      <c r="H35" s="1230"/>
      <c r="I35" s="1230"/>
      <c r="J35" s="3164"/>
      <c r="K35" s="2807"/>
      <c r="L35" s="2807"/>
      <c r="M35" s="3164"/>
      <c r="N35" s="3164"/>
      <c r="O35" s="1233" t="s">
        <v>1358</v>
      </c>
      <c r="P35" s="3207"/>
      <c r="Q35" s="3823"/>
      <c r="R35" s="4756"/>
      <c r="S35" s="3822"/>
      <c r="T35" s="3823"/>
      <c r="U35" s="3823"/>
      <c r="V35" s="4412"/>
      <c r="W35" s="1319">
        <v>25000000</v>
      </c>
      <c r="X35" s="1320">
        <v>5400000</v>
      </c>
      <c r="Y35" s="1321">
        <v>3700000</v>
      </c>
      <c r="Z35" s="1255">
        <v>12</v>
      </c>
      <c r="AA35" s="1233" t="s">
        <v>1298</v>
      </c>
      <c r="AB35" s="3837"/>
      <c r="AC35" s="3837"/>
      <c r="AD35" s="3837"/>
      <c r="AE35" s="3837"/>
      <c r="AF35" s="3837"/>
      <c r="AG35" s="3837"/>
      <c r="AH35" s="3837"/>
      <c r="AI35" s="3837"/>
      <c r="AJ35" s="3837"/>
      <c r="AK35" s="3837"/>
      <c r="AL35" s="3837"/>
      <c r="AM35" s="3837"/>
      <c r="AN35" s="3837"/>
      <c r="AO35" s="3837"/>
      <c r="AP35" s="3837"/>
      <c r="AQ35" s="3837"/>
      <c r="AR35" s="3837"/>
      <c r="AS35" s="3837"/>
      <c r="AT35" s="3837"/>
      <c r="AU35" s="3837"/>
      <c r="AV35" s="3837"/>
      <c r="AW35" s="3837"/>
      <c r="AX35" s="3837"/>
      <c r="AY35" s="3837"/>
      <c r="AZ35" s="3837"/>
      <c r="BA35" s="3837"/>
      <c r="BB35" s="3837"/>
      <c r="BC35" s="3837"/>
      <c r="BD35" s="4763"/>
      <c r="BE35" s="4763"/>
      <c r="BF35" s="3837"/>
      <c r="BG35" s="3837"/>
      <c r="BH35" s="3837"/>
      <c r="BI35" s="3316"/>
      <c r="BJ35" s="3316"/>
      <c r="BK35" s="4744"/>
      <c r="BL35" s="1236" t="s">
        <v>1298</v>
      </c>
      <c r="BM35" s="4747"/>
      <c r="BN35" s="3854"/>
      <c r="BO35" s="3854"/>
      <c r="BP35" s="3854"/>
      <c r="BQ35" s="3854"/>
      <c r="BR35" s="4769"/>
    </row>
    <row r="36" spans="1:70" s="656" customFormat="1" ht="20.25" customHeight="1" x14ac:dyDescent="0.2">
      <c r="A36" s="1193"/>
      <c r="B36" s="1194"/>
      <c r="C36" s="1195"/>
      <c r="D36" s="1196">
        <v>21</v>
      </c>
      <c r="E36" s="1197" t="s">
        <v>1359</v>
      </c>
      <c r="F36" s="1197"/>
      <c r="G36" s="1197"/>
      <c r="H36" s="1197"/>
      <c r="I36" s="1197"/>
      <c r="J36" s="1197"/>
      <c r="K36" s="1198"/>
      <c r="L36" s="1197"/>
      <c r="M36" s="1197"/>
      <c r="N36" s="1197"/>
      <c r="O36" s="1197"/>
      <c r="P36" s="1199"/>
      <c r="Q36" s="1198"/>
      <c r="R36" s="1200"/>
      <c r="S36" s="1317"/>
      <c r="T36" s="1198" t="s">
        <v>1316</v>
      </c>
      <c r="U36" s="1198" t="s">
        <v>1316</v>
      </c>
      <c r="V36" s="1198"/>
      <c r="W36" s="1327">
        <f>+SUM(W30:W35)</f>
        <v>350000000</v>
      </c>
      <c r="X36" s="1327">
        <f>+SUM(X30:X35)</f>
        <v>198545076</v>
      </c>
      <c r="Y36" s="1327">
        <f>+SUM(Y30:Y35)</f>
        <v>71043600</v>
      </c>
      <c r="Z36" s="1203"/>
      <c r="AA36" s="1199"/>
      <c r="AB36" s="1197"/>
      <c r="AC36" s="1197"/>
      <c r="AD36" s="1197"/>
      <c r="AE36" s="1197"/>
      <c r="AF36" s="1197"/>
      <c r="AG36" s="1197"/>
      <c r="AH36" s="1197"/>
      <c r="AI36" s="1197"/>
      <c r="AJ36" s="1197"/>
      <c r="AK36" s="1197"/>
      <c r="AL36" s="1197"/>
      <c r="AM36" s="1197"/>
      <c r="AN36" s="1197"/>
      <c r="AO36" s="1197"/>
      <c r="AP36" s="1197"/>
      <c r="AQ36" s="1197"/>
      <c r="AR36" s="1197"/>
      <c r="AS36" s="1197"/>
      <c r="AT36" s="1197"/>
      <c r="AU36" s="1197"/>
      <c r="AV36" s="1197"/>
      <c r="AW36" s="1197"/>
      <c r="AX36" s="1197"/>
      <c r="AY36" s="1197"/>
      <c r="AZ36" s="1197"/>
      <c r="BA36" s="1197"/>
      <c r="BB36" s="1197"/>
      <c r="BC36" s="1197"/>
      <c r="BD36" s="1197"/>
      <c r="BE36" s="1197"/>
      <c r="BF36" s="1197"/>
      <c r="BG36" s="1197"/>
      <c r="BH36" s="1204"/>
      <c r="BI36" s="1334"/>
      <c r="BJ36" s="1334"/>
      <c r="BK36" s="1256"/>
      <c r="BL36" s="1199"/>
      <c r="BM36" s="1257"/>
      <c r="BN36" s="1208"/>
      <c r="BO36" s="1208"/>
      <c r="BP36" s="1208"/>
      <c r="BQ36" s="1208"/>
      <c r="BR36" s="1209"/>
    </row>
    <row r="37" spans="1:70" s="656" customFormat="1" ht="23.25" customHeight="1" x14ac:dyDescent="0.2">
      <c r="A37" s="1210"/>
      <c r="B37" s="1211"/>
      <c r="C37" s="1212"/>
      <c r="D37" s="1229"/>
      <c r="E37" s="1230"/>
      <c r="F37" s="1230"/>
      <c r="G37" s="1215">
        <v>72</v>
      </c>
      <c r="H37" s="1216" t="s">
        <v>1360</v>
      </c>
      <c r="I37" s="1216"/>
      <c r="J37" s="1216"/>
      <c r="K37" s="1217"/>
      <c r="L37" s="1216"/>
      <c r="M37" s="1216"/>
      <c r="N37" s="1216"/>
      <c r="O37" s="1216"/>
      <c r="P37" s="1218"/>
      <c r="Q37" s="1217"/>
      <c r="R37" s="1219"/>
      <c r="S37" s="1316"/>
      <c r="T37" s="1217" t="s">
        <v>1316</v>
      </c>
      <c r="U37" s="1217" t="s">
        <v>1316</v>
      </c>
      <c r="V37" s="1217"/>
      <c r="W37" s="1326"/>
      <c r="X37" s="1326"/>
      <c r="Y37" s="1326"/>
      <c r="Z37" s="1222"/>
      <c r="AA37" s="1218"/>
      <c r="AB37" s="1247"/>
      <c r="AC37" s="1247"/>
      <c r="AD37" s="1247"/>
      <c r="AE37" s="1247"/>
      <c r="AF37" s="1247"/>
      <c r="AG37" s="1247"/>
      <c r="AH37" s="1247"/>
      <c r="AI37" s="1247"/>
      <c r="AJ37" s="1247"/>
      <c r="AK37" s="1247"/>
      <c r="AL37" s="1247"/>
      <c r="AM37" s="1247"/>
      <c r="AN37" s="1247"/>
      <c r="AO37" s="1247"/>
      <c r="AP37" s="1247"/>
      <c r="AQ37" s="1247"/>
      <c r="AR37" s="1247"/>
      <c r="AS37" s="1247"/>
      <c r="AT37" s="1247"/>
      <c r="AU37" s="1247"/>
      <c r="AV37" s="1247"/>
      <c r="AW37" s="1247"/>
      <c r="AX37" s="1247"/>
      <c r="AY37" s="1247"/>
      <c r="AZ37" s="1247"/>
      <c r="BA37" s="1247"/>
      <c r="BB37" s="1247"/>
      <c r="BC37" s="1247"/>
      <c r="BD37" s="1247"/>
      <c r="BE37" s="1247"/>
      <c r="BF37" s="1247"/>
      <c r="BG37" s="1247"/>
      <c r="BH37" s="1247"/>
      <c r="BI37" s="1333"/>
      <c r="BJ37" s="1333"/>
      <c r="BK37" s="1248"/>
      <c r="BL37" s="1258"/>
      <c r="BM37" s="1247"/>
      <c r="BN37" s="1227"/>
      <c r="BO37" s="1227"/>
      <c r="BP37" s="1227"/>
      <c r="BQ37" s="1227"/>
      <c r="BR37" s="1250"/>
    </row>
    <row r="38" spans="1:70" s="656" customFormat="1" ht="37.5" customHeight="1" x14ac:dyDescent="0.2">
      <c r="A38" s="1210"/>
      <c r="B38" s="1211"/>
      <c r="C38" s="1212"/>
      <c r="D38" s="1229"/>
      <c r="E38" s="1230"/>
      <c r="F38" s="1230"/>
      <c r="G38" s="1229"/>
      <c r="H38" s="1230"/>
      <c r="I38" s="1230"/>
      <c r="J38" s="3164">
        <v>209</v>
      </c>
      <c r="K38" s="2834" t="s">
        <v>1361</v>
      </c>
      <c r="L38" s="2834" t="s">
        <v>1362</v>
      </c>
      <c r="M38" s="3165">
        <v>1</v>
      </c>
      <c r="N38" s="3165">
        <v>0.5</v>
      </c>
      <c r="O38" s="1233" t="s">
        <v>1363</v>
      </c>
      <c r="P38" s="3165" t="s">
        <v>1364</v>
      </c>
      <c r="Q38" s="3810" t="s">
        <v>1365</v>
      </c>
      <c r="R38" s="4755">
        <f>+(W38+W39+W40)/$S$38</f>
        <v>0.39199154127076863</v>
      </c>
      <c r="S38" s="3315">
        <f>+SUM(W38:W48)</f>
        <v>191330659.22</v>
      </c>
      <c r="T38" s="3810" t="s">
        <v>1366</v>
      </c>
      <c r="U38" s="3810" t="s">
        <v>1367</v>
      </c>
      <c r="V38" s="4757" t="s">
        <v>1368</v>
      </c>
      <c r="W38" s="1319">
        <v>30000000</v>
      </c>
      <c r="X38" s="1320">
        <v>16112000</v>
      </c>
      <c r="Y38" s="1321">
        <v>13112000</v>
      </c>
      <c r="Z38" s="1235">
        <v>3</v>
      </c>
      <c r="AA38" s="1236" t="s">
        <v>1304</v>
      </c>
      <c r="AB38" s="3829">
        <v>1666</v>
      </c>
      <c r="AC38" s="3829">
        <v>3694</v>
      </c>
      <c r="AD38" s="3829">
        <v>1507</v>
      </c>
      <c r="AE38" s="3829">
        <v>5540</v>
      </c>
      <c r="AF38" s="3829">
        <v>1400</v>
      </c>
      <c r="AG38" s="3829">
        <v>4202</v>
      </c>
      <c r="AH38" s="3829">
        <v>350</v>
      </c>
      <c r="AI38" s="3829">
        <v>510</v>
      </c>
      <c r="AJ38" s="3829">
        <v>450</v>
      </c>
      <c r="AK38" s="3829">
        <v>571</v>
      </c>
      <c r="AL38" s="3829">
        <v>973</v>
      </c>
      <c r="AM38" s="3829">
        <v>3575</v>
      </c>
      <c r="AN38" s="3829"/>
      <c r="AO38" s="3829"/>
      <c r="AP38" s="3829"/>
      <c r="AQ38" s="3829"/>
      <c r="AR38" s="3829"/>
      <c r="AS38" s="3829"/>
      <c r="AT38" s="3829"/>
      <c r="AU38" s="3829"/>
      <c r="AV38" s="3829"/>
      <c r="AW38" s="3829"/>
      <c r="AX38" s="3829"/>
      <c r="AY38" s="3829"/>
      <c r="AZ38" s="3829"/>
      <c r="BA38" s="3829"/>
      <c r="BB38" s="3829"/>
      <c r="BC38" s="3829"/>
      <c r="BD38" s="4762"/>
      <c r="BE38" s="4762"/>
      <c r="BF38" s="3829">
        <f>+AB38+AD38</f>
        <v>3173</v>
      </c>
      <c r="BG38" s="3829">
        <f>+AC38+AE38</f>
        <v>9234</v>
      </c>
      <c r="BH38" s="3829">
        <v>12</v>
      </c>
      <c r="BI38" s="3315">
        <f>+SUM(X38:X48)</f>
        <v>66147100</v>
      </c>
      <c r="BJ38" s="3315">
        <f>+SUM(Y38:Y48)</f>
        <v>25424000</v>
      </c>
      <c r="BK38" s="4743">
        <f>+BJ38/BI38</f>
        <v>0.38435547438965578</v>
      </c>
      <c r="BL38" s="1259" t="s">
        <v>1304</v>
      </c>
      <c r="BM38" s="4746" t="s">
        <v>1369</v>
      </c>
      <c r="BN38" s="3832">
        <v>43480</v>
      </c>
      <c r="BO38" s="3832">
        <v>43480</v>
      </c>
      <c r="BP38" s="3832">
        <v>43830</v>
      </c>
      <c r="BQ38" s="3832">
        <v>43830</v>
      </c>
      <c r="BR38" s="4768" t="s">
        <v>1300</v>
      </c>
    </row>
    <row r="39" spans="1:70" s="656" customFormat="1" ht="36" customHeight="1" x14ac:dyDescent="0.2">
      <c r="A39" s="1210"/>
      <c r="B39" s="1211"/>
      <c r="C39" s="1212"/>
      <c r="D39" s="1229"/>
      <c r="E39" s="1230"/>
      <c r="F39" s="1230"/>
      <c r="G39" s="1229"/>
      <c r="H39" s="1230"/>
      <c r="I39" s="1230"/>
      <c r="J39" s="3164"/>
      <c r="K39" s="2923"/>
      <c r="L39" s="2923"/>
      <c r="M39" s="3207"/>
      <c r="N39" s="3207"/>
      <c r="O39" s="1233" t="s">
        <v>1370</v>
      </c>
      <c r="P39" s="3207"/>
      <c r="Q39" s="3823"/>
      <c r="R39" s="4761"/>
      <c r="S39" s="3316"/>
      <c r="T39" s="3823"/>
      <c r="U39" s="3823"/>
      <c r="V39" s="4759"/>
      <c r="W39" s="1319">
        <v>25000000</v>
      </c>
      <c r="X39" s="1320">
        <v>15000000</v>
      </c>
      <c r="Y39" s="1320">
        <v>0</v>
      </c>
      <c r="Z39" s="1235">
        <v>7</v>
      </c>
      <c r="AA39" s="1236" t="s">
        <v>1334</v>
      </c>
      <c r="AB39" s="3837"/>
      <c r="AC39" s="3837"/>
      <c r="AD39" s="3837"/>
      <c r="AE39" s="3837"/>
      <c r="AF39" s="3837"/>
      <c r="AG39" s="3837"/>
      <c r="AH39" s="3837"/>
      <c r="AI39" s="3837"/>
      <c r="AJ39" s="3837"/>
      <c r="AK39" s="3837"/>
      <c r="AL39" s="3837"/>
      <c r="AM39" s="3837"/>
      <c r="AN39" s="3837"/>
      <c r="AO39" s="3837"/>
      <c r="AP39" s="3837"/>
      <c r="AQ39" s="3837"/>
      <c r="AR39" s="3837"/>
      <c r="AS39" s="3837"/>
      <c r="AT39" s="3837"/>
      <c r="AU39" s="3837"/>
      <c r="AV39" s="3837"/>
      <c r="AW39" s="3837"/>
      <c r="AX39" s="3837"/>
      <c r="AY39" s="3837"/>
      <c r="AZ39" s="3837"/>
      <c r="BA39" s="3837"/>
      <c r="BB39" s="3837"/>
      <c r="BC39" s="3837"/>
      <c r="BD39" s="4763"/>
      <c r="BE39" s="4763"/>
      <c r="BF39" s="3837"/>
      <c r="BG39" s="3837"/>
      <c r="BH39" s="3837"/>
      <c r="BI39" s="3316"/>
      <c r="BJ39" s="3316"/>
      <c r="BK39" s="4744"/>
      <c r="BL39" s="1260" t="s">
        <v>1334</v>
      </c>
      <c r="BM39" s="4747"/>
      <c r="BN39" s="3854"/>
      <c r="BO39" s="3854"/>
      <c r="BP39" s="3854"/>
      <c r="BQ39" s="3854"/>
      <c r="BR39" s="4769"/>
    </row>
    <row r="40" spans="1:70" s="656" customFormat="1" ht="36" customHeight="1" x14ac:dyDescent="0.2">
      <c r="A40" s="1210"/>
      <c r="B40" s="1211"/>
      <c r="C40" s="1212"/>
      <c r="D40" s="1229"/>
      <c r="E40" s="1230"/>
      <c r="F40" s="1230"/>
      <c r="G40" s="1229"/>
      <c r="H40" s="1230"/>
      <c r="I40" s="1230"/>
      <c r="J40" s="3164"/>
      <c r="K40" s="2923"/>
      <c r="L40" s="2923"/>
      <c r="M40" s="3207"/>
      <c r="N40" s="3207"/>
      <c r="O40" s="1261" t="s">
        <v>1371</v>
      </c>
      <c r="P40" s="3207"/>
      <c r="Q40" s="3823"/>
      <c r="R40" s="4756"/>
      <c r="S40" s="3316"/>
      <c r="T40" s="3823"/>
      <c r="U40" s="3823"/>
      <c r="V40" s="4759"/>
      <c r="W40" s="1328">
        <v>20000000</v>
      </c>
      <c r="X40" s="1320">
        <v>0</v>
      </c>
      <c r="Y40" s="1320">
        <v>0</v>
      </c>
      <c r="Z40" s="1235">
        <v>3</v>
      </c>
      <c r="AA40" s="1262" t="s">
        <v>1372</v>
      </c>
      <c r="AB40" s="3837"/>
      <c r="AC40" s="3837"/>
      <c r="AD40" s="3837"/>
      <c r="AE40" s="3837"/>
      <c r="AF40" s="3837"/>
      <c r="AG40" s="3837"/>
      <c r="AH40" s="3837"/>
      <c r="AI40" s="3837"/>
      <c r="AJ40" s="3837"/>
      <c r="AK40" s="3837"/>
      <c r="AL40" s="3837"/>
      <c r="AM40" s="3837"/>
      <c r="AN40" s="3837"/>
      <c r="AO40" s="3837"/>
      <c r="AP40" s="3837"/>
      <c r="AQ40" s="3837"/>
      <c r="AR40" s="3837"/>
      <c r="AS40" s="3837"/>
      <c r="AT40" s="3837"/>
      <c r="AU40" s="3837"/>
      <c r="AV40" s="3837"/>
      <c r="AW40" s="3837"/>
      <c r="AX40" s="3837"/>
      <c r="AY40" s="3837"/>
      <c r="AZ40" s="3837"/>
      <c r="BA40" s="3837"/>
      <c r="BB40" s="3837"/>
      <c r="BC40" s="3837"/>
      <c r="BD40" s="4763"/>
      <c r="BE40" s="4763"/>
      <c r="BF40" s="3837"/>
      <c r="BG40" s="3837"/>
      <c r="BH40" s="3837"/>
      <c r="BI40" s="3316"/>
      <c r="BJ40" s="3316"/>
      <c r="BK40" s="4744"/>
      <c r="BL40" s="1263" t="s">
        <v>1372</v>
      </c>
      <c r="BM40" s="4747"/>
      <c r="BN40" s="3854"/>
      <c r="BO40" s="3854"/>
      <c r="BP40" s="3854"/>
      <c r="BQ40" s="3854"/>
      <c r="BR40" s="4769"/>
    </row>
    <row r="41" spans="1:70" s="656" customFormat="1" ht="39" customHeight="1" x14ac:dyDescent="0.2">
      <c r="A41" s="1210"/>
      <c r="B41" s="1211"/>
      <c r="C41" s="1212"/>
      <c r="D41" s="1229"/>
      <c r="E41" s="1230"/>
      <c r="F41" s="1230"/>
      <c r="G41" s="1229"/>
      <c r="H41" s="1230"/>
      <c r="I41" s="1230"/>
      <c r="J41" s="3165">
        <v>210</v>
      </c>
      <c r="K41" s="2834" t="s">
        <v>1373</v>
      </c>
      <c r="L41" s="2834" t="s">
        <v>1374</v>
      </c>
      <c r="M41" s="3165">
        <v>1</v>
      </c>
      <c r="N41" s="3165">
        <v>0.6</v>
      </c>
      <c r="O41" s="1233" t="s">
        <v>1375</v>
      </c>
      <c r="P41" s="3207"/>
      <c r="Q41" s="3823"/>
      <c r="R41" s="4755">
        <f>+(W41+W42+W43+W44)/$S$38</f>
        <v>0.2935809149928878</v>
      </c>
      <c r="S41" s="3316"/>
      <c r="T41" s="3823"/>
      <c r="U41" s="3823"/>
      <c r="V41" s="4757" t="s">
        <v>1376</v>
      </c>
      <c r="W41" s="1319">
        <v>9000000</v>
      </c>
      <c r="X41" s="1320">
        <v>5509100</v>
      </c>
      <c r="Y41" s="1320">
        <v>3604000</v>
      </c>
      <c r="Z41" s="1235">
        <v>7</v>
      </c>
      <c r="AA41" s="1236" t="s">
        <v>1310</v>
      </c>
      <c r="AB41" s="3837"/>
      <c r="AC41" s="3837"/>
      <c r="AD41" s="3837"/>
      <c r="AE41" s="3837"/>
      <c r="AF41" s="3837"/>
      <c r="AG41" s="3837"/>
      <c r="AH41" s="3837"/>
      <c r="AI41" s="3837"/>
      <c r="AJ41" s="3837"/>
      <c r="AK41" s="3837"/>
      <c r="AL41" s="3837"/>
      <c r="AM41" s="3837"/>
      <c r="AN41" s="3837"/>
      <c r="AO41" s="3837"/>
      <c r="AP41" s="3837"/>
      <c r="AQ41" s="3837"/>
      <c r="AR41" s="3837"/>
      <c r="AS41" s="3837"/>
      <c r="AT41" s="3837"/>
      <c r="AU41" s="3837"/>
      <c r="AV41" s="3837"/>
      <c r="AW41" s="3837"/>
      <c r="AX41" s="3837"/>
      <c r="AY41" s="3837"/>
      <c r="AZ41" s="3837"/>
      <c r="BA41" s="3837"/>
      <c r="BB41" s="3837"/>
      <c r="BC41" s="3837"/>
      <c r="BD41" s="4763"/>
      <c r="BE41" s="4763"/>
      <c r="BF41" s="3837"/>
      <c r="BG41" s="3837"/>
      <c r="BH41" s="3837"/>
      <c r="BI41" s="3316"/>
      <c r="BJ41" s="3316"/>
      <c r="BK41" s="4744"/>
      <c r="BL41" s="1260" t="s">
        <v>1310</v>
      </c>
      <c r="BM41" s="4747"/>
      <c r="BN41" s="3854"/>
      <c r="BO41" s="3854"/>
      <c r="BP41" s="3854"/>
      <c r="BQ41" s="3854"/>
      <c r="BR41" s="4769"/>
    </row>
    <row r="42" spans="1:70" s="656" customFormat="1" ht="31.5" customHeight="1" x14ac:dyDescent="0.2">
      <c r="A42" s="1210"/>
      <c r="B42" s="1211"/>
      <c r="C42" s="1212"/>
      <c r="D42" s="1229"/>
      <c r="E42" s="1230"/>
      <c r="F42" s="1230"/>
      <c r="G42" s="1229"/>
      <c r="H42" s="1230"/>
      <c r="I42" s="1230"/>
      <c r="J42" s="3207"/>
      <c r="K42" s="2923"/>
      <c r="L42" s="2923"/>
      <c r="M42" s="3207"/>
      <c r="N42" s="3207"/>
      <c r="O42" s="1233" t="s">
        <v>1377</v>
      </c>
      <c r="P42" s="3207"/>
      <c r="Q42" s="3823"/>
      <c r="R42" s="4761"/>
      <c r="S42" s="3316"/>
      <c r="T42" s="3823"/>
      <c r="U42" s="3823"/>
      <c r="V42" s="4759"/>
      <c r="W42" s="1319">
        <v>25000000</v>
      </c>
      <c r="X42" s="1320">
        <v>7406000</v>
      </c>
      <c r="Y42" s="1320">
        <v>6906000</v>
      </c>
      <c r="Z42" s="1235">
        <v>3</v>
      </c>
      <c r="AA42" s="1236" t="s">
        <v>1304</v>
      </c>
      <c r="AB42" s="3837"/>
      <c r="AC42" s="3837"/>
      <c r="AD42" s="3837"/>
      <c r="AE42" s="3837"/>
      <c r="AF42" s="3837"/>
      <c r="AG42" s="3837"/>
      <c r="AH42" s="3837"/>
      <c r="AI42" s="3837"/>
      <c r="AJ42" s="3837"/>
      <c r="AK42" s="3837"/>
      <c r="AL42" s="3837"/>
      <c r="AM42" s="3837"/>
      <c r="AN42" s="3837"/>
      <c r="AO42" s="3837"/>
      <c r="AP42" s="3837"/>
      <c r="AQ42" s="3837"/>
      <c r="AR42" s="3837"/>
      <c r="AS42" s="3837"/>
      <c r="AT42" s="3837"/>
      <c r="AU42" s="3837"/>
      <c r="AV42" s="3837"/>
      <c r="AW42" s="3837"/>
      <c r="AX42" s="3837"/>
      <c r="AY42" s="3837"/>
      <c r="AZ42" s="3837"/>
      <c r="BA42" s="3837"/>
      <c r="BB42" s="3837"/>
      <c r="BC42" s="3837"/>
      <c r="BD42" s="4763"/>
      <c r="BE42" s="4763"/>
      <c r="BF42" s="3837"/>
      <c r="BG42" s="3837"/>
      <c r="BH42" s="3837"/>
      <c r="BI42" s="3316"/>
      <c r="BJ42" s="3316"/>
      <c r="BK42" s="4744"/>
      <c r="BL42" s="1260" t="s">
        <v>1304</v>
      </c>
      <c r="BM42" s="4747"/>
      <c r="BN42" s="3854"/>
      <c r="BO42" s="3854"/>
      <c r="BP42" s="3854"/>
      <c r="BQ42" s="3854"/>
      <c r="BR42" s="4769"/>
    </row>
    <row r="43" spans="1:70" s="656" customFormat="1" ht="31.5" customHeight="1" x14ac:dyDescent="0.2">
      <c r="A43" s="1210"/>
      <c r="B43" s="1211"/>
      <c r="C43" s="1212"/>
      <c r="D43" s="1229"/>
      <c r="E43" s="1230"/>
      <c r="F43" s="1230"/>
      <c r="G43" s="1229"/>
      <c r="H43" s="1230"/>
      <c r="I43" s="1230"/>
      <c r="J43" s="3207"/>
      <c r="K43" s="2923"/>
      <c r="L43" s="2923"/>
      <c r="M43" s="3207"/>
      <c r="N43" s="3207"/>
      <c r="O43" s="1233" t="s">
        <v>1378</v>
      </c>
      <c r="P43" s="3207"/>
      <c r="Q43" s="3823"/>
      <c r="R43" s="4761"/>
      <c r="S43" s="3316"/>
      <c r="T43" s="3823"/>
      <c r="U43" s="3823"/>
      <c r="V43" s="4759"/>
      <c r="W43" s="1319">
        <v>10000000</v>
      </c>
      <c r="X43" s="1320">
        <v>0</v>
      </c>
      <c r="Y43" s="1320">
        <v>0</v>
      </c>
      <c r="Z43" s="1235">
        <v>7</v>
      </c>
      <c r="AA43" s="1236" t="s">
        <v>1334</v>
      </c>
      <c r="AB43" s="3837"/>
      <c r="AC43" s="3837"/>
      <c r="AD43" s="3837"/>
      <c r="AE43" s="3837"/>
      <c r="AF43" s="3837"/>
      <c r="AG43" s="3837"/>
      <c r="AH43" s="3837"/>
      <c r="AI43" s="3837"/>
      <c r="AJ43" s="3837"/>
      <c r="AK43" s="3837"/>
      <c r="AL43" s="3837"/>
      <c r="AM43" s="3837"/>
      <c r="AN43" s="3837"/>
      <c r="AO43" s="3837"/>
      <c r="AP43" s="3837"/>
      <c r="AQ43" s="3837"/>
      <c r="AR43" s="3837"/>
      <c r="AS43" s="3837"/>
      <c r="AT43" s="3837"/>
      <c r="AU43" s="3837"/>
      <c r="AV43" s="3837"/>
      <c r="AW43" s="3837"/>
      <c r="AX43" s="3837"/>
      <c r="AY43" s="3837"/>
      <c r="AZ43" s="3837"/>
      <c r="BA43" s="3837"/>
      <c r="BB43" s="3837"/>
      <c r="BC43" s="3837"/>
      <c r="BD43" s="4763"/>
      <c r="BE43" s="4763"/>
      <c r="BF43" s="3837"/>
      <c r="BG43" s="3837"/>
      <c r="BH43" s="3837"/>
      <c r="BI43" s="3316"/>
      <c r="BJ43" s="3316"/>
      <c r="BK43" s="4744"/>
      <c r="BL43" s="1260" t="s">
        <v>1334</v>
      </c>
      <c r="BM43" s="4747"/>
      <c r="BN43" s="3854"/>
      <c r="BO43" s="3854"/>
      <c r="BP43" s="3854"/>
      <c r="BQ43" s="3854"/>
      <c r="BR43" s="4769"/>
    </row>
    <row r="44" spans="1:70" s="656" customFormat="1" ht="31.5" customHeight="1" x14ac:dyDescent="0.2">
      <c r="A44" s="1210"/>
      <c r="B44" s="1211"/>
      <c r="C44" s="1212"/>
      <c r="D44" s="1229"/>
      <c r="E44" s="1230"/>
      <c r="F44" s="1230"/>
      <c r="G44" s="1229"/>
      <c r="H44" s="1230"/>
      <c r="I44" s="1230"/>
      <c r="J44" s="3207"/>
      <c r="K44" s="2923"/>
      <c r="L44" s="2923"/>
      <c r="M44" s="3207"/>
      <c r="N44" s="3207"/>
      <c r="O44" s="1261" t="s">
        <v>1379</v>
      </c>
      <c r="P44" s="3207"/>
      <c r="Q44" s="3823"/>
      <c r="R44" s="4756"/>
      <c r="S44" s="3316"/>
      <c r="T44" s="3823"/>
      <c r="U44" s="3823"/>
      <c r="V44" s="4759"/>
      <c r="W44" s="1329">
        <v>12171030</v>
      </c>
      <c r="X44" s="1330">
        <v>0</v>
      </c>
      <c r="Y44" s="1330">
        <v>0</v>
      </c>
      <c r="Z44" s="1235">
        <v>3</v>
      </c>
      <c r="AA44" s="1262" t="s">
        <v>1372</v>
      </c>
      <c r="AB44" s="3837"/>
      <c r="AC44" s="3837"/>
      <c r="AD44" s="3837"/>
      <c r="AE44" s="3837"/>
      <c r="AF44" s="3837"/>
      <c r="AG44" s="3837"/>
      <c r="AH44" s="3837"/>
      <c r="AI44" s="3837"/>
      <c r="AJ44" s="3837"/>
      <c r="AK44" s="3837"/>
      <c r="AL44" s="3837"/>
      <c r="AM44" s="3837"/>
      <c r="AN44" s="3837"/>
      <c r="AO44" s="3837"/>
      <c r="AP44" s="3837"/>
      <c r="AQ44" s="3837"/>
      <c r="AR44" s="3837"/>
      <c r="AS44" s="3837"/>
      <c r="AT44" s="3837"/>
      <c r="AU44" s="3837"/>
      <c r="AV44" s="3837"/>
      <c r="AW44" s="3837"/>
      <c r="AX44" s="3837"/>
      <c r="AY44" s="3837"/>
      <c r="AZ44" s="3837"/>
      <c r="BA44" s="3837"/>
      <c r="BB44" s="3837"/>
      <c r="BC44" s="3837"/>
      <c r="BD44" s="4763"/>
      <c r="BE44" s="4763"/>
      <c r="BF44" s="3837"/>
      <c r="BG44" s="3837"/>
      <c r="BH44" s="3837"/>
      <c r="BI44" s="3316"/>
      <c r="BJ44" s="3316"/>
      <c r="BK44" s="4744"/>
      <c r="BL44" s="1263" t="s">
        <v>1372</v>
      </c>
      <c r="BM44" s="4747"/>
      <c r="BN44" s="3854"/>
      <c r="BO44" s="3854"/>
      <c r="BP44" s="3854"/>
      <c r="BQ44" s="3854"/>
      <c r="BR44" s="4769"/>
    </row>
    <row r="45" spans="1:70" s="656" customFormat="1" ht="33" customHeight="1" x14ac:dyDescent="0.2">
      <c r="A45" s="1210"/>
      <c r="B45" s="1211"/>
      <c r="C45" s="1212"/>
      <c r="D45" s="1229"/>
      <c r="E45" s="1230"/>
      <c r="F45" s="1230"/>
      <c r="G45" s="1229"/>
      <c r="H45" s="1230"/>
      <c r="I45" s="1230"/>
      <c r="J45" s="3165">
        <v>211</v>
      </c>
      <c r="K45" s="4770" t="s">
        <v>1380</v>
      </c>
      <c r="L45" s="2977" t="s">
        <v>1381</v>
      </c>
      <c r="M45" s="3165">
        <v>1</v>
      </c>
      <c r="N45" s="4772">
        <v>1</v>
      </c>
      <c r="O45" s="1233" t="s">
        <v>1382</v>
      </c>
      <c r="P45" s="3207"/>
      <c r="Q45" s="3823"/>
      <c r="R45" s="4755">
        <f>+(W45+W46+W47+W48)/$S$38</f>
        <v>0.31442754373634357</v>
      </c>
      <c r="S45" s="3316"/>
      <c r="T45" s="3823"/>
      <c r="U45" s="3823"/>
      <c r="V45" s="4757" t="s">
        <v>1383</v>
      </c>
      <c r="W45" s="1319">
        <v>25000000</v>
      </c>
      <c r="X45" s="1330">
        <v>13610000</v>
      </c>
      <c r="Y45" s="1330">
        <v>1802000</v>
      </c>
      <c r="Z45" s="1235">
        <v>3</v>
      </c>
      <c r="AA45" s="1236" t="s">
        <v>1304</v>
      </c>
      <c r="AB45" s="3837"/>
      <c r="AC45" s="3837"/>
      <c r="AD45" s="3837"/>
      <c r="AE45" s="3837"/>
      <c r="AF45" s="3837"/>
      <c r="AG45" s="3837"/>
      <c r="AH45" s="3837"/>
      <c r="AI45" s="3837"/>
      <c r="AJ45" s="3837"/>
      <c r="AK45" s="3837"/>
      <c r="AL45" s="3837"/>
      <c r="AM45" s="3837"/>
      <c r="AN45" s="3837"/>
      <c r="AO45" s="3837"/>
      <c r="AP45" s="3837"/>
      <c r="AQ45" s="3837"/>
      <c r="AR45" s="3837"/>
      <c r="AS45" s="3837"/>
      <c r="AT45" s="3837"/>
      <c r="AU45" s="3837"/>
      <c r="AV45" s="3837"/>
      <c r="AW45" s="3837"/>
      <c r="AX45" s="3837"/>
      <c r="AY45" s="3837"/>
      <c r="AZ45" s="3837"/>
      <c r="BA45" s="3837"/>
      <c r="BB45" s="3837"/>
      <c r="BC45" s="3837"/>
      <c r="BD45" s="4763"/>
      <c r="BE45" s="4763"/>
      <c r="BF45" s="3837"/>
      <c r="BG45" s="3837"/>
      <c r="BH45" s="3837"/>
      <c r="BI45" s="3316"/>
      <c r="BJ45" s="3316"/>
      <c r="BK45" s="4744"/>
      <c r="BL45" s="1260" t="s">
        <v>1304</v>
      </c>
      <c r="BM45" s="4747"/>
      <c r="BN45" s="3854"/>
      <c r="BO45" s="3854"/>
      <c r="BP45" s="3854"/>
      <c r="BQ45" s="3854"/>
      <c r="BR45" s="4769"/>
    </row>
    <row r="46" spans="1:70" s="656" customFormat="1" ht="31.5" customHeight="1" x14ac:dyDescent="0.2">
      <c r="A46" s="1210"/>
      <c r="B46" s="1211"/>
      <c r="C46" s="1212"/>
      <c r="D46" s="1229"/>
      <c r="E46" s="1230"/>
      <c r="F46" s="1230"/>
      <c r="G46" s="1229"/>
      <c r="H46" s="1230"/>
      <c r="I46" s="1230"/>
      <c r="J46" s="3207"/>
      <c r="K46" s="4771"/>
      <c r="L46" s="2966"/>
      <c r="M46" s="3207"/>
      <c r="N46" s="4773"/>
      <c r="O46" s="1233" t="s">
        <v>1384</v>
      </c>
      <c r="P46" s="3207"/>
      <c r="Q46" s="3823"/>
      <c r="R46" s="4761"/>
      <c r="S46" s="3316"/>
      <c r="T46" s="3823"/>
      <c r="U46" s="3823"/>
      <c r="V46" s="4759"/>
      <c r="W46" s="1319">
        <v>10000000</v>
      </c>
      <c r="X46" s="1330">
        <v>1510000</v>
      </c>
      <c r="Y46" s="1330">
        <v>0</v>
      </c>
      <c r="Z46" s="1235">
        <v>7</v>
      </c>
      <c r="AA46" s="1236" t="s">
        <v>1334</v>
      </c>
      <c r="AB46" s="3837"/>
      <c r="AC46" s="3837"/>
      <c r="AD46" s="3837"/>
      <c r="AE46" s="3837"/>
      <c r="AF46" s="3837"/>
      <c r="AG46" s="3837"/>
      <c r="AH46" s="3837"/>
      <c r="AI46" s="3837"/>
      <c r="AJ46" s="3837"/>
      <c r="AK46" s="3837"/>
      <c r="AL46" s="3837"/>
      <c r="AM46" s="3837"/>
      <c r="AN46" s="3837"/>
      <c r="AO46" s="3837"/>
      <c r="AP46" s="3837"/>
      <c r="AQ46" s="3837"/>
      <c r="AR46" s="3837"/>
      <c r="AS46" s="3837"/>
      <c r="AT46" s="3837"/>
      <c r="AU46" s="3837"/>
      <c r="AV46" s="3837"/>
      <c r="AW46" s="3837"/>
      <c r="AX46" s="3837"/>
      <c r="AY46" s="3837"/>
      <c r="AZ46" s="3837"/>
      <c r="BA46" s="3837"/>
      <c r="BB46" s="3837"/>
      <c r="BC46" s="3837"/>
      <c r="BD46" s="4763"/>
      <c r="BE46" s="4763"/>
      <c r="BF46" s="3837"/>
      <c r="BG46" s="3837"/>
      <c r="BH46" s="3837"/>
      <c r="BI46" s="3316"/>
      <c r="BJ46" s="3316"/>
      <c r="BK46" s="4744"/>
      <c r="BL46" s="1260" t="s">
        <v>1334</v>
      </c>
      <c r="BM46" s="4747"/>
      <c r="BN46" s="3854"/>
      <c r="BO46" s="3854"/>
      <c r="BP46" s="3854"/>
      <c r="BQ46" s="3854"/>
      <c r="BR46" s="4769"/>
    </row>
    <row r="47" spans="1:70" s="656" customFormat="1" ht="25.5" customHeight="1" x14ac:dyDescent="0.2">
      <c r="A47" s="1210"/>
      <c r="B47" s="1211"/>
      <c r="C47" s="1212"/>
      <c r="D47" s="1229"/>
      <c r="E47" s="1230"/>
      <c r="F47" s="1230"/>
      <c r="G47" s="1229"/>
      <c r="H47" s="1230"/>
      <c r="I47" s="1230"/>
      <c r="J47" s="3207"/>
      <c r="K47" s="4771"/>
      <c r="L47" s="2966"/>
      <c r="M47" s="3207"/>
      <c r="N47" s="4773"/>
      <c r="O47" s="1233" t="s">
        <v>1385</v>
      </c>
      <c r="P47" s="3207"/>
      <c r="Q47" s="3823"/>
      <c r="R47" s="4761"/>
      <c r="S47" s="3316"/>
      <c r="T47" s="3823"/>
      <c r="U47" s="3823"/>
      <c r="V47" s="4759"/>
      <c r="W47" s="1319">
        <v>11503067.800000001</v>
      </c>
      <c r="X47" s="1330">
        <v>0</v>
      </c>
      <c r="Y47" s="1330">
        <v>0</v>
      </c>
      <c r="Z47" s="1235">
        <v>6</v>
      </c>
      <c r="AA47" s="1236" t="s">
        <v>1307</v>
      </c>
      <c r="AB47" s="3837"/>
      <c r="AC47" s="3837"/>
      <c r="AD47" s="3837"/>
      <c r="AE47" s="3837"/>
      <c r="AF47" s="3837"/>
      <c r="AG47" s="3837"/>
      <c r="AH47" s="3837"/>
      <c r="AI47" s="3837"/>
      <c r="AJ47" s="3837"/>
      <c r="AK47" s="3837"/>
      <c r="AL47" s="3837"/>
      <c r="AM47" s="3837"/>
      <c r="AN47" s="3837"/>
      <c r="AO47" s="3837"/>
      <c r="AP47" s="3837"/>
      <c r="AQ47" s="3837"/>
      <c r="AR47" s="3837"/>
      <c r="AS47" s="3837"/>
      <c r="AT47" s="3837"/>
      <c r="AU47" s="3837"/>
      <c r="AV47" s="3837"/>
      <c r="AW47" s="3837"/>
      <c r="AX47" s="3837"/>
      <c r="AY47" s="3837"/>
      <c r="AZ47" s="3837"/>
      <c r="BA47" s="3837"/>
      <c r="BB47" s="3837"/>
      <c r="BC47" s="3837"/>
      <c r="BD47" s="4763"/>
      <c r="BE47" s="4763"/>
      <c r="BF47" s="3837"/>
      <c r="BG47" s="3837"/>
      <c r="BH47" s="3837"/>
      <c r="BI47" s="3316"/>
      <c r="BJ47" s="3316"/>
      <c r="BK47" s="4744"/>
      <c r="BL47" s="1260" t="s">
        <v>1307</v>
      </c>
      <c r="BM47" s="4747"/>
      <c r="BN47" s="3854"/>
      <c r="BO47" s="3854"/>
      <c r="BP47" s="3854"/>
      <c r="BQ47" s="3854"/>
      <c r="BR47" s="4769"/>
    </row>
    <row r="48" spans="1:70" s="656" customFormat="1" ht="30" customHeight="1" thickBot="1" x14ac:dyDescent="0.25">
      <c r="A48" s="1210"/>
      <c r="B48" s="1211"/>
      <c r="C48" s="1212"/>
      <c r="D48" s="1229"/>
      <c r="E48" s="1230"/>
      <c r="F48" s="1230"/>
      <c r="G48" s="1229"/>
      <c r="H48" s="1230"/>
      <c r="I48" s="1230"/>
      <c r="J48" s="3207"/>
      <c r="K48" s="4771"/>
      <c r="L48" s="2966"/>
      <c r="M48" s="3207"/>
      <c r="N48" s="4773"/>
      <c r="O48" s="1264" t="s">
        <v>1386</v>
      </c>
      <c r="P48" s="3207"/>
      <c r="Q48" s="3823"/>
      <c r="R48" s="4756"/>
      <c r="S48" s="3316"/>
      <c r="T48" s="3823"/>
      <c r="U48" s="3823"/>
      <c r="V48" s="4759"/>
      <c r="W48" s="1319">
        <v>13656561.42</v>
      </c>
      <c r="X48" s="1330">
        <v>7000000</v>
      </c>
      <c r="Y48" s="1330">
        <v>0</v>
      </c>
      <c r="Z48" s="1265">
        <v>13</v>
      </c>
      <c r="AA48" s="658" t="s">
        <v>1348</v>
      </c>
      <c r="AB48" s="3837"/>
      <c r="AC48" s="3837"/>
      <c r="AD48" s="3837"/>
      <c r="AE48" s="3837"/>
      <c r="AF48" s="3837"/>
      <c r="AG48" s="3837"/>
      <c r="AH48" s="3837"/>
      <c r="AI48" s="3837"/>
      <c r="AJ48" s="3837"/>
      <c r="AK48" s="3837"/>
      <c r="AL48" s="3837"/>
      <c r="AM48" s="3837"/>
      <c r="AN48" s="3837"/>
      <c r="AO48" s="3837"/>
      <c r="AP48" s="3837"/>
      <c r="AQ48" s="3837"/>
      <c r="AR48" s="3837"/>
      <c r="AS48" s="3837"/>
      <c r="AT48" s="3837"/>
      <c r="AU48" s="3837"/>
      <c r="AV48" s="3837"/>
      <c r="AW48" s="3837"/>
      <c r="AX48" s="3837"/>
      <c r="AY48" s="3837"/>
      <c r="AZ48" s="3837"/>
      <c r="BA48" s="3837"/>
      <c r="BB48" s="3837"/>
      <c r="BC48" s="3837"/>
      <c r="BD48" s="4764"/>
      <c r="BE48" s="4764"/>
      <c r="BF48" s="3837"/>
      <c r="BG48" s="3837"/>
      <c r="BH48" s="3837"/>
      <c r="BI48" s="3316"/>
      <c r="BJ48" s="3316"/>
      <c r="BK48" s="4744"/>
      <c r="BL48" s="1266" t="s">
        <v>1348</v>
      </c>
      <c r="BM48" s="4747"/>
      <c r="BN48" s="3854"/>
      <c r="BO48" s="3854"/>
      <c r="BP48" s="3854"/>
      <c r="BQ48" s="3854"/>
      <c r="BR48" s="4769"/>
    </row>
    <row r="49" spans="1:70" s="656" customFormat="1" ht="23.25" customHeight="1" thickBot="1" x14ac:dyDescent="0.25">
      <c r="A49" s="1210"/>
      <c r="B49" s="1211"/>
      <c r="C49" s="1212"/>
      <c r="D49" s="1229"/>
      <c r="E49" s="1230"/>
      <c r="F49" s="1230"/>
      <c r="G49" s="1215">
        <v>73</v>
      </c>
      <c r="H49" s="1216" t="s">
        <v>1387</v>
      </c>
      <c r="I49" s="1216"/>
      <c r="J49" s="1216"/>
      <c r="K49" s="1217"/>
      <c r="L49" s="1216"/>
      <c r="M49" s="1216"/>
      <c r="N49" s="1216"/>
      <c r="O49" s="1216"/>
      <c r="P49" s="1218"/>
      <c r="Q49" s="1217"/>
      <c r="R49" s="1219"/>
      <c r="S49" s="1316"/>
      <c r="T49" s="1217" t="s">
        <v>1316</v>
      </c>
      <c r="U49" s="1217" t="s">
        <v>1316</v>
      </c>
      <c r="V49" s="1217"/>
      <c r="W49" s="1326">
        <f>+SUM(W38:W48)</f>
        <v>191330659.22</v>
      </c>
      <c r="X49" s="1326">
        <f>+SUM(X38:X48)</f>
        <v>66147100</v>
      </c>
      <c r="Y49" s="1326">
        <f>+SUM(Y38:Y48)</f>
        <v>25424000</v>
      </c>
      <c r="Z49" s="1222"/>
      <c r="AA49" s="1218"/>
      <c r="AB49" s="1247"/>
      <c r="AC49" s="1247"/>
      <c r="AD49" s="1247"/>
      <c r="AE49" s="1247"/>
      <c r="AF49" s="1247"/>
      <c r="AG49" s="1247"/>
      <c r="AH49" s="1247"/>
      <c r="AI49" s="1247"/>
      <c r="AJ49" s="1247"/>
      <c r="AK49" s="1247"/>
      <c r="AL49" s="1247"/>
      <c r="AM49" s="1247"/>
      <c r="AN49" s="1247"/>
      <c r="AO49" s="1247"/>
      <c r="AP49" s="1247"/>
      <c r="AQ49" s="1247"/>
      <c r="AR49" s="1247"/>
      <c r="AS49" s="1247"/>
      <c r="AT49" s="1247"/>
      <c r="AU49" s="1247"/>
      <c r="AV49" s="1247"/>
      <c r="AW49" s="1247"/>
      <c r="AX49" s="1247"/>
      <c r="AY49" s="1247"/>
      <c r="AZ49" s="1247"/>
      <c r="BA49" s="1247"/>
      <c r="BB49" s="1247"/>
      <c r="BC49" s="1247"/>
      <c r="BD49" s="1247"/>
      <c r="BE49" s="1247"/>
      <c r="BF49" s="1247"/>
      <c r="BG49" s="1247"/>
      <c r="BH49" s="1247"/>
      <c r="BI49" s="1333"/>
      <c r="BJ49" s="1333"/>
      <c r="BK49" s="1248"/>
      <c r="BL49" s="1267"/>
      <c r="BM49" s="1247"/>
      <c r="BN49" s="1227"/>
      <c r="BO49" s="1227"/>
      <c r="BP49" s="1227"/>
      <c r="BQ49" s="1227"/>
      <c r="BR49" s="1250"/>
    </row>
    <row r="50" spans="1:70" s="656" customFormat="1" ht="60.75" customHeight="1" x14ac:dyDescent="0.2">
      <c r="A50" s="1210"/>
      <c r="B50" s="1211"/>
      <c r="C50" s="1212"/>
      <c r="D50" s="1229"/>
      <c r="E50" s="1230"/>
      <c r="F50" s="1230"/>
      <c r="G50" s="1229"/>
      <c r="H50" s="1230"/>
      <c r="I50" s="1230"/>
      <c r="J50" s="3164">
        <v>212</v>
      </c>
      <c r="K50" s="3836" t="s">
        <v>1388</v>
      </c>
      <c r="L50" s="2807" t="s">
        <v>1389</v>
      </c>
      <c r="M50" s="3164">
        <v>12</v>
      </c>
      <c r="N50" s="3164">
        <v>0.5</v>
      </c>
      <c r="O50" s="1233" t="s">
        <v>1390</v>
      </c>
      <c r="P50" s="3164" t="s">
        <v>1391</v>
      </c>
      <c r="Q50" s="3836" t="s">
        <v>1392</v>
      </c>
      <c r="R50" s="4755">
        <f>+(W50+W51+W52)/S50</f>
        <v>1</v>
      </c>
      <c r="S50" s="3822">
        <f>SUM(W50:W52)</f>
        <v>199599321.65000001</v>
      </c>
      <c r="T50" s="3810" t="s">
        <v>1393</v>
      </c>
      <c r="U50" s="3810" t="s">
        <v>1394</v>
      </c>
      <c r="V50" s="4412" t="s">
        <v>1395</v>
      </c>
      <c r="W50" s="1319">
        <v>40000000</v>
      </c>
      <c r="X50" s="1319">
        <v>30100000</v>
      </c>
      <c r="Y50" s="1319">
        <v>4300000</v>
      </c>
      <c r="Z50" s="1255">
        <v>3</v>
      </c>
      <c r="AA50" s="1252" t="s">
        <v>1304</v>
      </c>
      <c r="AB50" s="3829">
        <v>3380</v>
      </c>
      <c r="AC50" s="3878">
        <v>1455</v>
      </c>
      <c r="AD50" s="3829">
        <v>460</v>
      </c>
      <c r="AE50" s="3878">
        <v>162</v>
      </c>
      <c r="AF50" s="3878"/>
      <c r="AG50" s="3878"/>
      <c r="AH50" s="3878"/>
      <c r="AI50" s="3878"/>
      <c r="AJ50" s="3829">
        <v>3840</v>
      </c>
      <c r="AK50" s="3829">
        <v>1617</v>
      </c>
      <c r="AL50" s="3829"/>
      <c r="AM50" s="3829"/>
      <c r="AN50" s="3829"/>
      <c r="AO50" s="3829"/>
      <c r="AP50" s="3829"/>
      <c r="AQ50" s="3829"/>
      <c r="AR50" s="3829"/>
      <c r="AS50" s="3829"/>
      <c r="AT50" s="3829"/>
      <c r="AU50" s="3829"/>
      <c r="AV50" s="3829"/>
      <c r="AW50" s="3829"/>
      <c r="AX50" s="3829"/>
      <c r="AY50" s="3829"/>
      <c r="AZ50" s="3829"/>
      <c r="BA50" s="3829"/>
      <c r="BB50" s="3829"/>
      <c r="BC50" s="3829"/>
      <c r="BD50" s="1268"/>
      <c r="BE50" s="3829"/>
      <c r="BF50" s="3829">
        <f>+AD50+AB50</f>
        <v>3840</v>
      </c>
      <c r="BG50" s="3829">
        <f>+AC50+AE50</f>
        <v>1617</v>
      </c>
      <c r="BH50" s="3829">
        <v>12</v>
      </c>
      <c r="BI50" s="3315">
        <f>+SUM(X50:X52)</f>
        <v>120300000</v>
      </c>
      <c r="BJ50" s="3315">
        <f>+SUM(Y50:Y52)</f>
        <v>12200000</v>
      </c>
      <c r="BK50" s="3322">
        <f>+BJ50/BI50</f>
        <v>0.10141313383208644</v>
      </c>
      <c r="BL50" s="1269" t="s">
        <v>1304</v>
      </c>
      <c r="BM50" s="3829" t="s">
        <v>1369</v>
      </c>
      <c r="BN50" s="3832">
        <v>43480</v>
      </c>
      <c r="BO50" s="3832">
        <v>43480</v>
      </c>
      <c r="BP50" s="3832">
        <v>43830</v>
      </c>
      <c r="BQ50" s="3832">
        <v>43830</v>
      </c>
      <c r="BR50" s="4740" t="s">
        <v>1300</v>
      </c>
    </row>
    <row r="51" spans="1:70" s="656" customFormat="1" ht="24.75" customHeight="1" x14ac:dyDescent="0.2">
      <c r="A51" s="1210"/>
      <c r="B51" s="1211"/>
      <c r="C51" s="1212"/>
      <c r="D51" s="1229"/>
      <c r="E51" s="1230"/>
      <c r="F51" s="1230"/>
      <c r="G51" s="1229"/>
      <c r="H51" s="1230"/>
      <c r="I51" s="1230"/>
      <c r="J51" s="3164"/>
      <c r="K51" s="3836"/>
      <c r="L51" s="2807"/>
      <c r="M51" s="3164"/>
      <c r="N51" s="3164"/>
      <c r="O51" s="1233" t="s">
        <v>1396</v>
      </c>
      <c r="P51" s="3164"/>
      <c r="Q51" s="3836"/>
      <c r="R51" s="4761"/>
      <c r="S51" s="3822"/>
      <c r="T51" s="3823"/>
      <c r="U51" s="3823"/>
      <c r="V51" s="4412"/>
      <c r="W51" s="1319">
        <v>135000000</v>
      </c>
      <c r="X51" s="1319">
        <v>81200000</v>
      </c>
      <c r="Y51" s="1319">
        <v>7900000</v>
      </c>
      <c r="Z51" s="1255">
        <v>7</v>
      </c>
      <c r="AA51" s="1233" t="s">
        <v>1334</v>
      </c>
      <c r="AB51" s="3837"/>
      <c r="AC51" s="3840"/>
      <c r="AD51" s="3837"/>
      <c r="AE51" s="3840"/>
      <c r="AF51" s="3840"/>
      <c r="AG51" s="3840"/>
      <c r="AH51" s="3840"/>
      <c r="AI51" s="3840"/>
      <c r="AJ51" s="3837"/>
      <c r="AK51" s="3837"/>
      <c r="AL51" s="3837"/>
      <c r="AM51" s="3837"/>
      <c r="AN51" s="3837"/>
      <c r="AO51" s="3837"/>
      <c r="AP51" s="3837"/>
      <c r="AQ51" s="3837"/>
      <c r="AR51" s="3837"/>
      <c r="AS51" s="3837"/>
      <c r="AT51" s="3837"/>
      <c r="AU51" s="3837"/>
      <c r="AV51" s="3837"/>
      <c r="AW51" s="3837"/>
      <c r="AX51" s="3837"/>
      <c r="AY51" s="3837"/>
      <c r="AZ51" s="3837"/>
      <c r="BA51" s="3837"/>
      <c r="BB51" s="3837"/>
      <c r="BC51" s="3837"/>
      <c r="BD51" s="1268"/>
      <c r="BE51" s="3837"/>
      <c r="BF51" s="3837"/>
      <c r="BG51" s="3837"/>
      <c r="BH51" s="3837"/>
      <c r="BI51" s="3316"/>
      <c r="BJ51" s="3316"/>
      <c r="BK51" s="3323"/>
      <c r="BL51" s="1270" t="s">
        <v>1334</v>
      </c>
      <c r="BM51" s="3837"/>
      <c r="BN51" s="3854"/>
      <c r="BO51" s="3854"/>
      <c r="BP51" s="3854"/>
      <c r="BQ51" s="3854"/>
      <c r="BR51" s="4741"/>
    </row>
    <row r="52" spans="1:70" s="656" customFormat="1" ht="24" customHeight="1" thickBot="1" x14ac:dyDescent="0.25">
      <c r="A52" s="1210"/>
      <c r="B52" s="1211"/>
      <c r="C52" s="1212"/>
      <c r="D52" s="1229"/>
      <c r="E52" s="1230"/>
      <c r="F52" s="1230"/>
      <c r="G52" s="1229"/>
      <c r="H52" s="1230"/>
      <c r="I52" s="1230"/>
      <c r="J52" s="3164"/>
      <c r="K52" s="3836"/>
      <c r="L52" s="2807"/>
      <c r="M52" s="3164"/>
      <c r="N52" s="3164"/>
      <c r="O52" s="1264" t="s">
        <v>1397</v>
      </c>
      <c r="P52" s="3164"/>
      <c r="Q52" s="3836"/>
      <c r="R52" s="4756"/>
      <c r="S52" s="3822"/>
      <c r="T52" s="3823"/>
      <c r="U52" s="3823"/>
      <c r="V52" s="4412"/>
      <c r="W52" s="1319">
        <v>24599321.649999999</v>
      </c>
      <c r="X52" s="1319">
        <v>9000000</v>
      </c>
      <c r="Y52" s="1319">
        <v>0</v>
      </c>
      <c r="Z52" s="1255">
        <v>4</v>
      </c>
      <c r="AA52" s="1264" t="s">
        <v>1310</v>
      </c>
      <c r="AB52" s="3837"/>
      <c r="AC52" s="3840"/>
      <c r="AD52" s="3837"/>
      <c r="AE52" s="3840"/>
      <c r="AF52" s="3840"/>
      <c r="AG52" s="3840"/>
      <c r="AH52" s="3840"/>
      <c r="AI52" s="3840"/>
      <c r="AJ52" s="3837"/>
      <c r="AK52" s="3837"/>
      <c r="AL52" s="3837"/>
      <c r="AM52" s="3837"/>
      <c r="AN52" s="3837"/>
      <c r="AO52" s="3837"/>
      <c r="AP52" s="3837"/>
      <c r="AQ52" s="3837"/>
      <c r="AR52" s="3837"/>
      <c r="AS52" s="3837"/>
      <c r="AT52" s="3837"/>
      <c r="AU52" s="3837"/>
      <c r="AV52" s="3837"/>
      <c r="AW52" s="3837"/>
      <c r="AX52" s="3837"/>
      <c r="AY52" s="3837"/>
      <c r="AZ52" s="3837"/>
      <c r="BA52" s="3837"/>
      <c r="BB52" s="3837"/>
      <c r="BC52" s="3837"/>
      <c r="BD52" s="1268"/>
      <c r="BE52" s="3837"/>
      <c r="BF52" s="3837"/>
      <c r="BG52" s="3837"/>
      <c r="BH52" s="3837"/>
      <c r="BI52" s="3316"/>
      <c r="BJ52" s="3316"/>
      <c r="BK52" s="3323"/>
      <c r="BL52" s="1271" t="s">
        <v>1310</v>
      </c>
      <c r="BM52" s="3837"/>
      <c r="BN52" s="3854"/>
      <c r="BO52" s="3854"/>
      <c r="BP52" s="3854"/>
      <c r="BQ52" s="3854"/>
      <c r="BR52" s="4741"/>
    </row>
    <row r="53" spans="1:70" s="656" customFormat="1" ht="20.25" customHeight="1" x14ac:dyDescent="0.2">
      <c r="A53" s="1193"/>
      <c r="B53" s="1194"/>
      <c r="C53" s="1195"/>
      <c r="D53" s="1196">
        <v>22</v>
      </c>
      <c r="E53" s="1197" t="s">
        <v>1398</v>
      </c>
      <c r="F53" s="1197"/>
      <c r="G53" s="1197"/>
      <c r="H53" s="1197"/>
      <c r="I53" s="1197"/>
      <c r="J53" s="1197"/>
      <c r="K53" s="1198"/>
      <c r="L53" s="1197"/>
      <c r="M53" s="1197"/>
      <c r="N53" s="1197"/>
      <c r="O53" s="1197"/>
      <c r="P53" s="1199"/>
      <c r="Q53" s="1198"/>
      <c r="R53" s="1200"/>
      <c r="S53" s="1317"/>
      <c r="T53" s="1198" t="s">
        <v>1316</v>
      </c>
      <c r="U53" s="1198" t="s">
        <v>1316</v>
      </c>
      <c r="V53" s="1198"/>
      <c r="W53" s="1327">
        <f>+SUM(W50:W52)</f>
        <v>199599321.65000001</v>
      </c>
      <c r="X53" s="1327">
        <f>+SUM(X50:X52)</f>
        <v>120300000</v>
      </c>
      <c r="Y53" s="1327">
        <f>+SUM(Y50:Y52)</f>
        <v>12200000</v>
      </c>
      <c r="Z53" s="1203"/>
      <c r="AA53" s="1199"/>
      <c r="AB53" s="1197"/>
      <c r="AC53" s="1197"/>
      <c r="AD53" s="1197"/>
      <c r="AE53" s="1197"/>
      <c r="AF53" s="1197"/>
      <c r="AG53" s="1197"/>
      <c r="AH53" s="1197"/>
      <c r="AI53" s="1197"/>
      <c r="AJ53" s="1197"/>
      <c r="AK53" s="1197"/>
      <c r="AL53" s="1197"/>
      <c r="AM53" s="1197"/>
      <c r="AN53" s="1197"/>
      <c r="AO53" s="1197"/>
      <c r="AP53" s="1197"/>
      <c r="AQ53" s="1197"/>
      <c r="AR53" s="1197"/>
      <c r="AS53" s="1197"/>
      <c r="AT53" s="1197"/>
      <c r="AU53" s="1197"/>
      <c r="AV53" s="1197"/>
      <c r="AW53" s="1197"/>
      <c r="AX53" s="1197"/>
      <c r="AY53" s="1197"/>
      <c r="AZ53" s="1197"/>
      <c r="BA53" s="1197"/>
      <c r="BB53" s="1197"/>
      <c r="BC53" s="1197"/>
      <c r="BD53" s="1197"/>
      <c r="BE53" s="1197"/>
      <c r="BF53" s="1197"/>
      <c r="BG53" s="1197"/>
      <c r="BH53" s="1204"/>
      <c r="BI53" s="1334"/>
      <c r="BJ53" s="1334"/>
      <c r="BK53" s="1256"/>
      <c r="BL53" s="1272"/>
      <c r="BM53" s="1257"/>
      <c r="BN53" s="1208"/>
      <c r="BO53" s="1208"/>
      <c r="BP53" s="1208"/>
      <c r="BQ53" s="1208"/>
      <c r="BR53" s="1209"/>
    </row>
    <row r="54" spans="1:70" s="656" customFormat="1" ht="23.25" customHeight="1" x14ac:dyDescent="0.2">
      <c r="A54" s="1210"/>
      <c r="B54" s="1211"/>
      <c r="C54" s="1212"/>
      <c r="D54" s="1229"/>
      <c r="E54" s="1230"/>
      <c r="F54" s="1230"/>
      <c r="G54" s="1215">
        <v>74</v>
      </c>
      <c r="H54" s="1216" t="s">
        <v>1387</v>
      </c>
      <c r="I54" s="1216"/>
      <c r="J54" s="1216"/>
      <c r="K54" s="1217"/>
      <c r="L54" s="1216"/>
      <c r="M54" s="1216"/>
      <c r="N54" s="1216"/>
      <c r="O54" s="1216"/>
      <c r="P54" s="1218"/>
      <c r="Q54" s="1217"/>
      <c r="R54" s="1219"/>
      <c r="S54" s="1316"/>
      <c r="T54" s="1217" t="s">
        <v>1316</v>
      </c>
      <c r="U54" s="1217" t="s">
        <v>1316</v>
      </c>
      <c r="V54" s="1217"/>
      <c r="W54" s="1326"/>
      <c r="X54" s="1326"/>
      <c r="Y54" s="1326"/>
      <c r="Z54" s="1222"/>
      <c r="AA54" s="1218"/>
      <c r="AB54" s="1247"/>
      <c r="AC54" s="1247"/>
      <c r="AD54" s="1247"/>
      <c r="AE54" s="1247"/>
      <c r="AF54" s="1247"/>
      <c r="AG54" s="1247"/>
      <c r="AH54" s="1247"/>
      <c r="AI54" s="1247"/>
      <c r="AJ54" s="1247"/>
      <c r="AK54" s="1247"/>
      <c r="AL54" s="1247"/>
      <c r="AM54" s="1247"/>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333"/>
      <c r="BJ54" s="1333"/>
      <c r="BK54" s="1248"/>
      <c r="BL54" s="1273"/>
      <c r="BM54" s="1247"/>
      <c r="BN54" s="1227"/>
      <c r="BO54" s="1227"/>
      <c r="BP54" s="1227"/>
      <c r="BQ54" s="1227"/>
      <c r="BR54" s="1250"/>
    </row>
    <row r="55" spans="1:70" s="656" customFormat="1" ht="39" customHeight="1" x14ac:dyDescent="0.2">
      <c r="A55" s="1210"/>
      <c r="B55" s="1211"/>
      <c r="C55" s="1212"/>
      <c r="D55" s="1229"/>
      <c r="E55" s="1230"/>
      <c r="F55" s="1230"/>
      <c r="G55" s="1229"/>
      <c r="H55" s="1230"/>
      <c r="I55" s="1230"/>
      <c r="J55" s="3165">
        <v>213</v>
      </c>
      <c r="K55" s="3810" t="s">
        <v>1399</v>
      </c>
      <c r="L55" s="2834" t="s">
        <v>1400</v>
      </c>
      <c r="M55" s="3165">
        <v>12</v>
      </c>
      <c r="N55" s="3165">
        <v>12</v>
      </c>
      <c r="O55" s="1274" t="s">
        <v>1401</v>
      </c>
      <c r="P55" s="3165" t="s">
        <v>1402</v>
      </c>
      <c r="Q55" s="4774" t="s">
        <v>1403</v>
      </c>
      <c r="R55" s="4755">
        <f>+(W55+W56+W57)/S55</f>
        <v>1</v>
      </c>
      <c r="S55" s="3315">
        <f>+SUM(W55:W57)</f>
        <v>233682415</v>
      </c>
      <c r="T55" s="3810" t="s">
        <v>1404</v>
      </c>
      <c r="U55" s="3810" t="s">
        <v>1405</v>
      </c>
      <c r="V55" s="4757" t="s">
        <v>1406</v>
      </c>
      <c r="W55" s="1331">
        <v>182000000</v>
      </c>
      <c r="X55" s="1319">
        <v>0</v>
      </c>
      <c r="Y55" s="1319">
        <v>0</v>
      </c>
      <c r="Z55" s="1275">
        <v>2</v>
      </c>
      <c r="AA55" s="1233" t="s">
        <v>1407</v>
      </c>
      <c r="AB55" s="3829"/>
      <c r="AC55" s="3829">
        <v>131</v>
      </c>
      <c r="AD55" s="3829"/>
      <c r="AE55" s="3829">
        <v>135</v>
      </c>
      <c r="AF55" s="3829"/>
      <c r="AG55" s="3829">
        <v>254</v>
      </c>
      <c r="AH55" s="3829"/>
      <c r="AI55" s="3829">
        <v>12</v>
      </c>
      <c r="AJ55" s="3829"/>
      <c r="AK55" s="3829"/>
      <c r="AL55" s="3829"/>
      <c r="AM55" s="3829"/>
      <c r="AN55" s="3829"/>
      <c r="AO55" s="3829"/>
      <c r="AP55" s="3829"/>
      <c r="AQ55" s="3829"/>
      <c r="AR55" s="3829"/>
      <c r="AS55" s="3829"/>
      <c r="AT55" s="3829"/>
      <c r="AU55" s="3829"/>
      <c r="AV55" s="3829"/>
      <c r="AW55" s="3829"/>
      <c r="AX55" s="3829"/>
      <c r="AY55" s="3829"/>
      <c r="AZ55" s="3829"/>
      <c r="BA55" s="3829"/>
      <c r="BB55" s="3829"/>
      <c r="BC55" s="3829"/>
      <c r="BD55" s="3829"/>
      <c r="BE55" s="3829"/>
      <c r="BF55" s="3829"/>
      <c r="BG55" s="3829">
        <f>+AC55+AE55</f>
        <v>266</v>
      </c>
      <c r="BH55" s="3829">
        <v>7</v>
      </c>
      <c r="BI55" s="3315">
        <f>+SUM(X55:X57)</f>
        <v>28530000</v>
      </c>
      <c r="BJ55" s="3315">
        <f t="shared" ref="BJ55" si="1">+SUM(Y55:Y57)</f>
        <v>7208000</v>
      </c>
      <c r="BK55" s="4743">
        <f>+BJ55/BI55</f>
        <v>0.25264633718892393</v>
      </c>
      <c r="BL55" s="1269" t="s">
        <v>1407</v>
      </c>
      <c r="BM55" s="4746"/>
      <c r="BN55" s="3832">
        <v>43101</v>
      </c>
      <c r="BO55" s="3832">
        <v>43480</v>
      </c>
      <c r="BP55" s="3832">
        <v>43465</v>
      </c>
      <c r="BQ55" s="3832">
        <v>43465</v>
      </c>
      <c r="BR55" s="4740" t="s">
        <v>1408</v>
      </c>
    </row>
    <row r="56" spans="1:70" s="656" customFormat="1" ht="37.5" customHeight="1" x14ac:dyDescent="0.2">
      <c r="A56" s="1210"/>
      <c r="B56" s="1211"/>
      <c r="C56" s="1212"/>
      <c r="D56" s="1229"/>
      <c r="E56" s="1230"/>
      <c r="F56" s="1230"/>
      <c r="G56" s="1229"/>
      <c r="H56" s="1230"/>
      <c r="I56" s="1230"/>
      <c r="J56" s="3207"/>
      <c r="K56" s="3823"/>
      <c r="L56" s="2923"/>
      <c r="M56" s="3207"/>
      <c r="N56" s="3207"/>
      <c r="O56" s="1274" t="s">
        <v>1409</v>
      </c>
      <c r="P56" s="3207"/>
      <c r="Q56" s="4775"/>
      <c r="R56" s="4761"/>
      <c r="S56" s="3316"/>
      <c r="T56" s="3823"/>
      <c r="U56" s="3823"/>
      <c r="V56" s="4759"/>
      <c r="W56" s="1331">
        <v>36225674</v>
      </c>
      <c r="X56" s="1319">
        <v>13073259</v>
      </c>
      <c r="Y56" s="1319">
        <v>2063259</v>
      </c>
      <c r="Z56" s="1275">
        <v>3</v>
      </c>
      <c r="AA56" s="1233" t="s">
        <v>1304</v>
      </c>
      <c r="AB56" s="3837"/>
      <c r="AC56" s="3837"/>
      <c r="AD56" s="3837"/>
      <c r="AE56" s="3837"/>
      <c r="AF56" s="3837"/>
      <c r="AG56" s="3837"/>
      <c r="AH56" s="3837"/>
      <c r="AI56" s="3837"/>
      <c r="AJ56" s="3837"/>
      <c r="AK56" s="3837"/>
      <c r="AL56" s="3837"/>
      <c r="AM56" s="3837"/>
      <c r="AN56" s="3837"/>
      <c r="AO56" s="3837"/>
      <c r="AP56" s="3837"/>
      <c r="AQ56" s="3837"/>
      <c r="AR56" s="3837"/>
      <c r="AS56" s="3837"/>
      <c r="AT56" s="3837"/>
      <c r="AU56" s="3837"/>
      <c r="AV56" s="3837"/>
      <c r="AW56" s="3837"/>
      <c r="AX56" s="3837"/>
      <c r="AY56" s="3837"/>
      <c r="AZ56" s="3837"/>
      <c r="BA56" s="3837"/>
      <c r="BB56" s="3837"/>
      <c r="BC56" s="3837"/>
      <c r="BD56" s="3837"/>
      <c r="BE56" s="3837"/>
      <c r="BF56" s="3837"/>
      <c r="BG56" s="3837"/>
      <c r="BH56" s="3837"/>
      <c r="BI56" s="3316"/>
      <c r="BJ56" s="3316"/>
      <c r="BK56" s="4744"/>
      <c r="BL56" s="1270" t="s">
        <v>1304</v>
      </c>
      <c r="BM56" s="4747"/>
      <c r="BN56" s="3854"/>
      <c r="BO56" s="3854"/>
      <c r="BP56" s="3854"/>
      <c r="BQ56" s="3854"/>
      <c r="BR56" s="4741"/>
    </row>
    <row r="57" spans="1:70" ht="36" customHeight="1" x14ac:dyDescent="0.2">
      <c r="A57" s="1276"/>
      <c r="B57" s="1277"/>
      <c r="C57" s="1278"/>
      <c r="D57" s="1279"/>
      <c r="E57" s="4777"/>
      <c r="F57" s="3809"/>
      <c r="G57" s="1279"/>
      <c r="H57" s="4777"/>
      <c r="I57" s="3809"/>
      <c r="J57" s="3179"/>
      <c r="K57" s="3811"/>
      <c r="L57" s="2835"/>
      <c r="M57" s="3179"/>
      <c r="N57" s="3179"/>
      <c r="O57" s="1274" t="s">
        <v>1410</v>
      </c>
      <c r="P57" s="3179"/>
      <c r="Q57" s="4776"/>
      <c r="R57" s="4756"/>
      <c r="S57" s="3317"/>
      <c r="T57" s="3811"/>
      <c r="U57" s="3811" t="s">
        <v>1316</v>
      </c>
      <c r="V57" s="4758"/>
      <c r="W57" s="1331">
        <v>15456741</v>
      </c>
      <c r="X57" s="1324">
        <v>15456741</v>
      </c>
      <c r="Y57" s="1321">
        <v>5144741</v>
      </c>
      <c r="Z57" s="1275">
        <v>13</v>
      </c>
      <c r="AA57" s="1233" t="s">
        <v>1348</v>
      </c>
      <c r="AB57" s="3843"/>
      <c r="AC57" s="3843"/>
      <c r="AD57" s="3843"/>
      <c r="AE57" s="3843"/>
      <c r="AF57" s="3843"/>
      <c r="AG57" s="3843"/>
      <c r="AH57" s="3843"/>
      <c r="AI57" s="3843"/>
      <c r="AJ57" s="3843"/>
      <c r="AK57" s="3843"/>
      <c r="AL57" s="3843"/>
      <c r="AM57" s="3843"/>
      <c r="AN57" s="3843"/>
      <c r="AO57" s="3843"/>
      <c r="AP57" s="3843"/>
      <c r="AQ57" s="3843"/>
      <c r="AR57" s="3843"/>
      <c r="AS57" s="3843"/>
      <c r="AT57" s="3843"/>
      <c r="AU57" s="3843"/>
      <c r="AV57" s="3843"/>
      <c r="AW57" s="3843"/>
      <c r="AX57" s="3843"/>
      <c r="AY57" s="3843"/>
      <c r="AZ57" s="3843"/>
      <c r="BA57" s="3843"/>
      <c r="BB57" s="3843"/>
      <c r="BC57" s="3843"/>
      <c r="BD57" s="3843"/>
      <c r="BE57" s="3843"/>
      <c r="BF57" s="3843"/>
      <c r="BG57" s="3843"/>
      <c r="BH57" s="3843"/>
      <c r="BI57" s="3317"/>
      <c r="BJ57" s="3317"/>
      <c r="BK57" s="4745"/>
      <c r="BL57" s="1271" t="s">
        <v>1348</v>
      </c>
      <c r="BM57" s="4748"/>
      <c r="BN57" s="3830"/>
      <c r="BO57" s="3854"/>
      <c r="BP57" s="3830"/>
      <c r="BQ57" s="3830"/>
      <c r="BR57" s="4742"/>
    </row>
    <row r="58" spans="1:70" ht="15" x14ac:dyDescent="0.2">
      <c r="A58" s="1281"/>
      <c r="B58" s="1282"/>
      <c r="C58" s="1282"/>
      <c r="D58" s="1282"/>
      <c r="E58" s="1282"/>
      <c r="F58" s="1282"/>
      <c r="G58" s="1282"/>
      <c r="H58" s="1282"/>
      <c r="I58" s="1282"/>
      <c r="J58" s="1282"/>
      <c r="K58" s="1283"/>
      <c r="L58" s="1284"/>
      <c r="M58" s="1284"/>
      <c r="N58" s="1284"/>
      <c r="O58" s="1284"/>
      <c r="P58" s="1285"/>
      <c r="Q58" s="1283"/>
      <c r="R58" s="1286"/>
      <c r="S58" s="1318">
        <f>+S55+S50+S38+S30+S24+S21+S13</f>
        <v>3703924817.0100002</v>
      </c>
      <c r="T58" s="1283"/>
      <c r="U58" s="1283"/>
      <c r="V58" s="1287"/>
      <c r="W58" s="1332">
        <f>+W53+W49+W36+W29+W23+W20+W55+W56+W57</f>
        <v>3703924817.0100002</v>
      </c>
      <c r="X58" s="1332">
        <f>+X53+X49+X36+X29+X23+X20+X55+X56+X57</f>
        <v>1293783961.8</v>
      </c>
      <c r="Y58" s="1332">
        <f>+Y53+Y49+Y36+Y29+Y23+Y20+Y55+Y56+Y57</f>
        <v>566222101.60000002</v>
      </c>
      <c r="Z58" s="1288"/>
      <c r="AA58" s="1289"/>
      <c r="AB58" s="1282"/>
      <c r="AC58" s="1282"/>
      <c r="AD58" s="1282"/>
      <c r="AE58" s="1282"/>
      <c r="AF58" s="1282"/>
      <c r="AG58" s="1282"/>
      <c r="AH58" s="1282"/>
      <c r="AI58" s="1282"/>
      <c r="AJ58" s="1282"/>
      <c r="AK58" s="1282"/>
      <c r="AL58" s="1282"/>
      <c r="AM58" s="1282"/>
      <c r="AN58" s="1282"/>
      <c r="AO58" s="1282"/>
      <c r="AP58" s="1282"/>
      <c r="AQ58" s="1282"/>
      <c r="AR58" s="1282"/>
      <c r="AS58" s="1282"/>
      <c r="AT58" s="1282"/>
      <c r="AU58" s="1282"/>
      <c r="AV58" s="1282"/>
      <c r="AW58" s="1282"/>
      <c r="AX58" s="1282"/>
      <c r="AY58" s="1282"/>
      <c r="AZ58" s="1282"/>
      <c r="BA58" s="1282"/>
      <c r="BB58" s="1282"/>
      <c r="BC58" s="1282"/>
      <c r="BD58" s="1282"/>
      <c r="BE58" s="1282"/>
      <c r="BF58" s="1282"/>
      <c r="BG58" s="1282"/>
      <c r="BH58" s="1290"/>
      <c r="BI58" s="1291"/>
      <c r="BJ58" s="1291"/>
      <c r="BK58" s="1292"/>
      <c r="BL58" s="1293"/>
      <c r="BM58" s="1294"/>
      <c r="BN58" s="1294"/>
      <c r="BO58" s="1295"/>
      <c r="BP58" s="1295"/>
      <c r="BQ58" s="1296"/>
      <c r="BR58" s="1297"/>
    </row>
    <row r="60" spans="1:70" x14ac:dyDescent="0.2">
      <c r="W60" s="1303"/>
      <c r="X60" s="1303"/>
      <c r="Y60" s="1303"/>
    </row>
    <row r="61" spans="1:70" ht="42.75" customHeight="1" x14ac:dyDescent="0.2">
      <c r="F61" s="4778" t="s">
        <v>1411</v>
      </c>
      <c r="G61" s="4778"/>
      <c r="H61" s="4778"/>
      <c r="I61" s="4778"/>
      <c r="J61" s="4778"/>
    </row>
    <row r="62" spans="1:70" ht="14.25" customHeight="1" x14ac:dyDescent="0.2">
      <c r="F62" s="4779" t="s">
        <v>1412</v>
      </c>
      <c r="G62" s="4779"/>
      <c r="H62" s="4779"/>
      <c r="I62" s="4779"/>
    </row>
    <row r="63" spans="1:70" ht="29.25" customHeight="1" x14ac:dyDescent="0.2">
      <c r="F63" s="4779"/>
      <c r="G63" s="4779"/>
      <c r="H63" s="4779"/>
      <c r="I63" s="4779"/>
    </row>
    <row r="64" spans="1:70" ht="20.25" x14ac:dyDescent="0.2">
      <c r="S64" s="1312"/>
      <c r="T64" s="1312"/>
      <c r="U64" s="1312"/>
      <c r="V64" s="1313"/>
      <c r="W64" s="1314"/>
      <c r="X64" s="1314"/>
      <c r="Y64" s="1314"/>
    </row>
  </sheetData>
  <sheetProtection password="CBEB" sheet="1" objects="1" scenarios="1"/>
  <mergeCells count="465">
    <mergeCell ref="BR55:BR57"/>
    <mergeCell ref="E57:F57"/>
    <mergeCell ref="H57:I57"/>
    <mergeCell ref="F61:J61"/>
    <mergeCell ref="F62:I63"/>
    <mergeCell ref="BK55:BK57"/>
    <mergeCell ref="BM55:BM57"/>
    <mergeCell ref="BN55:BN57"/>
    <mergeCell ref="BO55:BO57"/>
    <mergeCell ref="BP55:BP57"/>
    <mergeCell ref="BQ55:BQ57"/>
    <mergeCell ref="BE55:BE57"/>
    <mergeCell ref="BF55:BF57"/>
    <mergeCell ref="BG55:BG57"/>
    <mergeCell ref="BH55:BH57"/>
    <mergeCell ref="BI55:BI57"/>
    <mergeCell ref="BJ55:BJ57"/>
    <mergeCell ref="AY55:AY57"/>
    <mergeCell ref="AZ55:AZ57"/>
    <mergeCell ref="BA55:BA57"/>
    <mergeCell ref="BB55:BB57"/>
    <mergeCell ref="BC55:BC57"/>
    <mergeCell ref="BD55:BD57"/>
    <mergeCell ref="AS55:AS57"/>
    <mergeCell ref="AT55:AT57"/>
    <mergeCell ref="AU55:AU57"/>
    <mergeCell ref="AV55:AV57"/>
    <mergeCell ref="AW55:AW57"/>
    <mergeCell ref="AX55:AX57"/>
    <mergeCell ref="AM55:AM57"/>
    <mergeCell ref="AN55:AN57"/>
    <mergeCell ref="AO55:AO57"/>
    <mergeCell ref="AP55:AP57"/>
    <mergeCell ref="AQ55:AQ57"/>
    <mergeCell ref="AR55:AR57"/>
    <mergeCell ref="AG55:AG57"/>
    <mergeCell ref="AH55:AH57"/>
    <mergeCell ref="AI55:AI57"/>
    <mergeCell ref="AJ55:AJ57"/>
    <mergeCell ref="AK55:AK57"/>
    <mergeCell ref="AL55:AL57"/>
    <mergeCell ref="V55:V57"/>
    <mergeCell ref="AB55:AB57"/>
    <mergeCell ref="AC55:AC57"/>
    <mergeCell ref="AD55:AD57"/>
    <mergeCell ref="AE55:AE57"/>
    <mergeCell ref="AF55:AF57"/>
    <mergeCell ref="P55:P57"/>
    <mergeCell ref="Q55:Q57"/>
    <mergeCell ref="R55:R57"/>
    <mergeCell ref="S55:S57"/>
    <mergeCell ref="T55:T57"/>
    <mergeCell ref="U55:U57"/>
    <mergeCell ref="BN50:BN52"/>
    <mergeCell ref="BO50:BO52"/>
    <mergeCell ref="BP50:BP52"/>
    <mergeCell ref="AY50:AY52"/>
    <mergeCell ref="AN50:AN52"/>
    <mergeCell ref="AO50:AO52"/>
    <mergeCell ref="AP50:AP52"/>
    <mergeCell ref="AQ50:AQ52"/>
    <mergeCell ref="AR50:AR52"/>
    <mergeCell ref="AS50:AS52"/>
    <mergeCell ref="AH50:AH52"/>
    <mergeCell ref="AI50:AI52"/>
    <mergeCell ref="AJ50:AJ52"/>
    <mergeCell ref="AK50:AK52"/>
    <mergeCell ref="AL50:AL52"/>
    <mergeCell ref="AM50:AM52"/>
    <mergeCell ref="AB50:AB52"/>
    <mergeCell ref="AC50:AC52"/>
    <mergeCell ref="BQ50:BQ52"/>
    <mergeCell ref="BR50:BR52"/>
    <mergeCell ref="J55:J57"/>
    <mergeCell ref="K55:K57"/>
    <mergeCell ref="L55:L57"/>
    <mergeCell ref="M55:M57"/>
    <mergeCell ref="N55:N57"/>
    <mergeCell ref="BG50:BG52"/>
    <mergeCell ref="BH50:BH52"/>
    <mergeCell ref="BI50:BI52"/>
    <mergeCell ref="BJ50:BJ52"/>
    <mergeCell ref="BK50:BK52"/>
    <mergeCell ref="BM50:BM52"/>
    <mergeCell ref="AZ50:AZ52"/>
    <mergeCell ref="BA50:BA52"/>
    <mergeCell ref="BB50:BB52"/>
    <mergeCell ref="BC50:BC52"/>
    <mergeCell ref="BE50:BE52"/>
    <mergeCell ref="BF50:BF52"/>
    <mergeCell ref="AT50:AT52"/>
    <mergeCell ref="AU50:AU52"/>
    <mergeCell ref="AV50:AV52"/>
    <mergeCell ref="AW50:AW52"/>
    <mergeCell ref="AX50:AX52"/>
    <mergeCell ref="AD50:AD52"/>
    <mergeCell ref="AE50:AE52"/>
    <mergeCell ref="AF50:AF52"/>
    <mergeCell ref="AG50:AG52"/>
    <mergeCell ref="Q50:Q52"/>
    <mergeCell ref="R50:R52"/>
    <mergeCell ref="S50:S52"/>
    <mergeCell ref="T50:T52"/>
    <mergeCell ref="U50:U52"/>
    <mergeCell ref="V50:V52"/>
    <mergeCell ref="J50:J52"/>
    <mergeCell ref="K50:K52"/>
    <mergeCell ref="L50:L52"/>
    <mergeCell ref="M50:M52"/>
    <mergeCell ref="N50:N52"/>
    <mergeCell ref="P50:P52"/>
    <mergeCell ref="N41:N44"/>
    <mergeCell ref="R41:R44"/>
    <mergeCell ref="V41:V44"/>
    <mergeCell ref="J45:J48"/>
    <mergeCell ref="K45:K48"/>
    <mergeCell ref="L45:L48"/>
    <mergeCell ref="M45:M48"/>
    <mergeCell ref="N45:N48"/>
    <mergeCell ref="R45:R48"/>
    <mergeCell ref="V45:V48"/>
    <mergeCell ref="BM38:BM48"/>
    <mergeCell ref="BN38:BN48"/>
    <mergeCell ref="BO38:BO48"/>
    <mergeCell ref="BP38:BP48"/>
    <mergeCell ref="BQ38:BQ48"/>
    <mergeCell ref="BR38:BR48"/>
    <mergeCell ref="BF38:BF48"/>
    <mergeCell ref="BG38:BG48"/>
    <mergeCell ref="BH38:BH48"/>
    <mergeCell ref="BI38:BI48"/>
    <mergeCell ref="BJ38:BJ48"/>
    <mergeCell ref="BK38:BK48"/>
    <mergeCell ref="AZ38:AZ48"/>
    <mergeCell ref="BA38:BA48"/>
    <mergeCell ref="BB38:BB48"/>
    <mergeCell ref="BC38:BC48"/>
    <mergeCell ref="BD38:BD48"/>
    <mergeCell ref="BE38:BE48"/>
    <mergeCell ref="AT38:AT48"/>
    <mergeCell ref="AU38:AU48"/>
    <mergeCell ref="AV38:AV48"/>
    <mergeCell ref="AW38:AW48"/>
    <mergeCell ref="AX38:AX48"/>
    <mergeCell ref="AY38:AY48"/>
    <mergeCell ref="AN38:AN48"/>
    <mergeCell ref="AO38:AO48"/>
    <mergeCell ref="AP38:AP48"/>
    <mergeCell ref="AQ38:AQ48"/>
    <mergeCell ref="AR38:AR48"/>
    <mergeCell ref="AS38:AS48"/>
    <mergeCell ref="AH38:AH48"/>
    <mergeCell ref="AI38:AI48"/>
    <mergeCell ref="AJ38:AJ48"/>
    <mergeCell ref="AK38:AK48"/>
    <mergeCell ref="AL38:AL48"/>
    <mergeCell ref="AM38:AM48"/>
    <mergeCell ref="AB38:AB48"/>
    <mergeCell ref="AC38:AC48"/>
    <mergeCell ref="AD38:AD48"/>
    <mergeCell ref="AE38:AE48"/>
    <mergeCell ref="AF38:AF48"/>
    <mergeCell ref="AG38:AG48"/>
    <mergeCell ref="Q38:Q48"/>
    <mergeCell ref="R38:R40"/>
    <mergeCell ref="S38:S48"/>
    <mergeCell ref="T38:T48"/>
    <mergeCell ref="U38:U48"/>
    <mergeCell ref="V38:V40"/>
    <mergeCell ref="J38:J40"/>
    <mergeCell ref="K38:K40"/>
    <mergeCell ref="L38:L40"/>
    <mergeCell ref="M38:M40"/>
    <mergeCell ref="N38:N40"/>
    <mergeCell ref="P38:P48"/>
    <mergeCell ref="J41:J44"/>
    <mergeCell ref="K41:K44"/>
    <mergeCell ref="L41:L44"/>
    <mergeCell ref="M41:M44"/>
    <mergeCell ref="BM30:BM35"/>
    <mergeCell ref="BN30:BN35"/>
    <mergeCell ref="BO30:BO35"/>
    <mergeCell ref="BP30:BP35"/>
    <mergeCell ref="BQ30:BQ35"/>
    <mergeCell ref="BR30:BR35"/>
    <mergeCell ref="BF30:BF35"/>
    <mergeCell ref="BG30:BG35"/>
    <mergeCell ref="BH30:BH35"/>
    <mergeCell ref="BI30:BI35"/>
    <mergeCell ref="BJ30:BJ35"/>
    <mergeCell ref="BK30:BK35"/>
    <mergeCell ref="AZ30:AZ35"/>
    <mergeCell ref="BA30:BA35"/>
    <mergeCell ref="BB30:BB35"/>
    <mergeCell ref="BC30:BC35"/>
    <mergeCell ref="BD30:BD35"/>
    <mergeCell ref="BE30:BE35"/>
    <mergeCell ref="AT30:AT35"/>
    <mergeCell ref="AU30:AU35"/>
    <mergeCell ref="AV30:AV35"/>
    <mergeCell ref="AW30:AW35"/>
    <mergeCell ref="AX30:AX35"/>
    <mergeCell ref="AY30:AY35"/>
    <mergeCell ref="AN30:AN35"/>
    <mergeCell ref="AO30:AO35"/>
    <mergeCell ref="AP30:AP35"/>
    <mergeCell ref="AQ30:AQ35"/>
    <mergeCell ref="AR30:AR35"/>
    <mergeCell ref="AS30:AS35"/>
    <mergeCell ref="AH30:AH35"/>
    <mergeCell ref="AI30:AI35"/>
    <mergeCell ref="AJ30:AJ35"/>
    <mergeCell ref="AK30:AK35"/>
    <mergeCell ref="AL30:AL35"/>
    <mergeCell ref="AM30:AM35"/>
    <mergeCell ref="AB30:AB35"/>
    <mergeCell ref="AC30:AC35"/>
    <mergeCell ref="AD30:AD35"/>
    <mergeCell ref="AE30:AE35"/>
    <mergeCell ref="AF30:AF35"/>
    <mergeCell ref="AG30:AG35"/>
    <mergeCell ref="Q30:Q35"/>
    <mergeCell ref="R30:R31"/>
    <mergeCell ref="S30:S35"/>
    <mergeCell ref="T30:T35"/>
    <mergeCell ref="U30:U35"/>
    <mergeCell ref="V30:V31"/>
    <mergeCell ref="R32:R33"/>
    <mergeCell ref="V32:V33"/>
    <mergeCell ref="R34:R35"/>
    <mergeCell ref="V34:V35"/>
    <mergeCell ref="J30:J31"/>
    <mergeCell ref="K30:K31"/>
    <mergeCell ref="L30:L31"/>
    <mergeCell ref="M30:M31"/>
    <mergeCell ref="N30:N31"/>
    <mergeCell ref="P30:P35"/>
    <mergeCell ref="J32:J33"/>
    <mergeCell ref="K32:K33"/>
    <mergeCell ref="L32:L33"/>
    <mergeCell ref="M32:M33"/>
    <mergeCell ref="N32:N33"/>
    <mergeCell ref="J34:J35"/>
    <mergeCell ref="K34:K35"/>
    <mergeCell ref="L34:L35"/>
    <mergeCell ref="M34:M35"/>
    <mergeCell ref="N34:N35"/>
    <mergeCell ref="BM24:BM28"/>
    <mergeCell ref="BN24:BN28"/>
    <mergeCell ref="BO24:BO28"/>
    <mergeCell ref="BP24:BP28"/>
    <mergeCell ref="BQ24:BQ28"/>
    <mergeCell ref="BR24:BR28"/>
    <mergeCell ref="BF24:BF28"/>
    <mergeCell ref="BG24:BG28"/>
    <mergeCell ref="BH24:BH28"/>
    <mergeCell ref="BI24:BI28"/>
    <mergeCell ref="BJ24:BJ28"/>
    <mergeCell ref="BK24:BK28"/>
    <mergeCell ref="AZ24:AZ28"/>
    <mergeCell ref="BA24:BA28"/>
    <mergeCell ref="BB24:BB28"/>
    <mergeCell ref="BC24:BC28"/>
    <mergeCell ref="BD24:BD28"/>
    <mergeCell ref="BE24:BE28"/>
    <mergeCell ref="AT24:AT28"/>
    <mergeCell ref="AU24:AU28"/>
    <mergeCell ref="AV24:AV28"/>
    <mergeCell ref="AW24:AW28"/>
    <mergeCell ref="AX24:AX28"/>
    <mergeCell ref="AY24:AY28"/>
    <mergeCell ref="AN24:AN28"/>
    <mergeCell ref="AO24:AO28"/>
    <mergeCell ref="AP24:AP28"/>
    <mergeCell ref="AQ24:AQ28"/>
    <mergeCell ref="AR24:AR28"/>
    <mergeCell ref="AS24:AS28"/>
    <mergeCell ref="AH24:AH28"/>
    <mergeCell ref="AI24:AI28"/>
    <mergeCell ref="AJ24:AJ28"/>
    <mergeCell ref="AK24:AK28"/>
    <mergeCell ref="AL24:AL28"/>
    <mergeCell ref="AM24:AM28"/>
    <mergeCell ref="AB24:AB28"/>
    <mergeCell ref="AC24:AC28"/>
    <mergeCell ref="AD24:AD28"/>
    <mergeCell ref="AE24:AE28"/>
    <mergeCell ref="AF24:AF28"/>
    <mergeCell ref="AG24:AG28"/>
    <mergeCell ref="Q24:Q28"/>
    <mergeCell ref="R24:R28"/>
    <mergeCell ref="S24:S28"/>
    <mergeCell ref="T24:T28"/>
    <mergeCell ref="U24:U28"/>
    <mergeCell ref="V24:V28"/>
    <mergeCell ref="BO21:BO22"/>
    <mergeCell ref="BP21:BP22"/>
    <mergeCell ref="BQ21:BQ22"/>
    <mergeCell ref="BR21:BR22"/>
    <mergeCell ref="J24:J28"/>
    <mergeCell ref="K24:K28"/>
    <mergeCell ref="L24:L28"/>
    <mergeCell ref="M24:M28"/>
    <mergeCell ref="N24:N28"/>
    <mergeCell ref="P24:P28"/>
    <mergeCell ref="BE21:BE22"/>
    <mergeCell ref="BF21:BF22"/>
    <mergeCell ref="BG21:BG22"/>
    <mergeCell ref="BI21:BI22"/>
    <mergeCell ref="BJ21:BJ22"/>
    <mergeCell ref="BK21:BK22"/>
    <mergeCell ref="AY21:AY22"/>
    <mergeCell ref="AZ21:AZ22"/>
    <mergeCell ref="BA21:BA22"/>
    <mergeCell ref="BB21:BB22"/>
    <mergeCell ref="BC21:BC22"/>
    <mergeCell ref="BD21:BD22"/>
    <mergeCell ref="AS21:AS22"/>
    <mergeCell ref="AT21:AT22"/>
    <mergeCell ref="AE21:AE22"/>
    <mergeCell ref="AF21:AF22"/>
    <mergeCell ref="AU21:AU22"/>
    <mergeCell ref="AV21:AV22"/>
    <mergeCell ref="AW21:AW22"/>
    <mergeCell ref="AX21:AX22"/>
    <mergeCell ref="AM21:AM22"/>
    <mergeCell ref="AN21:AN22"/>
    <mergeCell ref="AO21:AO22"/>
    <mergeCell ref="AP21:AP22"/>
    <mergeCell ref="AQ21:AQ22"/>
    <mergeCell ref="AR21:AR22"/>
    <mergeCell ref="Q13:Q19"/>
    <mergeCell ref="R13:R18"/>
    <mergeCell ref="AD13:AD19"/>
    <mergeCell ref="AE13:AE19"/>
    <mergeCell ref="AF13:AF19"/>
    <mergeCell ref="S13:S19"/>
    <mergeCell ref="AB21:AB22"/>
    <mergeCell ref="AC21:AC22"/>
    <mergeCell ref="BO13:BO19"/>
    <mergeCell ref="AY13:AY19"/>
    <mergeCell ref="AZ13:AZ19"/>
    <mergeCell ref="BA13:BA19"/>
    <mergeCell ref="AP13:AP19"/>
    <mergeCell ref="AQ13:AQ19"/>
    <mergeCell ref="AR13:AR19"/>
    <mergeCell ref="AS13:AS19"/>
    <mergeCell ref="AT13:AT19"/>
    <mergeCell ref="AU13:AU19"/>
    <mergeCell ref="BF13:BF19"/>
    <mergeCell ref="BG13:BG19"/>
    <mergeCell ref="AV13:AV19"/>
    <mergeCell ref="AW13:AW19"/>
    <mergeCell ref="AX13:AX19"/>
    <mergeCell ref="AD21:AD22"/>
    <mergeCell ref="BM21:BM22"/>
    <mergeCell ref="BN21:BN22"/>
    <mergeCell ref="BB13:BB19"/>
    <mergeCell ref="BC13:BC19"/>
    <mergeCell ref="BD13:BD19"/>
    <mergeCell ref="BE13:BE19"/>
    <mergeCell ref="J13:J18"/>
    <mergeCell ref="K13:K18"/>
    <mergeCell ref="L13:L18"/>
    <mergeCell ref="M13:M18"/>
    <mergeCell ref="N13:N18"/>
    <mergeCell ref="AM13:AM19"/>
    <mergeCell ref="AN13:AN19"/>
    <mergeCell ref="AO13:AO19"/>
    <mergeCell ref="AG21:AG22"/>
    <mergeCell ref="AH21:AH22"/>
    <mergeCell ref="AI21:AI22"/>
    <mergeCell ref="AJ21:AJ22"/>
    <mergeCell ref="AK21:AK22"/>
    <mergeCell ref="AL21:AL22"/>
    <mergeCell ref="AG13:AG19"/>
    <mergeCell ref="AH13:AH19"/>
    <mergeCell ref="AI13:AI19"/>
    <mergeCell ref="P21:P22"/>
    <mergeCell ref="E18:F18"/>
    <mergeCell ref="J21:J22"/>
    <mergeCell ref="K21:K22"/>
    <mergeCell ref="L21:L22"/>
    <mergeCell ref="M21:M22"/>
    <mergeCell ref="N21:N22"/>
    <mergeCell ref="BH13:BH22"/>
    <mergeCell ref="BI13:BI19"/>
    <mergeCell ref="BJ13:BJ19"/>
    <mergeCell ref="Q21:Q22"/>
    <mergeCell ref="R21:R22"/>
    <mergeCell ref="S21:S22"/>
    <mergeCell ref="T21:T22"/>
    <mergeCell ref="U21:U22"/>
    <mergeCell ref="AJ13:AJ19"/>
    <mergeCell ref="AK13:AK19"/>
    <mergeCell ref="AL13:AL19"/>
    <mergeCell ref="V21:V22"/>
    <mergeCell ref="T13:T19"/>
    <mergeCell ref="U13:U19"/>
    <mergeCell ref="V13:V17"/>
    <mergeCell ref="AB13:AB19"/>
    <mergeCell ref="AC13:AC19"/>
    <mergeCell ref="P13:P19"/>
    <mergeCell ref="BM8:BM9"/>
    <mergeCell ref="BD8:BE8"/>
    <mergeCell ref="BH8:BH9"/>
    <mergeCell ref="BI8:BI9"/>
    <mergeCell ref="BJ8:BJ9"/>
    <mergeCell ref="BK8:BK9"/>
    <mergeCell ref="BR13:BR19"/>
    <mergeCell ref="BK13:BK19"/>
    <mergeCell ref="BM13:BM19"/>
    <mergeCell ref="BN13:BN19"/>
    <mergeCell ref="BP13:BP19"/>
    <mergeCell ref="BQ13:BQ19"/>
    <mergeCell ref="BF7:BG8"/>
    <mergeCell ref="BH7:BM7"/>
    <mergeCell ref="H7:I9"/>
    <mergeCell ref="J7:J9"/>
    <mergeCell ref="K7:K9"/>
    <mergeCell ref="L7:L9"/>
    <mergeCell ref="M7:N8"/>
    <mergeCell ref="O7:O9"/>
    <mergeCell ref="BN7:BO8"/>
    <mergeCell ref="BB8:BC8"/>
    <mergeCell ref="V7:V9"/>
    <mergeCell ref="W7:Y8"/>
    <mergeCell ref="Z7:Z9"/>
    <mergeCell ref="AA7:AA9"/>
    <mergeCell ref="P7:P9"/>
    <mergeCell ref="Q7:Q9"/>
    <mergeCell ref="R7:R9"/>
    <mergeCell ref="S7:S9"/>
    <mergeCell ref="T7:T9"/>
    <mergeCell ref="U7:U9"/>
    <mergeCell ref="AV8:AW8"/>
    <mergeCell ref="AX8:AY8"/>
    <mergeCell ref="AZ8:BA8"/>
    <mergeCell ref="AB7:AE7"/>
    <mergeCell ref="AF7:AM7"/>
    <mergeCell ref="BL8:BL9"/>
    <mergeCell ref="A1:BP4"/>
    <mergeCell ref="A5:N6"/>
    <mergeCell ref="O5:BR5"/>
    <mergeCell ref="O6:AA6"/>
    <mergeCell ref="BN6:BR6"/>
    <mergeCell ref="A7:A9"/>
    <mergeCell ref="B7:C9"/>
    <mergeCell ref="D7:D9"/>
    <mergeCell ref="E7:F9"/>
    <mergeCell ref="G7:G9"/>
    <mergeCell ref="BR7:BR9"/>
    <mergeCell ref="AB8:AC8"/>
    <mergeCell ref="AD8:AE8"/>
    <mergeCell ref="AF8:AG8"/>
    <mergeCell ref="AH8:AI8"/>
    <mergeCell ref="AJ8:AK8"/>
    <mergeCell ref="BP7:BQ8"/>
    <mergeCell ref="AT8:AU8"/>
    <mergeCell ref="AL8:AM8"/>
    <mergeCell ref="AN8:AO8"/>
    <mergeCell ref="AP8:AQ8"/>
    <mergeCell ref="AR8:AS8"/>
    <mergeCell ref="AN7:AY7"/>
    <mergeCell ref="AZ7:BE7"/>
  </mergeCells>
  <pageMargins left="0.70866141732283472" right="0.70866141732283472" top="0.74803149606299213" bottom="0.74803149606299213" header="0.31496062992125984" footer="0.31496062992125984"/>
  <pageSetup paperSize="5"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BW45"/>
  <sheetViews>
    <sheetView showGridLines="0" zoomScale="60" zoomScaleNormal="60" workbookViewId="0">
      <selection sqref="A1:BM4"/>
    </sheetView>
  </sheetViews>
  <sheetFormatPr baseColWidth="10" defaultColWidth="11.42578125" defaultRowHeight="14.25" x14ac:dyDescent="0.2"/>
  <cols>
    <col min="1" max="1" width="15.140625" style="657" customWidth="1"/>
    <col min="2" max="2" width="19.28515625" style="657" customWidth="1"/>
    <col min="3" max="3" width="17.5703125" style="657" customWidth="1"/>
    <col min="4" max="4" width="19.140625" style="657" customWidth="1"/>
    <col min="5" max="5" width="18" style="657" customWidth="1"/>
    <col min="6" max="6" width="22.42578125" style="657" customWidth="1"/>
    <col min="7" max="7" width="18.140625" style="657" customWidth="1"/>
    <col min="8" max="8" width="28.7109375" style="657" customWidth="1"/>
    <col min="9" max="9" width="21.5703125" style="657" customWidth="1"/>
    <col min="10" max="11" width="18.5703125" style="657" customWidth="1"/>
    <col min="12" max="12" width="29.140625" style="657" customWidth="1"/>
    <col min="13" max="13" width="20.5703125" style="657" customWidth="1"/>
    <col min="14" max="14" width="24" style="657" customWidth="1"/>
    <col min="15" max="15" width="17.5703125" style="657" customWidth="1"/>
    <col min="16" max="16" width="28.5703125" style="657" customWidth="1"/>
    <col min="17" max="17" width="23.7109375" style="657" customWidth="1"/>
    <col min="18" max="18" width="30.85546875" style="657" customWidth="1"/>
    <col min="19" max="19" width="23.85546875" style="657" customWidth="1"/>
    <col min="20" max="22" width="28.5703125" style="657" customWidth="1"/>
    <col min="23" max="23" width="18.85546875" style="1841" customWidth="1"/>
    <col min="24" max="24" width="22.7109375" style="1841" customWidth="1"/>
    <col min="25" max="32" width="11.42578125" style="657"/>
    <col min="33" max="34" width="13" style="657" customWidth="1"/>
    <col min="35" max="35" width="11.42578125" style="1842"/>
    <col min="36" max="36" width="11.42578125" style="657"/>
    <col min="37" max="54" width="7.7109375" style="657" customWidth="1"/>
    <col min="55" max="56" width="8.42578125" style="657" customWidth="1"/>
    <col min="57" max="57" width="23.5703125" style="1841" customWidth="1"/>
    <col min="58" max="59" width="26.5703125" style="657" customWidth="1"/>
    <col min="60" max="60" width="19" style="657" customWidth="1"/>
    <col min="61" max="61" width="24.140625" style="657" customWidth="1"/>
    <col min="62" max="62" width="27.28515625" style="657" customWidth="1"/>
    <col min="63" max="63" width="17.85546875" style="657" customWidth="1"/>
    <col min="64" max="64" width="17.28515625" style="657" customWidth="1"/>
    <col min="65" max="65" width="17.5703125" style="657" customWidth="1"/>
    <col min="66" max="66" width="19" style="657" customWidth="1"/>
    <col min="67" max="67" width="22.42578125" style="657" customWidth="1"/>
    <col min="68" max="16384" width="11.42578125" style="657"/>
  </cols>
  <sheetData>
    <row r="1" spans="1:75" ht="15" customHeight="1" x14ac:dyDescent="0.25">
      <c r="A1" s="4453" t="s">
        <v>1770</v>
      </c>
      <c r="B1" s="4453"/>
      <c r="C1" s="4453"/>
      <c r="D1" s="4453"/>
      <c r="E1" s="4453"/>
      <c r="F1" s="4453"/>
      <c r="G1" s="4453"/>
      <c r="H1" s="4453"/>
      <c r="I1" s="4453"/>
      <c r="J1" s="4453"/>
      <c r="K1" s="4453"/>
      <c r="L1" s="4453"/>
      <c r="M1" s="4453"/>
      <c r="N1" s="4453"/>
      <c r="O1" s="4453"/>
      <c r="P1" s="4453"/>
      <c r="Q1" s="4453"/>
      <c r="R1" s="4453"/>
      <c r="S1" s="4453"/>
      <c r="T1" s="4453"/>
      <c r="U1" s="4453"/>
      <c r="V1" s="4453"/>
      <c r="W1" s="4453"/>
      <c r="X1" s="4453"/>
      <c r="Y1" s="4453"/>
      <c r="Z1" s="4453"/>
      <c r="AA1" s="4453"/>
      <c r="AB1" s="4453"/>
      <c r="AC1" s="4453"/>
      <c r="AD1" s="4453"/>
      <c r="AE1" s="4453"/>
      <c r="AF1" s="4453"/>
      <c r="AG1" s="4453"/>
      <c r="AH1" s="4453"/>
      <c r="AI1" s="4453"/>
      <c r="AJ1" s="4453"/>
      <c r="AK1" s="4453"/>
      <c r="AL1" s="4453"/>
      <c r="AM1" s="4453"/>
      <c r="AN1" s="4453"/>
      <c r="AO1" s="4453"/>
      <c r="AP1" s="4453"/>
      <c r="AQ1" s="4453"/>
      <c r="AR1" s="4453"/>
      <c r="AS1" s="4453"/>
      <c r="AT1" s="4453"/>
      <c r="AU1" s="4453"/>
      <c r="AV1" s="4453"/>
      <c r="AW1" s="4453"/>
      <c r="AX1" s="4453"/>
      <c r="AY1" s="4453"/>
      <c r="AZ1" s="4453"/>
      <c r="BA1" s="4453"/>
      <c r="BB1" s="4453"/>
      <c r="BC1" s="4453"/>
      <c r="BD1" s="4453"/>
      <c r="BE1" s="4453"/>
      <c r="BF1" s="4453"/>
      <c r="BG1" s="4453"/>
      <c r="BH1" s="4453"/>
      <c r="BI1" s="4453"/>
      <c r="BJ1" s="4453"/>
      <c r="BK1" s="4453"/>
      <c r="BL1" s="4453"/>
      <c r="BM1" s="3214"/>
      <c r="BN1" s="1793" t="s">
        <v>1</v>
      </c>
      <c r="BO1" s="4" t="s">
        <v>2</v>
      </c>
    </row>
    <row r="2" spans="1:75" ht="15" x14ac:dyDescent="0.25">
      <c r="A2" s="4453"/>
      <c r="B2" s="4453"/>
      <c r="C2" s="4453"/>
      <c r="D2" s="4453"/>
      <c r="E2" s="4453"/>
      <c r="F2" s="4453"/>
      <c r="G2" s="4453"/>
      <c r="H2" s="4453"/>
      <c r="I2" s="4453"/>
      <c r="J2" s="4453"/>
      <c r="K2" s="4453"/>
      <c r="L2" s="4453"/>
      <c r="M2" s="4453"/>
      <c r="N2" s="4453"/>
      <c r="O2" s="4453"/>
      <c r="P2" s="4453"/>
      <c r="Q2" s="4453"/>
      <c r="R2" s="4453"/>
      <c r="S2" s="4453"/>
      <c r="T2" s="4453"/>
      <c r="U2" s="4453"/>
      <c r="V2" s="4453"/>
      <c r="W2" s="4453"/>
      <c r="X2" s="4453"/>
      <c r="Y2" s="4453"/>
      <c r="Z2" s="4453"/>
      <c r="AA2" s="4453"/>
      <c r="AB2" s="4453"/>
      <c r="AC2" s="4453"/>
      <c r="AD2" s="4453"/>
      <c r="AE2" s="4453"/>
      <c r="AF2" s="4453"/>
      <c r="AG2" s="4453"/>
      <c r="AH2" s="4453"/>
      <c r="AI2" s="4453"/>
      <c r="AJ2" s="4453"/>
      <c r="AK2" s="4453"/>
      <c r="AL2" s="4453"/>
      <c r="AM2" s="4453"/>
      <c r="AN2" s="4453"/>
      <c r="AO2" s="4453"/>
      <c r="AP2" s="4453"/>
      <c r="AQ2" s="4453"/>
      <c r="AR2" s="4453"/>
      <c r="AS2" s="4453"/>
      <c r="AT2" s="4453"/>
      <c r="AU2" s="4453"/>
      <c r="AV2" s="4453"/>
      <c r="AW2" s="4453"/>
      <c r="AX2" s="4453"/>
      <c r="AY2" s="4453"/>
      <c r="AZ2" s="4453"/>
      <c r="BA2" s="4453"/>
      <c r="BB2" s="4453"/>
      <c r="BC2" s="4453"/>
      <c r="BD2" s="4453"/>
      <c r="BE2" s="4453"/>
      <c r="BF2" s="4453"/>
      <c r="BG2" s="4453"/>
      <c r="BH2" s="4453"/>
      <c r="BI2" s="4453"/>
      <c r="BJ2" s="4453"/>
      <c r="BK2" s="4453"/>
      <c r="BL2" s="4453"/>
      <c r="BM2" s="3214"/>
      <c r="BN2" s="1793" t="s">
        <v>3</v>
      </c>
      <c r="BO2" s="6">
        <v>6</v>
      </c>
    </row>
    <row r="3" spans="1:75" ht="15" x14ac:dyDescent="0.25">
      <c r="A3" s="4453"/>
      <c r="B3" s="4453"/>
      <c r="C3" s="4453"/>
      <c r="D3" s="4453"/>
      <c r="E3" s="4453"/>
      <c r="F3" s="4453"/>
      <c r="G3" s="4453"/>
      <c r="H3" s="4453"/>
      <c r="I3" s="4453"/>
      <c r="J3" s="4453"/>
      <c r="K3" s="4453"/>
      <c r="L3" s="4453"/>
      <c r="M3" s="4453"/>
      <c r="N3" s="4453"/>
      <c r="O3" s="4453"/>
      <c r="P3" s="4453"/>
      <c r="Q3" s="4453"/>
      <c r="R3" s="4453"/>
      <c r="S3" s="4453"/>
      <c r="T3" s="4453"/>
      <c r="U3" s="4453"/>
      <c r="V3" s="4453"/>
      <c r="W3" s="4453"/>
      <c r="X3" s="4453"/>
      <c r="Y3" s="4453"/>
      <c r="Z3" s="4453"/>
      <c r="AA3" s="4453"/>
      <c r="AB3" s="4453"/>
      <c r="AC3" s="4453"/>
      <c r="AD3" s="4453"/>
      <c r="AE3" s="4453"/>
      <c r="AF3" s="4453"/>
      <c r="AG3" s="4453"/>
      <c r="AH3" s="4453"/>
      <c r="AI3" s="4453"/>
      <c r="AJ3" s="4453"/>
      <c r="AK3" s="4453"/>
      <c r="AL3" s="4453"/>
      <c r="AM3" s="4453"/>
      <c r="AN3" s="4453"/>
      <c r="AO3" s="4453"/>
      <c r="AP3" s="4453"/>
      <c r="AQ3" s="4453"/>
      <c r="AR3" s="4453"/>
      <c r="AS3" s="4453"/>
      <c r="AT3" s="4453"/>
      <c r="AU3" s="4453"/>
      <c r="AV3" s="4453"/>
      <c r="AW3" s="4453"/>
      <c r="AX3" s="4453"/>
      <c r="AY3" s="4453"/>
      <c r="AZ3" s="4453"/>
      <c r="BA3" s="4453"/>
      <c r="BB3" s="4453"/>
      <c r="BC3" s="4453"/>
      <c r="BD3" s="4453"/>
      <c r="BE3" s="4453"/>
      <c r="BF3" s="4453"/>
      <c r="BG3" s="4453"/>
      <c r="BH3" s="4453"/>
      <c r="BI3" s="4453"/>
      <c r="BJ3" s="4453"/>
      <c r="BK3" s="4453"/>
      <c r="BL3" s="4453"/>
      <c r="BM3" s="3214"/>
      <c r="BN3" s="1793" t="s">
        <v>4</v>
      </c>
      <c r="BO3" s="7" t="s">
        <v>5</v>
      </c>
    </row>
    <row r="4" spans="1:75" ht="15" x14ac:dyDescent="0.2">
      <c r="A4" s="3216"/>
      <c r="B4" s="3216"/>
      <c r="C4" s="3216"/>
      <c r="D4" s="3216"/>
      <c r="E4" s="3216"/>
      <c r="F4" s="3216"/>
      <c r="G4" s="3216"/>
      <c r="H4" s="3216"/>
      <c r="I4" s="3216"/>
      <c r="J4" s="3216"/>
      <c r="K4" s="3216"/>
      <c r="L4" s="3216"/>
      <c r="M4" s="3216"/>
      <c r="N4" s="3216"/>
      <c r="O4" s="3216"/>
      <c r="P4" s="3216"/>
      <c r="Q4" s="3216"/>
      <c r="R4" s="3216"/>
      <c r="S4" s="3216"/>
      <c r="T4" s="3216"/>
      <c r="U4" s="3216"/>
      <c r="V4" s="3216"/>
      <c r="W4" s="3216"/>
      <c r="X4" s="3216"/>
      <c r="Y4" s="3216"/>
      <c r="Z4" s="3216"/>
      <c r="AA4" s="3216"/>
      <c r="AB4" s="3216"/>
      <c r="AC4" s="3216"/>
      <c r="AD4" s="3216"/>
      <c r="AE4" s="3216"/>
      <c r="AF4" s="3216"/>
      <c r="AG4" s="3216"/>
      <c r="AH4" s="3216"/>
      <c r="AI4" s="3216"/>
      <c r="AJ4" s="3216"/>
      <c r="AK4" s="3216"/>
      <c r="AL4" s="3216"/>
      <c r="AM4" s="3216"/>
      <c r="AN4" s="3216"/>
      <c r="AO4" s="3216"/>
      <c r="AP4" s="3216"/>
      <c r="AQ4" s="3216"/>
      <c r="AR4" s="3216"/>
      <c r="AS4" s="3216"/>
      <c r="AT4" s="3216"/>
      <c r="AU4" s="3216"/>
      <c r="AV4" s="3216"/>
      <c r="AW4" s="3216"/>
      <c r="AX4" s="3216"/>
      <c r="AY4" s="3216"/>
      <c r="AZ4" s="3216"/>
      <c r="BA4" s="3216"/>
      <c r="BB4" s="3216"/>
      <c r="BC4" s="3216"/>
      <c r="BD4" s="3216"/>
      <c r="BE4" s="3216"/>
      <c r="BF4" s="3216"/>
      <c r="BG4" s="3216"/>
      <c r="BH4" s="3216"/>
      <c r="BI4" s="3216"/>
      <c r="BJ4" s="3216"/>
      <c r="BK4" s="3216"/>
      <c r="BL4" s="3216"/>
      <c r="BM4" s="3217"/>
      <c r="BN4" s="1176" t="s">
        <v>6</v>
      </c>
      <c r="BO4" s="10" t="s">
        <v>7</v>
      </c>
    </row>
    <row r="5" spans="1:75" ht="15" x14ac:dyDescent="0.2">
      <c r="A5" s="3781" t="s">
        <v>8</v>
      </c>
      <c r="B5" s="3781"/>
      <c r="C5" s="3781"/>
      <c r="D5" s="3781"/>
      <c r="E5" s="3781"/>
      <c r="F5" s="3781"/>
      <c r="G5" s="3781"/>
      <c r="H5" s="3781"/>
      <c r="I5" s="3781"/>
      <c r="J5" s="3781"/>
      <c r="K5" s="1471"/>
      <c r="L5" s="3781" t="s">
        <v>9</v>
      </c>
      <c r="M5" s="3781"/>
      <c r="N5" s="3781"/>
      <c r="O5" s="3781"/>
      <c r="P5" s="3781"/>
      <c r="Q5" s="3781"/>
      <c r="R5" s="3781"/>
      <c r="S5" s="3781"/>
      <c r="T5" s="3781"/>
      <c r="U5" s="3781"/>
      <c r="V5" s="3781"/>
      <c r="W5" s="3781"/>
      <c r="X5" s="3781"/>
      <c r="Y5" s="3781"/>
      <c r="Z5" s="3781"/>
      <c r="AA5" s="3781"/>
      <c r="AB5" s="3781"/>
      <c r="AC5" s="3781"/>
      <c r="AD5" s="3781"/>
      <c r="AE5" s="3781"/>
      <c r="AF5" s="3781"/>
      <c r="AG5" s="3781"/>
      <c r="AH5" s="3781"/>
      <c r="AI5" s="3781"/>
      <c r="AJ5" s="3781"/>
      <c r="AK5" s="3781"/>
      <c r="AL5" s="3781"/>
      <c r="AM5" s="3781"/>
      <c r="AN5" s="3781"/>
      <c r="AO5" s="3781"/>
      <c r="AP5" s="3781"/>
      <c r="AQ5" s="3781"/>
      <c r="AR5" s="3781"/>
      <c r="AS5" s="3781"/>
      <c r="AT5" s="3781"/>
      <c r="AU5" s="3781"/>
      <c r="AV5" s="3781"/>
      <c r="AW5" s="3781"/>
      <c r="AX5" s="3781"/>
      <c r="AY5" s="3781"/>
      <c r="AZ5" s="3781"/>
      <c r="BA5" s="3781"/>
      <c r="BB5" s="3781"/>
      <c r="BC5" s="3781"/>
      <c r="BD5" s="1471"/>
      <c r="BE5" s="1471"/>
      <c r="BF5" s="1471"/>
      <c r="BG5" s="1471"/>
      <c r="BH5" s="1471"/>
      <c r="BI5" s="1471"/>
      <c r="BJ5" s="1471"/>
      <c r="BK5" s="4782"/>
      <c r="BL5" s="4782"/>
      <c r="BM5" s="4782"/>
      <c r="BN5" s="4782"/>
      <c r="BO5" s="4782"/>
    </row>
    <row r="6" spans="1:75" ht="15.75" customHeight="1" x14ac:dyDescent="0.2">
      <c r="A6" s="3781"/>
      <c r="B6" s="3781"/>
      <c r="C6" s="3781"/>
      <c r="D6" s="3781"/>
      <c r="E6" s="3781"/>
      <c r="F6" s="3781"/>
      <c r="G6" s="3781"/>
      <c r="H6" s="3781"/>
      <c r="I6" s="3781"/>
      <c r="J6" s="3781"/>
      <c r="K6" s="1471"/>
      <c r="L6" s="3781"/>
      <c r="M6" s="3781"/>
      <c r="N6" s="3781"/>
      <c r="O6" s="3781"/>
      <c r="P6" s="3781"/>
      <c r="Q6" s="3781"/>
      <c r="R6" s="3781"/>
      <c r="S6" s="3781"/>
      <c r="T6" s="3781"/>
      <c r="U6" s="3781"/>
      <c r="V6" s="3781"/>
      <c r="W6" s="3781"/>
      <c r="X6" s="3781"/>
      <c r="Y6" s="3781" t="s">
        <v>1771</v>
      </c>
      <c r="Z6" s="3781"/>
      <c r="AA6" s="3781"/>
      <c r="AB6" s="3781"/>
      <c r="AC6" s="3781"/>
      <c r="AD6" s="3781"/>
      <c r="AE6" s="3781"/>
      <c r="AF6" s="3781"/>
      <c r="AG6" s="3781"/>
      <c r="AH6" s="3781"/>
      <c r="AI6" s="3781"/>
      <c r="AJ6" s="3781"/>
      <c r="AK6" s="3781"/>
      <c r="AL6" s="3781"/>
      <c r="AM6" s="3781"/>
      <c r="AN6" s="3781"/>
      <c r="AO6" s="3781"/>
      <c r="AP6" s="3781"/>
      <c r="AQ6" s="3781"/>
      <c r="AR6" s="3781"/>
      <c r="AS6" s="3781"/>
      <c r="AT6" s="3781"/>
      <c r="AU6" s="3781"/>
      <c r="AV6" s="3781"/>
      <c r="AW6" s="3781"/>
      <c r="AX6" s="3781"/>
      <c r="AY6" s="3781"/>
      <c r="AZ6" s="3781"/>
      <c r="BA6" s="3781"/>
      <c r="BB6" s="3781"/>
      <c r="BC6" s="3781"/>
      <c r="BD6" s="1471"/>
      <c r="BE6" s="1471"/>
      <c r="BF6" s="1471"/>
      <c r="BG6" s="1471"/>
      <c r="BH6" s="1471"/>
      <c r="BI6" s="1471"/>
      <c r="BJ6" s="1471"/>
      <c r="BK6" s="4783" t="s">
        <v>31</v>
      </c>
      <c r="BL6" s="4784"/>
      <c r="BM6" s="4783" t="s">
        <v>32</v>
      </c>
      <c r="BN6" s="4784"/>
      <c r="BO6" s="4789" t="s">
        <v>33</v>
      </c>
    </row>
    <row r="7" spans="1:75" ht="25.5" customHeight="1" x14ac:dyDescent="0.2">
      <c r="A7" s="4781" t="s">
        <v>10</v>
      </c>
      <c r="B7" s="4781" t="s">
        <v>1772</v>
      </c>
      <c r="C7" s="4781" t="s">
        <v>10</v>
      </c>
      <c r="D7" s="4781" t="s">
        <v>1773</v>
      </c>
      <c r="E7" s="4781" t="s">
        <v>10</v>
      </c>
      <c r="F7" s="4781" t="s">
        <v>1774</v>
      </c>
      <c r="G7" s="4781" t="s">
        <v>10</v>
      </c>
      <c r="H7" s="4780" t="s">
        <v>1775</v>
      </c>
      <c r="I7" s="4780" t="s">
        <v>15</v>
      </c>
      <c r="J7" s="4806" t="s">
        <v>16</v>
      </c>
      <c r="K7" s="4807"/>
      <c r="L7" s="4780" t="s">
        <v>17</v>
      </c>
      <c r="M7" s="4780" t="s">
        <v>1776</v>
      </c>
      <c r="N7" s="4780" t="s">
        <v>9</v>
      </c>
      <c r="O7" s="4780" t="s">
        <v>19</v>
      </c>
      <c r="P7" s="4780" t="s">
        <v>1777</v>
      </c>
      <c r="Q7" s="4780" t="s">
        <v>21</v>
      </c>
      <c r="R7" s="4780" t="s">
        <v>22</v>
      </c>
      <c r="S7" s="4780" t="s">
        <v>23</v>
      </c>
      <c r="T7" s="4805" t="s">
        <v>20</v>
      </c>
      <c r="U7" s="4805"/>
      <c r="V7" s="4805"/>
      <c r="W7" s="4780" t="s">
        <v>10</v>
      </c>
      <c r="X7" s="4780" t="s">
        <v>24</v>
      </c>
      <c r="Y7" s="2667" t="s">
        <v>25</v>
      </c>
      <c r="Z7" s="2668"/>
      <c r="AA7" s="2668"/>
      <c r="AB7" s="2669"/>
      <c r="AC7" s="2670" t="s">
        <v>26</v>
      </c>
      <c r="AD7" s="2671"/>
      <c r="AE7" s="2671"/>
      <c r="AF7" s="2671"/>
      <c r="AG7" s="2671"/>
      <c r="AH7" s="2671"/>
      <c r="AI7" s="2671"/>
      <c r="AJ7" s="2672"/>
      <c r="AK7" s="2695" t="s">
        <v>27</v>
      </c>
      <c r="AL7" s="2696"/>
      <c r="AM7" s="2696"/>
      <c r="AN7" s="2696"/>
      <c r="AO7" s="2696"/>
      <c r="AP7" s="2696"/>
      <c r="AQ7" s="2696"/>
      <c r="AR7" s="2696"/>
      <c r="AS7" s="2696"/>
      <c r="AT7" s="2696"/>
      <c r="AU7" s="2696"/>
      <c r="AV7" s="2697"/>
      <c r="AW7" s="2670" t="s">
        <v>28</v>
      </c>
      <c r="AX7" s="2671"/>
      <c r="AY7" s="2671"/>
      <c r="AZ7" s="2671"/>
      <c r="BA7" s="2671"/>
      <c r="BB7" s="2672"/>
      <c r="BC7" s="4792" t="s">
        <v>29</v>
      </c>
      <c r="BD7" s="4793"/>
      <c r="BE7" s="4796" t="s">
        <v>30</v>
      </c>
      <c r="BF7" s="4796"/>
      <c r="BG7" s="4796"/>
      <c r="BH7" s="4796"/>
      <c r="BI7" s="4796"/>
      <c r="BJ7" s="4796"/>
      <c r="BK7" s="4785"/>
      <c r="BL7" s="4786"/>
      <c r="BM7" s="4785"/>
      <c r="BN7" s="4786"/>
      <c r="BO7" s="4790"/>
      <c r="BW7" s="657">
        <v>0</v>
      </c>
    </row>
    <row r="8" spans="1:75" ht="125.25" customHeight="1" x14ac:dyDescent="0.2">
      <c r="A8" s="4781"/>
      <c r="B8" s="4781"/>
      <c r="C8" s="4781"/>
      <c r="D8" s="4781"/>
      <c r="E8" s="4781"/>
      <c r="F8" s="4781"/>
      <c r="G8" s="4781"/>
      <c r="H8" s="4780"/>
      <c r="I8" s="4780"/>
      <c r="J8" s="4808"/>
      <c r="K8" s="4809"/>
      <c r="L8" s="4780"/>
      <c r="M8" s="4780"/>
      <c r="N8" s="4780"/>
      <c r="O8" s="4780"/>
      <c r="P8" s="4780"/>
      <c r="Q8" s="4780"/>
      <c r="R8" s="4780"/>
      <c r="S8" s="4780"/>
      <c r="T8" s="4805"/>
      <c r="U8" s="4805"/>
      <c r="V8" s="4805"/>
      <c r="W8" s="4780"/>
      <c r="X8" s="4780"/>
      <c r="Y8" s="2779" t="s">
        <v>37</v>
      </c>
      <c r="Z8" s="2779"/>
      <c r="AA8" s="4797" t="s">
        <v>38</v>
      </c>
      <c r="AB8" s="4797"/>
      <c r="AC8" s="2779" t="s">
        <v>39</v>
      </c>
      <c r="AD8" s="2779"/>
      <c r="AE8" s="2779" t="s">
        <v>40</v>
      </c>
      <c r="AF8" s="2779"/>
      <c r="AG8" s="2779" t="s">
        <v>450</v>
      </c>
      <c r="AH8" s="2779"/>
      <c r="AI8" s="2779" t="s">
        <v>42</v>
      </c>
      <c r="AJ8" s="2779"/>
      <c r="AK8" s="2779" t="s">
        <v>43</v>
      </c>
      <c r="AL8" s="2779"/>
      <c r="AM8" s="2779" t="s">
        <v>44</v>
      </c>
      <c r="AN8" s="2779"/>
      <c r="AO8" s="2779" t="s">
        <v>45</v>
      </c>
      <c r="AP8" s="2779"/>
      <c r="AQ8" s="2779" t="s">
        <v>46</v>
      </c>
      <c r="AR8" s="2779"/>
      <c r="AS8" s="2779" t="s">
        <v>47</v>
      </c>
      <c r="AT8" s="2779"/>
      <c r="AU8" s="2779" t="s">
        <v>48</v>
      </c>
      <c r="AV8" s="2779"/>
      <c r="AW8" s="2771" t="s">
        <v>49</v>
      </c>
      <c r="AX8" s="2772"/>
      <c r="AY8" s="2771" t="s">
        <v>50</v>
      </c>
      <c r="AZ8" s="2772"/>
      <c r="BA8" s="2771" t="s">
        <v>51</v>
      </c>
      <c r="BB8" s="2772"/>
      <c r="BC8" s="4794"/>
      <c r="BD8" s="4795"/>
      <c r="BE8" s="4444" t="s">
        <v>52</v>
      </c>
      <c r="BF8" s="4804" t="s">
        <v>53</v>
      </c>
      <c r="BG8" s="4444" t="s">
        <v>54</v>
      </c>
      <c r="BH8" s="4798" t="s">
        <v>55</v>
      </c>
      <c r="BI8" s="4444" t="s">
        <v>56</v>
      </c>
      <c r="BJ8" s="4444" t="s">
        <v>57</v>
      </c>
      <c r="BK8" s="4787"/>
      <c r="BL8" s="4788"/>
      <c r="BM8" s="4787"/>
      <c r="BN8" s="4788"/>
      <c r="BO8" s="4790"/>
    </row>
    <row r="9" spans="1:75" ht="33" customHeight="1" x14ac:dyDescent="0.2">
      <c r="A9" s="4781"/>
      <c r="B9" s="4781"/>
      <c r="C9" s="4781"/>
      <c r="D9" s="4781"/>
      <c r="E9" s="4781"/>
      <c r="F9" s="4781"/>
      <c r="G9" s="4781"/>
      <c r="H9" s="4780"/>
      <c r="I9" s="4780"/>
      <c r="J9" s="1795" t="s">
        <v>58</v>
      </c>
      <c r="K9" s="1795" t="s">
        <v>59</v>
      </c>
      <c r="L9" s="4780"/>
      <c r="M9" s="4780"/>
      <c r="N9" s="4780"/>
      <c r="O9" s="4780"/>
      <c r="P9" s="4780"/>
      <c r="Q9" s="4780"/>
      <c r="R9" s="4780"/>
      <c r="S9" s="4780"/>
      <c r="T9" s="1796" t="s">
        <v>34</v>
      </c>
      <c r="U9" s="1796" t="s">
        <v>35</v>
      </c>
      <c r="V9" s="1796" t="s">
        <v>36</v>
      </c>
      <c r="W9" s="4780"/>
      <c r="X9" s="4780"/>
      <c r="Y9" s="1795" t="s">
        <v>58</v>
      </c>
      <c r="Z9" s="1795" t="s">
        <v>59</v>
      </c>
      <c r="AA9" s="1795" t="s">
        <v>58</v>
      </c>
      <c r="AB9" s="1795" t="s">
        <v>59</v>
      </c>
      <c r="AC9" s="1795" t="s">
        <v>58</v>
      </c>
      <c r="AD9" s="1795" t="s">
        <v>59</v>
      </c>
      <c r="AE9" s="1795" t="s">
        <v>58</v>
      </c>
      <c r="AF9" s="1795" t="s">
        <v>59</v>
      </c>
      <c r="AG9" s="1795" t="s">
        <v>58</v>
      </c>
      <c r="AH9" s="1795" t="s">
        <v>59</v>
      </c>
      <c r="AI9" s="1797" t="s">
        <v>58</v>
      </c>
      <c r="AJ9" s="1795" t="s">
        <v>59</v>
      </c>
      <c r="AK9" s="1795" t="s">
        <v>58</v>
      </c>
      <c r="AL9" s="1795" t="s">
        <v>59</v>
      </c>
      <c r="AM9" s="1795" t="s">
        <v>58</v>
      </c>
      <c r="AN9" s="1795" t="s">
        <v>59</v>
      </c>
      <c r="AO9" s="1795" t="s">
        <v>58</v>
      </c>
      <c r="AP9" s="1795" t="s">
        <v>59</v>
      </c>
      <c r="AQ9" s="1795" t="s">
        <v>58</v>
      </c>
      <c r="AR9" s="1795" t="s">
        <v>59</v>
      </c>
      <c r="AS9" s="1795" t="s">
        <v>58</v>
      </c>
      <c r="AT9" s="1795" t="s">
        <v>59</v>
      </c>
      <c r="AU9" s="1795" t="s">
        <v>58</v>
      </c>
      <c r="AV9" s="1795" t="s">
        <v>59</v>
      </c>
      <c r="AW9" s="1795" t="s">
        <v>58</v>
      </c>
      <c r="AX9" s="1795" t="s">
        <v>59</v>
      </c>
      <c r="AY9" s="1795" t="s">
        <v>58</v>
      </c>
      <c r="AZ9" s="1795" t="s">
        <v>59</v>
      </c>
      <c r="BA9" s="1795" t="s">
        <v>58</v>
      </c>
      <c r="BB9" s="1795" t="s">
        <v>59</v>
      </c>
      <c r="BC9" s="1795" t="s">
        <v>58</v>
      </c>
      <c r="BD9" s="1795" t="s">
        <v>59</v>
      </c>
      <c r="BE9" s="4444"/>
      <c r="BF9" s="4804"/>
      <c r="BG9" s="4444"/>
      <c r="BH9" s="4798"/>
      <c r="BI9" s="4444"/>
      <c r="BJ9" s="4444"/>
      <c r="BK9" s="1795" t="s">
        <v>58</v>
      </c>
      <c r="BL9" s="1795" t="s">
        <v>59</v>
      </c>
      <c r="BM9" s="1795" t="s">
        <v>58</v>
      </c>
      <c r="BN9" s="1795" t="s">
        <v>59</v>
      </c>
      <c r="BO9" s="4791"/>
    </row>
    <row r="10" spans="1:75" ht="28.5" customHeight="1" x14ac:dyDescent="0.2">
      <c r="A10" s="1798">
        <v>2</v>
      </c>
      <c r="B10" s="4799" t="s">
        <v>1489</v>
      </c>
      <c r="C10" s="4800"/>
      <c r="D10" s="4800"/>
      <c r="E10" s="1799"/>
      <c r="F10" s="1799"/>
      <c r="G10" s="1799"/>
      <c r="H10" s="1799"/>
      <c r="I10" s="1799"/>
      <c r="J10" s="1799"/>
      <c r="K10" s="1799"/>
      <c r="L10" s="1799"/>
      <c r="M10" s="1799"/>
      <c r="N10" s="1799"/>
      <c r="O10" s="1799"/>
      <c r="P10" s="1799"/>
      <c r="Q10" s="1799"/>
      <c r="R10" s="1799"/>
      <c r="S10" s="1799"/>
      <c r="T10" s="1799"/>
      <c r="U10" s="1799"/>
      <c r="V10" s="1799"/>
      <c r="W10" s="1800"/>
      <c r="X10" s="1800"/>
      <c r="Y10" s="1799"/>
      <c r="Z10" s="1799"/>
      <c r="AA10" s="1799"/>
      <c r="AB10" s="1799"/>
      <c r="AC10" s="1799"/>
      <c r="AD10" s="1799"/>
      <c r="AE10" s="1799"/>
      <c r="AF10" s="1799"/>
      <c r="AG10" s="1799"/>
      <c r="AH10" s="1799"/>
      <c r="AI10" s="1799"/>
      <c r="AJ10" s="1799"/>
      <c r="AK10" s="1799"/>
      <c r="AL10" s="1799"/>
      <c r="AM10" s="1799"/>
      <c r="AN10" s="1799"/>
      <c r="AO10" s="1799"/>
      <c r="AP10" s="1799"/>
      <c r="AQ10" s="1799"/>
      <c r="AR10" s="1799"/>
      <c r="AS10" s="1799"/>
      <c r="AT10" s="1799"/>
      <c r="AU10" s="1799"/>
      <c r="AV10" s="1799"/>
      <c r="AW10" s="1799"/>
      <c r="AX10" s="1799"/>
      <c r="AY10" s="1799"/>
      <c r="AZ10" s="1799"/>
      <c r="BA10" s="1799"/>
      <c r="BB10" s="1799"/>
      <c r="BC10" s="1799"/>
      <c r="BD10" s="1799"/>
      <c r="BE10" s="1800"/>
      <c r="BF10" s="1799"/>
      <c r="BG10" s="1799"/>
      <c r="BH10" s="1799"/>
      <c r="BI10" s="1799"/>
      <c r="BJ10" s="1799"/>
      <c r="BK10" s="1801"/>
      <c r="BL10" s="1801"/>
      <c r="BM10" s="1801"/>
      <c r="BN10" s="1801"/>
      <c r="BO10" s="1802"/>
    </row>
    <row r="11" spans="1:75" ht="24.75" customHeight="1" x14ac:dyDescent="0.2">
      <c r="A11" s="1803"/>
      <c r="B11" s="1804"/>
      <c r="C11" s="1805">
        <v>4</v>
      </c>
      <c r="D11" s="4801" t="s">
        <v>1778</v>
      </c>
      <c r="E11" s="4802"/>
      <c r="F11" s="4802"/>
      <c r="G11" s="4802"/>
      <c r="H11" s="4802"/>
      <c r="I11" s="4802"/>
      <c r="J11" s="4802"/>
      <c r="K11" s="4802"/>
      <c r="L11" s="4802"/>
      <c r="M11" s="4802"/>
      <c r="N11" s="4802"/>
      <c r="O11" s="4802"/>
      <c r="P11" s="4802"/>
      <c r="Q11" s="4802"/>
      <c r="R11" s="4802"/>
      <c r="S11" s="4802"/>
      <c r="T11" s="4802"/>
      <c r="U11" s="4802"/>
      <c r="V11" s="4802"/>
      <c r="W11" s="4802"/>
      <c r="X11" s="4802"/>
      <c r="Y11" s="4802"/>
      <c r="Z11" s="4802"/>
      <c r="AA11" s="4802"/>
      <c r="AB11" s="4802"/>
      <c r="AC11" s="4802"/>
      <c r="AD11" s="4802"/>
      <c r="AE11" s="4802"/>
      <c r="AF11" s="4802"/>
      <c r="AG11" s="4802"/>
      <c r="AH11" s="4802"/>
      <c r="AI11" s="4802"/>
      <c r="AJ11" s="4802"/>
      <c r="AK11" s="4802"/>
      <c r="AL11" s="4802"/>
      <c r="AM11" s="4802"/>
      <c r="AN11" s="4802"/>
      <c r="AO11" s="4802"/>
      <c r="AP11" s="4802"/>
      <c r="AQ11" s="4802"/>
      <c r="AR11" s="4802"/>
      <c r="AS11" s="4802"/>
      <c r="AT11" s="4802"/>
      <c r="AU11" s="4802"/>
      <c r="AV11" s="4802"/>
      <c r="AW11" s="4802"/>
      <c r="AX11" s="4802"/>
      <c r="AY11" s="4802"/>
      <c r="AZ11" s="4802"/>
      <c r="BA11" s="4802"/>
      <c r="BB11" s="4802"/>
      <c r="BC11" s="4802"/>
      <c r="BD11" s="4802"/>
      <c r="BE11" s="4802"/>
      <c r="BF11" s="4802"/>
      <c r="BG11" s="4802"/>
      <c r="BH11" s="4802"/>
      <c r="BI11" s="4802"/>
      <c r="BJ11" s="4802"/>
      <c r="BK11" s="4802"/>
      <c r="BL11" s="4802"/>
      <c r="BM11" s="4802"/>
      <c r="BN11" s="4802"/>
      <c r="BO11" s="4803"/>
    </row>
    <row r="12" spans="1:75" ht="25.5" customHeight="1" x14ac:dyDescent="0.2">
      <c r="A12" s="1806"/>
      <c r="B12" s="1807"/>
      <c r="C12" s="1804"/>
      <c r="D12" s="1803"/>
      <c r="E12" s="1385">
        <v>14</v>
      </c>
      <c r="F12" s="4810" t="s">
        <v>1779</v>
      </c>
      <c r="G12" s="4810"/>
      <c r="H12" s="4810"/>
      <c r="I12" s="4810"/>
      <c r="J12" s="4810"/>
      <c r="K12" s="4810"/>
      <c r="L12" s="4810"/>
      <c r="M12" s="4810"/>
      <c r="N12" s="4810"/>
      <c r="O12" s="4810"/>
      <c r="P12" s="4810"/>
      <c r="Q12" s="4810"/>
      <c r="R12" s="4810"/>
      <c r="S12" s="4811"/>
      <c r="T12" s="4811"/>
      <c r="U12" s="4811"/>
      <c r="V12" s="4811"/>
      <c r="W12" s="4811"/>
      <c r="X12" s="4811"/>
      <c r="Y12" s="4810"/>
      <c r="Z12" s="4810"/>
      <c r="AA12" s="4810"/>
      <c r="AB12" s="4810"/>
      <c r="AC12" s="4810"/>
      <c r="AD12" s="4810"/>
      <c r="AE12" s="4810"/>
      <c r="AF12" s="4810"/>
      <c r="AG12" s="4810"/>
      <c r="AH12" s="4810"/>
      <c r="AI12" s="4810"/>
      <c r="AJ12" s="4810"/>
      <c r="AK12" s="4810"/>
      <c r="AL12" s="4810"/>
      <c r="AM12" s="4810"/>
      <c r="AN12" s="4810"/>
      <c r="AO12" s="4810"/>
      <c r="AP12" s="4810"/>
      <c r="AQ12" s="4810"/>
      <c r="AR12" s="4810"/>
      <c r="AS12" s="4810"/>
      <c r="AT12" s="4810"/>
      <c r="AU12" s="4810"/>
      <c r="AV12" s="4810"/>
      <c r="AW12" s="4810"/>
      <c r="AX12" s="4810"/>
      <c r="AY12" s="4810"/>
      <c r="AZ12" s="4810"/>
      <c r="BA12" s="4810"/>
      <c r="BB12" s="4810"/>
      <c r="BC12" s="4810"/>
      <c r="BD12" s="4810"/>
      <c r="BE12" s="4810"/>
      <c r="BF12" s="4810"/>
      <c r="BG12" s="4810"/>
      <c r="BH12" s="4810"/>
      <c r="BI12" s="4810"/>
      <c r="BJ12" s="4810"/>
      <c r="BK12" s="4810"/>
      <c r="BL12" s="4810"/>
      <c r="BM12" s="4810"/>
      <c r="BN12" s="4810"/>
      <c r="BO12" s="4810"/>
    </row>
    <row r="13" spans="1:75" ht="74.25" customHeight="1" x14ac:dyDescent="0.2">
      <c r="A13" s="1808"/>
      <c r="B13" s="1270"/>
      <c r="C13" s="1808"/>
      <c r="D13" s="1270"/>
      <c r="E13" s="4812"/>
      <c r="F13" s="3165"/>
      <c r="G13" s="4814">
        <v>54</v>
      </c>
      <c r="H13" s="2834" t="s">
        <v>1780</v>
      </c>
      <c r="I13" s="2977" t="s">
        <v>1781</v>
      </c>
      <c r="J13" s="2977">
        <v>130</v>
      </c>
      <c r="K13" s="3896">
        <f>+'[3]METAS PROMOTORA'!J16</f>
        <v>2</v>
      </c>
      <c r="L13" s="2977" t="s">
        <v>1782</v>
      </c>
      <c r="M13" s="2977" t="s">
        <v>1783</v>
      </c>
      <c r="N13" s="2834" t="s">
        <v>1784</v>
      </c>
      <c r="O13" s="3184">
        <f>+SUM(T13:T14)/P13</f>
        <v>1</v>
      </c>
      <c r="P13" s="3167">
        <f>+SUM(T13:T14)</f>
        <v>313916292</v>
      </c>
      <c r="Q13" s="2834" t="s">
        <v>1785</v>
      </c>
      <c r="R13" s="2922" t="s">
        <v>1786</v>
      </c>
      <c r="S13" s="4820" t="s">
        <v>1787</v>
      </c>
      <c r="T13" s="1809">
        <f>+'[3]METAS PROMOTORA'!O16</f>
        <v>290660276</v>
      </c>
      <c r="U13" s="1809">
        <f>+'[3]METAS PROMOTORA'!P16</f>
        <v>111281534.95999999</v>
      </c>
      <c r="V13" s="1809">
        <f>+'[3]METAS PROMOTORA'!Q16</f>
        <v>111281534.95999999</v>
      </c>
      <c r="W13" s="1810">
        <v>53</v>
      </c>
      <c r="X13" s="1811" t="s">
        <v>1788</v>
      </c>
      <c r="Y13" s="4816">
        <v>1382.4</v>
      </c>
      <c r="Z13" s="4818">
        <v>1382</v>
      </c>
      <c r="AA13" s="4818">
        <v>1317.6</v>
      </c>
      <c r="AB13" s="4818">
        <v>1318</v>
      </c>
      <c r="AC13" s="4818">
        <v>459</v>
      </c>
      <c r="AD13" s="4818">
        <v>459</v>
      </c>
      <c r="AE13" s="4818">
        <v>248</v>
      </c>
      <c r="AF13" s="4818">
        <v>248</v>
      </c>
      <c r="AG13" s="4818">
        <v>1615</v>
      </c>
      <c r="AH13" s="4818">
        <v>1615</v>
      </c>
      <c r="AI13" s="4821">
        <v>378</v>
      </c>
      <c r="AJ13" s="4818"/>
      <c r="AK13" s="4818"/>
      <c r="AL13" s="4818"/>
      <c r="AM13" s="4818"/>
      <c r="AN13" s="4818"/>
      <c r="AO13" s="4818"/>
      <c r="AP13" s="4818"/>
      <c r="AQ13" s="4818"/>
      <c r="AR13" s="4818"/>
      <c r="AS13" s="4818"/>
      <c r="AT13" s="4818"/>
      <c r="AU13" s="4818"/>
      <c r="AV13" s="4818"/>
      <c r="AW13" s="4818"/>
      <c r="AX13" s="4818"/>
      <c r="AY13" s="4818"/>
      <c r="AZ13" s="4818"/>
      <c r="BA13" s="4818"/>
      <c r="BB13" s="4818"/>
      <c r="BC13" s="4818">
        <f>+AC13+AE13+AG13+AI13</f>
        <v>2700</v>
      </c>
      <c r="BD13" s="4818"/>
      <c r="BE13" s="4818">
        <v>1</v>
      </c>
      <c r="BF13" s="4818">
        <f>+U13</f>
        <v>111281534.95999999</v>
      </c>
      <c r="BG13" s="4818">
        <f>+V13</f>
        <v>111281534.95999999</v>
      </c>
      <c r="BH13" s="3184">
        <f>+BG13/BF13</f>
        <v>1</v>
      </c>
      <c r="BI13" s="4818" t="s">
        <v>1789</v>
      </c>
      <c r="BJ13" s="4818" t="s">
        <v>1790</v>
      </c>
      <c r="BK13" s="4340">
        <v>43466</v>
      </c>
      <c r="BL13" s="4340">
        <v>43466</v>
      </c>
      <c r="BM13" s="4340">
        <v>43829</v>
      </c>
      <c r="BN13" s="4340">
        <v>43646</v>
      </c>
      <c r="BO13" s="2977" t="s">
        <v>1791</v>
      </c>
    </row>
    <row r="14" spans="1:75" ht="74.25" customHeight="1" x14ac:dyDescent="0.2">
      <c r="A14" s="1808"/>
      <c r="B14" s="1270"/>
      <c r="C14" s="1808"/>
      <c r="D14" s="1270"/>
      <c r="E14" s="4813"/>
      <c r="F14" s="3207"/>
      <c r="G14" s="4815"/>
      <c r="H14" s="2923"/>
      <c r="I14" s="2966"/>
      <c r="J14" s="2966"/>
      <c r="K14" s="4317"/>
      <c r="L14" s="2966"/>
      <c r="M14" s="2966"/>
      <c r="N14" s="2923"/>
      <c r="O14" s="3185"/>
      <c r="P14" s="3187"/>
      <c r="Q14" s="2923"/>
      <c r="R14" s="2968"/>
      <c r="S14" s="4820"/>
      <c r="T14" s="1809">
        <f>+'[3]METAS PROMOTORA'!O17</f>
        <v>23256016</v>
      </c>
      <c r="U14" s="1809">
        <v>0</v>
      </c>
      <c r="V14" s="1809">
        <v>0</v>
      </c>
      <c r="W14" s="1810">
        <v>159</v>
      </c>
      <c r="X14" s="1811" t="s">
        <v>1792</v>
      </c>
      <c r="Y14" s="4817"/>
      <c r="Z14" s="4819"/>
      <c r="AA14" s="4819"/>
      <c r="AB14" s="4819"/>
      <c r="AC14" s="4819"/>
      <c r="AD14" s="4819"/>
      <c r="AE14" s="4819"/>
      <c r="AF14" s="4819"/>
      <c r="AG14" s="4819"/>
      <c r="AH14" s="4819"/>
      <c r="AI14" s="4822"/>
      <c r="AJ14" s="4819"/>
      <c r="AK14" s="4819"/>
      <c r="AL14" s="4819"/>
      <c r="AM14" s="4819"/>
      <c r="AN14" s="4819"/>
      <c r="AO14" s="4819"/>
      <c r="AP14" s="4819"/>
      <c r="AQ14" s="4819"/>
      <c r="AR14" s="4819"/>
      <c r="AS14" s="4819"/>
      <c r="AT14" s="4819"/>
      <c r="AU14" s="4819"/>
      <c r="AV14" s="4819"/>
      <c r="AW14" s="4819"/>
      <c r="AX14" s="4819"/>
      <c r="AY14" s="4819"/>
      <c r="AZ14" s="4819"/>
      <c r="BA14" s="4819"/>
      <c r="BB14" s="4819"/>
      <c r="BC14" s="4819"/>
      <c r="BD14" s="4819"/>
      <c r="BE14" s="4819"/>
      <c r="BF14" s="4819"/>
      <c r="BG14" s="4819"/>
      <c r="BH14" s="3185"/>
      <c r="BI14" s="4819"/>
      <c r="BJ14" s="4819"/>
      <c r="BK14" s="4341"/>
      <c r="BL14" s="4341"/>
      <c r="BM14" s="4341"/>
      <c r="BN14" s="4341"/>
      <c r="BO14" s="2966"/>
    </row>
    <row r="15" spans="1:75" ht="21" customHeight="1" x14ac:dyDescent="0.2">
      <c r="A15" s="1806"/>
      <c r="B15" s="1807"/>
      <c r="C15" s="1807"/>
      <c r="D15" s="1806"/>
      <c r="E15" s="1385">
        <v>15</v>
      </c>
      <c r="F15" s="4810" t="s">
        <v>1793</v>
      </c>
      <c r="G15" s="4810"/>
      <c r="H15" s="4810"/>
      <c r="I15" s="4810"/>
      <c r="J15" s="4810"/>
      <c r="K15" s="1812"/>
      <c r="L15" s="1812"/>
      <c r="M15" s="1812"/>
      <c r="N15" s="1813"/>
      <c r="O15" s="1812"/>
      <c r="P15" s="1814"/>
      <c r="Q15" s="1813"/>
      <c r="R15" s="1813"/>
      <c r="S15" s="1815"/>
      <c r="T15" s="1816"/>
      <c r="U15" s="1816"/>
      <c r="V15" s="1816"/>
      <c r="W15" s="1817"/>
      <c r="X15" s="1817"/>
      <c r="Y15" s="1812"/>
      <c r="Z15" s="1812"/>
      <c r="AA15" s="1812"/>
      <c r="AB15" s="1812"/>
      <c r="AC15" s="1812"/>
      <c r="AD15" s="1812"/>
      <c r="AE15" s="1812"/>
      <c r="AF15" s="1812"/>
      <c r="AG15" s="1812"/>
      <c r="AH15" s="1812"/>
      <c r="AI15" s="1818"/>
      <c r="AJ15" s="1812"/>
      <c r="AK15" s="1812"/>
      <c r="AL15" s="1812"/>
      <c r="AM15" s="1812"/>
      <c r="AN15" s="1812"/>
      <c r="AO15" s="1812"/>
      <c r="AP15" s="1812"/>
      <c r="AQ15" s="1812"/>
      <c r="AR15" s="1812"/>
      <c r="AS15" s="1812"/>
      <c r="AT15" s="1812"/>
      <c r="AU15" s="1812"/>
      <c r="AV15" s="1812"/>
      <c r="AW15" s="1812"/>
      <c r="AX15" s="1812"/>
      <c r="AY15" s="1812"/>
      <c r="AZ15" s="1812"/>
      <c r="BA15" s="1812"/>
      <c r="BB15" s="1812"/>
      <c r="BC15" s="1812"/>
      <c r="BD15" s="1812"/>
      <c r="BE15" s="1385"/>
      <c r="BF15" s="1812"/>
      <c r="BG15" s="1812"/>
      <c r="BH15" s="1812"/>
      <c r="BI15" s="1812"/>
      <c r="BJ15" s="1812"/>
      <c r="BK15" s="1819"/>
      <c r="BL15" s="1819"/>
      <c r="BM15" s="1819"/>
      <c r="BN15" s="1819"/>
      <c r="BO15" s="1812"/>
    </row>
    <row r="16" spans="1:75" ht="60" customHeight="1" x14ac:dyDescent="0.2">
      <c r="A16" s="1806"/>
      <c r="B16" s="1807"/>
      <c r="C16" s="1807"/>
      <c r="D16" s="1806"/>
      <c r="E16" s="4823"/>
      <c r="F16" s="4823"/>
      <c r="G16" s="3165">
        <v>59</v>
      </c>
      <c r="H16" s="3810" t="s">
        <v>1794</v>
      </c>
      <c r="I16" s="3165" t="s">
        <v>1795</v>
      </c>
      <c r="J16" s="3165">
        <v>12</v>
      </c>
      <c r="K16" s="3896">
        <f>+'[3]METAS PROMOTORA'!J19</f>
        <v>1</v>
      </c>
      <c r="L16" s="3165" t="s">
        <v>1782</v>
      </c>
      <c r="M16" s="3165" t="s">
        <v>1783</v>
      </c>
      <c r="N16" s="3810" t="s">
        <v>1784</v>
      </c>
      <c r="O16" s="3322">
        <f>+T16/P16</f>
        <v>1</v>
      </c>
      <c r="P16" s="3167">
        <f>+T16</f>
        <v>573181075</v>
      </c>
      <c r="Q16" s="3810" t="s">
        <v>1785</v>
      </c>
      <c r="R16" s="3810" t="s">
        <v>1796</v>
      </c>
      <c r="S16" s="3810" t="s">
        <v>1797</v>
      </c>
      <c r="T16" s="3167">
        <f>+'[3]METAS PROMOTORA'!O19</f>
        <v>573181075</v>
      </c>
      <c r="U16" s="3167">
        <f>+'[3]METAS PROMOTORA'!P19</f>
        <v>82638891.155000001</v>
      </c>
      <c r="V16" s="3167">
        <f>+'[3]METAS PROMOTORA'!Q19</f>
        <v>76544338.980000004</v>
      </c>
      <c r="W16" s="4812" t="s">
        <v>1798</v>
      </c>
      <c r="X16" s="4826" t="s">
        <v>1799</v>
      </c>
      <c r="Y16" s="4830">
        <f>+[4]Hoja1!$E$12</f>
        <v>284400.12800000003</v>
      </c>
      <c r="Z16" s="4830">
        <f>+Y16</f>
        <v>284400.12800000003</v>
      </c>
      <c r="AA16" s="4830">
        <f>+[4]Hoja1!$D$12</f>
        <v>271068.87199999997</v>
      </c>
      <c r="AB16" s="4830">
        <f>+AA16</f>
        <v>271068.87199999997</v>
      </c>
      <c r="AC16" s="4830">
        <f>+AC13</f>
        <v>459</v>
      </c>
      <c r="AD16" s="4830">
        <f>+AC16</f>
        <v>459</v>
      </c>
      <c r="AE16" s="4830">
        <f>+AE13</f>
        <v>248</v>
      </c>
      <c r="AF16" s="4830">
        <f>+AE16</f>
        <v>248</v>
      </c>
      <c r="AG16" s="4830">
        <f>+AG13</f>
        <v>1615</v>
      </c>
      <c r="AH16" s="4830">
        <f>+AG16</f>
        <v>1615</v>
      </c>
      <c r="AI16" s="4832">
        <f>+AI13</f>
        <v>378</v>
      </c>
      <c r="AJ16" s="4830">
        <f>+AI16</f>
        <v>378</v>
      </c>
      <c r="AK16" s="4823"/>
      <c r="AL16" s="4823"/>
      <c r="AM16" s="4823"/>
      <c r="AN16" s="4823"/>
      <c r="AO16" s="4823"/>
      <c r="AP16" s="4823"/>
      <c r="AQ16" s="4823"/>
      <c r="AR16" s="4823"/>
      <c r="AS16" s="4823"/>
      <c r="AT16" s="4823"/>
      <c r="AU16" s="4823"/>
      <c r="AV16" s="4823"/>
      <c r="AW16" s="4823"/>
      <c r="AX16" s="4823"/>
      <c r="AY16" s="4823"/>
      <c r="AZ16" s="4823"/>
      <c r="BA16" s="4823"/>
      <c r="BB16" s="4823"/>
      <c r="BC16" s="4818">
        <f>+AC16+AE16+AG16+AI16</f>
        <v>2700</v>
      </c>
      <c r="BD16" s="4818"/>
      <c r="BE16" s="4818">
        <f>19+2+8+3</f>
        <v>32</v>
      </c>
      <c r="BF16" s="4818">
        <f>SUM(U16:U22)</f>
        <v>1184588608.54</v>
      </c>
      <c r="BG16" s="4818">
        <f>SUM(V16:V22)</f>
        <v>943772907.94000006</v>
      </c>
      <c r="BH16" s="3184">
        <f>+BG16/BF16</f>
        <v>0.79670942396043787</v>
      </c>
      <c r="BI16" s="4818" t="s">
        <v>1800</v>
      </c>
      <c r="BJ16" s="4818" t="s">
        <v>1801</v>
      </c>
      <c r="BK16" s="4340">
        <v>43466</v>
      </c>
      <c r="BL16" s="4340">
        <v>43466</v>
      </c>
      <c r="BM16" s="4340">
        <v>43829</v>
      </c>
      <c r="BN16" s="4340">
        <v>43646</v>
      </c>
      <c r="BO16" s="2977" t="s">
        <v>1791</v>
      </c>
    </row>
    <row r="17" spans="1:67" ht="60" customHeight="1" x14ac:dyDescent="0.2">
      <c r="A17" s="1820"/>
      <c r="B17" s="1270"/>
      <c r="C17" s="1808"/>
      <c r="D17" s="1270"/>
      <c r="E17" s="4824"/>
      <c r="F17" s="4824"/>
      <c r="G17" s="3179"/>
      <c r="H17" s="3811"/>
      <c r="I17" s="3179"/>
      <c r="J17" s="3179"/>
      <c r="K17" s="4349"/>
      <c r="L17" s="3179"/>
      <c r="M17" s="3207"/>
      <c r="N17" s="3823"/>
      <c r="O17" s="3324"/>
      <c r="P17" s="3177"/>
      <c r="Q17" s="3823"/>
      <c r="R17" s="3823"/>
      <c r="S17" s="3811"/>
      <c r="T17" s="3177"/>
      <c r="U17" s="3177"/>
      <c r="V17" s="3177"/>
      <c r="W17" s="4825"/>
      <c r="X17" s="4827"/>
      <c r="Y17" s="4831"/>
      <c r="Z17" s="4831"/>
      <c r="AA17" s="4831"/>
      <c r="AB17" s="4831"/>
      <c r="AC17" s="4831"/>
      <c r="AD17" s="4831"/>
      <c r="AE17" s="4831"/>
      <c r="AF17" s="4831"/>
      <c r="AG17" s="4831"/>
      <c r="AH17" s="4831"/>
      <c r="AI17" s="4833"/>
      <c r="AJ17" s="4831"/>
      <c r="AK17" s="4824"/>
      <c r="AL17" s="4824"/>
      <c r="AM17" s="4824"/>
      <c r="AN17" s="4824"/>
      <c r="AO17" s="4824"/>
      <c r="AP17" s="4824"/>
      <c r="AQ17" s="4824"/>
      <c r="AR17" s="4824"/>
      <c r="AS17" s="4824"/>
      <c r="AT17" s="4824"/>
      <c r="AU17" s="4824"/>
      <c r="AV17" s="4824"/>
      <c r="AW17" s="4824"/>
      <c r="AX17" s="4824"/>
      <c r="AY17" s="4824"/>
      <c r="AZ17" s="4824"/>
      <c r="BA17" s="4824"/>
      <c r="BB17" s="4824"/>
      <c r="BC17" s="4819"/>
      <c r="BD17" s="4819"/>
      <c r="BE17" s="4819"/>
      <c r="BF17" s="4819"/>
      <c r="BG17" s="4819"/>
      <c r="BH17" s="3185"/>
      <c r="BI17" s="4819"/>
      <c r="BJ17" s="4819"/>
      <c r="BK17" s="4341"/>
      <c r="BL17" s="4341"/>
      <c r="BM17" s="4341"/>
      <c r="BN17" s="4341"/>
      <c r="BO17" s="2966"/>
    </row>
    <row r="18" spans="1:67" ht="120" customHeight="1" x14ac:dyDescent="0.2">
      <c r="A18" s="1820"/>
      <c r="B18" s="1270"/>
      <c r="C18" s="1808"/>
      <c r="D18" s="1270"/>
      <c r="E18" s="4824"/>
      <c r="F18" s="4824"/>
      <c r="G18" s="1237">
        <v>57</v>
      </c>
      <c r="H18" s="1259" t="s">
        <v>1802</v>
      </c>
      <c r="I18" s="1237" t="s">
        <v>1803</v>
      </c>
      <c r="J18" s="1237">
        <v>12</v>
      </c>
      <c r="K18" s="1821">
        <f>+'[3]METAS PROMOTORA'!J18</f>
        <v>4</v>
      </c>
      <c r="L18" s="1237" t="s">
        <v>1782</v>
      </c>
      <c r="M18" s="3207"/>
      <c r="N18" s="3823"/>
      <c r="O18" s="1822">
        <f>+T18/P18</f>
        <v>1</v>
      </c>
      <c r="P18" s="1823">
        <f>+T18</f>
        <v>573181075</v>
      </c>
      <c r="Q18" s="3823"/>
      <c r="R18" s="3823"/>
      <c r="S18" s="1259" t="s">
        <v>1804</v>
      </c>
      <c r="T18" s="1823">
        <f>+'[3]METAS PROMOTORA'!O18</f>
        <v>573181075</v>
      </c>
      <c r="U18" s="1823">
        <f>+'[3]METAS PROMOTORA'!P18</f>
        <v>444587515.625</v>
      </c>
      <c r="V18" s="1823">
        <f>+'[3]METAS PROMOTORA'!Q18</f>
        <v>357252434.59000003</v>
      </c>
      <c r="W18" s="1824" t="s">
        <v>1798</v>
      </c>
      <c r="X18" s="1825" t="s">
        <v>1799</v>
      </c>
      <c r="Y18" s="4831"/>
      <c r="Z18" s="4831"/>
      <c r="AA18" s="4831"/>
      <c r="AB18" s="4831"/>
      <c r="AC18" s="4831"/>
      <c r="AD18" s="4831"/>
      <c r="AE18" s="4831"/>
      <c r="AF18" s="4831"/>
      <c r="AG18" s="4831"/>
      <c r="AH18" s="4831"/>
      <c r="AI18" s="4833"/>
      <c r="AJ18" s="4831"/>
      <c r="AK18" s="4824"/>
      <c r="AL18" s="4824"/>
      <c r="AM18" s="4824"/>
      <c r="AN18" s="4824"/>
      <c r="AO18" s="4824"/>
      <c r="AP18" s="4824"/>
      <c r="AQ18" s="4824"/>
      <c r="AR18" s="4824"/>
      <c r="AS18" s="4824"/>
      <c r="AT18" s="4824"/>
      <c r="AU18" s="4824"/>
      <c r="AV18" s="4824"/>
      <c r="AW18" s="4824"/>
      <c r="AX18" s="4824"/>
      <c r="AY18" s="4824"/>
      <c r="AZ18" s="4824"/>
      <c r="BA18" s="4824"/>
      <c r="BB18" s="4824"/>
      <c r="BC18" s="4819"/>
      <c r="BD18" s="4819"/>
      <c r="BE18" s="4819"/>
      <c r="BF18" s="4819"/>
      <c r="BG18" s="4819"/>
      <c r="BH18" s="3185"/>
      <c r="BI18" s="4819"/>
      <c r="BJ18" s="4819"/>
      <c r="BK18" s="4341"/>
      <c r="BL18" s="4341"/>
      <c r="BM18" s="4341"/>
      <c r="BN18" s="4341"/>
      <c r="BO18" s="2966"/>
    </row>
    <row r="19" spans="1:67" ht="60" customHeight="1" x14ac:dyDescent="0.2">
      <c r="A19" s="1820"/>
      <c r="B19" s="1270"/>
      <c r="C19" s="1808"/>
      <c r="D19" s="1270"/>
      <c r="E19" s="4824"/>
      <c r="F19" s="4824"/>
      <c r="G19" s="3165">
        <v>60</v>
      </c>
      <c r="H19" s="3810" t="s">
        <v>1805</v>
      </c>
      <c r="I19" s="3165" t="s">
        <v>1806</v>
      </c>
      <c r="J19" s="3165">
        <v>12</v>
      </c>
      <c r="K19" s="3896">
        <f>+'[3]METAS PROMOTORA'!J20</f>
        <v>4</v>
      </c>
      <c r="L19" s="3165" t="s">
        <v>1782</v>
      </c>
      <c r="M19" s="3207"/>
      <c r="N19" s="3823"/>
      <c r="O19" s="4828">
        <f>+T19/P19</f>
        <v>0.96136535202069529</v>
      </c>
      <c r="P19" s="3167">
        <f>+T19+T20</f>
        <v>595320553</v>
      </c>
      <c r="Q19" s="3823"/>
      <c r="R19" s="3823"/>
      <c r="S19" s="4757" t="s">
        <v>1807</v>
      </c>
      <c r="T19" s="1809">
        <f>+'[3]METAS PROMOTORA'!O20</f>
        <v>572320553</v>
      </c>
      <c r="U19" s="1809">
        <f>+'[3]METAS PROMOTORA'!P20</f>
        <v>409400517.42000002</v>
      </c>
      <c r="V19" s="1809">
        <f>+'[3]METAS PROMOTORA'!Q20</f>
        <v>263155470.13</v>
      </c>
      <c r="W19" s="1826" t="s">
        <v>1808</v>
      </c>
      <c r="X19" s="1827" t="s">
        <v>1788</v>
      </c>
      <c r="Y19" s="4834"/>
      <c r="Z19" s="4831"/>
      <c r="AA19" s="4831"/>
      <c r="AB19" s="4831"/>
      <c r="AC19" s="4831"/>
      <c r="AD19" s="4831"/>
      <c r="AE19" s="4831"/>
      <c r="AF19" s="4831"/>
      <c r="AG19" s="4831"/>
      <c r="AH19" s="4831"/>
      <c r="AI19" s="4833"/>
      <c r="AJ19" s="4831"/>
      <c r="AK19" s="4824"/>
      <c r="AL19" s="4824"/>
      <c r="AM19" s="4824"/>
      <c r="AN19" s="4824"/>
      <c r="AO19" s="4824"/>
      <c r="AP19" s="4824"/>
      <c r="AQ19" s="4824"/>
      <c r="AR19" s="4824"/>
      <c r="AS19" s="4824"/>
      <c r="AT19" s="4824"/>
      <c r="AU19" s="4824"/>
      <c r="AV19" s="4824"/>
      <c r="AW19" s="4824"/>
      <c r="AX19" s="4824"/>
      <c r="AY19" s="4824"/>
      <c r="AZ19" s="4824"/>
      <c r="BA19" s="4824"/>
      <c r="BB19" s="4824"/>
      <c r="BC19" s="4819"/>
      <c r="BD19" s="4819"/>
      <c r="BE19" s="4819"/>
      <c r="BF19" s="4819"/>
      <c r="BG19" s="4819"/>
      <c r="BH19" s="3185"/>
      <c r="BI19" s="4819"/>
      <c r="BJ19" s="4819"/>
      <c r="BK19" s="4341"/>
      <c r="BL19" s="4341"/>
      <c r="BM19" s="4341"/>
      <c r="BN19" s="4341"/>
      <c r="BO19" s="2966"/>
    </row>
    <row r="20" spans="1:67" ht="60" customHeight="1" x14ac:dyDescent="0.2">
      <c r="A20" s="1820"/>
      <c r="B20" s="1238"/>
      <c r="C20" s="1820"/>
      <c r="D20" s="1260"/>
      <c r="E20" s="4824"/>
      <c r="F20" s="4824"/>
      <c r="G20" s="3179"/>
      <c r="H20" s="3811"/>
      <c r="I20" s="3179"/>
      <c r="J20" s="3179"/>
      <c r="K20" s="4349"/>
      <c r="L20" s="3179"/>
      <c r="M20" s="3207"/>
      <c r="N20" s="3823"/>
      <c r="O20" s="4837"/>
      <c r="P20" s="3177"/>
      <c r="Q20" s="3823"/>
      <c r="R20" s="3823"/>
      <c r="S20" s="4758"/>
      <c r="T20" s="1809">
        <f>+'[3]METAS PROMOTORA'!O21</f>
        <v>23000000</v>
      </c>
      <c r="U20" s="1809">
        <v>0</v>
      </c>
      <c r="V20" s="1809">
        <v>0</v>
      </c>
      <c r="W20" s="1810">
        <v>159</v>
      </c>
      <c r="X20" s="1811" t="s">
        <v>1792</v>
      </c>
      <c r="Y20" s="4834"/>
      <c r="Z20" s="4831"/>
      <c r="AA20" s="4831"/>
      <c r="AB20" s="4831"/>
      <c r="AC20" s="4831"/>
      <c r="AD20" s="4831"/>
      <c r="AE20" s="4831"/>
      <c r="AF20" s="4831"/>
      <c r="AG20" s="4831"/>
      <c r="AH20" s="4831"/>
      <c r="AI20" s="4833"/>
      <c r="AJ20" s="4831"/>
      <c r="AK20" s="4824"/>
      <c r="AL20" s="4824"/>
      <c r="AM20" s="4824"/>
      <c r="AN20" s="4824"/>
      <c r="AO20" s="4824"/>
      <c r="AP20" s="4824"/>
      <c r="AQ20" s="4824"/>
      <c r="AR20" s="4824"/>
      <c r="AS20" s="4824"/>
      <c r="AT20" s="4824"/>
      <c r="AU20" s="4824"/>
      <c r="AV20" s="4824"/>
      <c r="AW20" s="4824"/>
      <c r="AX20" s="4824"/>
      <c r="AY20" s="4824"/>
      <c r="AZ20" s="4824"/>
      <c r="BA20" s="4824"/>
      <c r="BB20" s="4824"/>
      <c r="BC20" s="4819"/>
      <c r="BD20" s="4819"/>
      <c r="BE20" s="4819"/>
      <c r="BF20" s="4819"/>
      <c r="BG20" s="4819"/>
      <c r="BH20" s="3185"/>
      <c r="BI20" s="4819"/>
      <c r="BJ20" s="4819"/>
      <c r="BK20" s="4341"/>
      <c r="BL20" s="4341"/>
      <c r="BM20" s="4341"/>
      <c r="BN20" s="4341"/>
      <c r="BO20" s="2966"/>
    </row>
    <row r="21" spans="1:67" ht="60" customHeight="1" x14ac:dyDescent="0.2">
      <c r="A21" s="1820"/>
      <c r="B21" s="1238"/>
      <c r="C21" s="1820"/>
      <c r="D21" s="1260"/>
      <c r="E21" s="4824"/>
      <c r="F21" s="4824"/>
      <c r="G21" s="3165">
        <v>63</v>
      </c>
      <c r="H21" s="3810" t="s">
        <v>1809</v>
      </c>
      <c r="I21" s="3165" t="s">
        <v>1810</v>
      </c>
      <c r="J21" s="3165">
        <v>250</v>
      </c>
      <c r="K21" s="3896">
        <v>198</v>
      </c>
      <c r="L21" s="3165" t="s">
        <v>1811</v>
      </c>
      <c r="M21" s="3207"/>
      <c r="N21" s="3823"/>
      <c r="O21" s="4828">
        <f>+SUM(T21:T22)/P21</f>
        <v>1</v>
      </c>
      <c r="P21" s="3167">
        <f>+T21+T22</f>
        <v>582181075</v>
      </c>
      <c r="Q21" s="3823"/>
      <c r="R21" s="3823"/>
      <c r="S21" s="3810" t="s">
        <v>1812</v>
      </c>
      <c r="T21" s="1828">
        <f>+'[3]METAS PROMOTORA'!O23</f>
        <v>573181075</v>
      </c>
      <c r="U21" s="1828">
        <f>+'[3]METAS PROMOTORA'!P23</f>
        <v>238961684.34</v>
      </c>
      <c r="V21" s="1828">
        <f>+'[3]METAS PROMOTORA'!Q23</f>
        <v>237820664.24000001</v>
      </c>
      <c r="W21" s="1829" t="s">
        <v>1798</v>
      </c>
      <c r="X21" s="1830" t="s">
        <v>1799</v>
      </c>
      <c r="Y21" s="4831"/>
      <c r="Z21" s="4831"/>
      <c r="AA21" s="4831"/>
      <c r="AB21" s="4831"/>
      <c r="AC21" s="4831"/>
      <c r="AD21" s="4831"/>
      <c r="AE21" s="4831"/>
      <c r="AF21" s="4831"/>
      <c r="AG21" s="4831"/>
      <c r="AH21" s="4831"/>
      <c r="AI21" s="4833"/>
      <c r="AJ21" s="4831"/>
      <c r="AK21" s="4824"/>
      <c r="AL21" s="4824"/>
      <c r="AM21" s="4824"/>
      <c r="AN21" s="4824"/>
      <c r="AO21" s="4824"/>
      <c r="AP21" s="4824"/>
      <c r="AQ21" s="4824"/>
      <c r="AR21" s="4824"/>
      <c r="AS21" s="4824"/>
      <c r="AT21" s="4824"/>
      <c r="AU21" s="4824"/>
      <c r="AV21" s="4824"/>
      <c r="AW21" s="4824"/>
      <c r="AX21" s="4824"/>
      <c r="AY21" s="4824"/>
      <c r="AZ21" s="4824"/>
      <c r="BA21" s="4824"/>
      <c r="BB21" s="4824"/>
      <c r="BC21" s="4819"/>
      <c r="BD21" s="4819"/>
      <c r="BE21" s="4819"/>
      <c r="BF21" s="4819"/>
      <c r="BG21" s="4819"/>
      <c r="BH21" s="3185"/>
      <c r="BI21" s="4819"/>
      <c r="BJ21" s="4819"/>
      <c r="BK21" s="4341"/>
      <c r="BL21" s="4341"/>
      <c r="BM21" s="4341"/>
      <c r="BN21" s="4341"/>
      <c r="BO21" s="2966"/>
    </row>
    <row r="22" spans="1:67" ht="60" customHeight="1" x14ac:dyDescent="0.2">
      <c r="A22" s="1820"/>
      <c r="B22" s="1238"/>
      <c r="C22" s="1820"/>
      <c r="D22" s="1260"/>
      <c r="E22" s="4824"/>
      <c r="F22" s="4824"/>
      <c r="G22" s="3207"/>
      <c r="H22" s="3823"/>
      <c r="I22" s="3207"/>
      <c r="J22" s="3207"/>
      <c r="K22" s="4317"/>
      <c r="L22" s="3207"/>
      <c r="M22" s="3207"/>
      <c r="N22" s="3823"/>
      <c r="O22" s="4829"/>
      <c r="P22" s="3187"/>
      <c r="Q22" s="3823"/>
      <c r="R22" s="3823"/>
      <c r="S22" s="3823"/>
      <c r="T22" s="1831">
        <f>+'[3]METAS PROMOTORA'!O22</f>
        <v>9000000</v>
      </c>
      <c r="U22" s="1831">
        <f>+'[3]METAS PROMOTORA'!P22</f>
        <v>9000000</v>
      </c>
      <c r="V22" s="1831">
        <f>+'[3]METAS PROMOTORA'!Q22</f>
        <v>9000000</v>
      </c>
      <c r="W22" s="1826" t="s">
        <v>1808</v>
      </c>
      <c r="X22" s="1827" t="s">
        <v>1788</v>
      </c>
      <c r="Y22" s="4831"/>
      <c r="Z22" s="4831"/>
      <c r="AA22" s="4831"/>
      <c r="AB22" s="4831"/>
      <c r="AC22" s="4831"/>
      <c r="AD22" s="4831"/>
      <c r="AE22" s="4831"/>
      <c r="AF22" s="4831"/>
      <c r="AG22" s="4831"/>
      <c r="AH22" s="4831"/>
      <c r="AI22" s="4833"/>
      <c r="AJ22" s="4831"/>
      <c r="AK22" s="4824"/>
      <c r="AL22" s="4824"/>
      <c r="AM22" s="4824"/>
      <c r="AN22" s="4824"/>
      <c r="AO22" s="4824"/>
      <c r="AP22" s="4824"/>
      <c r="AQ22" s="4824"/>
      <c r="AR22" s="4824"/>
      <c r="AS22" s="4824"/>
      <c r="AT22" s="4824"/>
      <c r="AU22" s="4824"/>
      <c r="AV22" s="4824"/>
      <c r="AW22" s="4824"/>
      <c r="AX22" s="4824"/>
      <c r="AY22" s="4824"/>
      <c r="AZ22" s="4824"/>
      <c r="BA22" s="4824"/>
      <c r="BB22" s="4824"/>
      <c r="BC22" s="4819"/>
      <c r="BD22" s="4819"/>
      <c r="BE22" s="4819"/>
      <c r="BF22" s="4819"/>
      <c r="BG22" s="4819"/>
      <c r="BH22" s="3185"/>
      <c r="BI22" s="4819"/>
      <c r="BJ22" s="4819"/>
      <c r="BK22" s="4341"/>
      <c r="BL22" s="4341"/>
      <c r="BM22" s="4341"/>
      <c r="BN22" s="4341"/>
      <c r="BO22" s="2966"/>
    </row>
    <row r="23" spans="1:67" ht="28.5" customHeight="1" x14ac:dyDescent="0.2">
      <c r="A23" s="4835" t="s">
        <v>1813</v>
      </c>
      <c r="B23" s="4835"/>
      <c r="C23" s="4835"/>
      <c r="D23" s="4835"/>
      <c r="E23" s="4835"/>
      <c r="F23" s="4835"/>
      <c r="G23" s="4835"/>
      <c r="H23" s="4835"/>
      <c r="I23" s="4835"/>
      <c r="J23" s="4835"/>
      <c r="K23" s="4835"/>
      <c r="L23" s="4835"/>
      <c r="M23" s="4835"/>
      <c r="N23" s="4835"/>
      <c r="O23" s="4835"/>
      <c r="P23" s="1832">
        <f>SUM(P13:P22)</f>
        <v>2637780070</v>
      </c>
      <c r="Q23" s="1833"/>
      <c r="R23" s="1834"/>
      <c r="S23" s="1834"/>
      <c r="T23" s="1832">
        <f>SUM(T13:T22)</f>
        <v>2637780070</v>
      </c>
      <c r="U23" s="1832">
        <f>SUM(U13:U22)</f>
        <v>1295870143.5</v>
      </c>
      <c r="V23" s="1832">
        <f>SUM(V13:V22)</f>
        <v>1055054442.9</v>
      </c>
      <c r="W23" s="1835"/>
      <c r="X23" s="1835"/>
      <c r="Y23" s="1474"/>
      <c r="Z23" s="1474"/>
      <c r="AA23" s="1474"/>
      <c r="AB23" s="1474"/>
      <c r="AC23" s="1474"/>
      <c r="AD23" s="1474"/>
      <c r="AE23" s="1474"/>
      <c r="AF23" s="1474"/>
      <c r="AG23" s="1474"/>
      <c r="AH23" s="1474"/>
      <c r="AI23" s="1474"/>
      <c r="AJ23" s="1474"/>
      <c r="AK23" s="1474"/>
      <c r="AL23" s="1474"/>
      <c r="AM23" s="1474"/>
      <c r="AN23" s="1474"/>
      <c r="AO23" s="1474"/>
      <c r="AP23" s="1474"/>
      <c r="AQ23" s="1474"/>
      <c r="AR23" s="1474"/>
      <c r="AS23" s="1474"/>
      <c r="AT23" s="1474"/>
      <c r="AU23" s="1474"/>
      <c r="AV23" s="1474"/>
      <c r="AW23" s="1474"/>
      <c r="AX23" s="1474"/>
      <c r="AY23" s="1474"/>
      <c r="AZ23" s="1474"/>
      <c r="BA23" s="1474"/>
      <c r="BB23" s="1474"/>
      <c r="BC23" s="1474"/>
      <c r="BD23" s="1474"/>
      <c r="BE23" s="1836">
        <f>+BE13+BE16</f>
        <v>33</v>
      </c>
      <c r="BF23" s="1837">
        <f>+BF13+BF16</f>
        <v>1295870143.5</v>
      </c>
      <c r="BG23" s="1837">
        <f>+BG13+BG16</f>
        <v>1055054442.9000001</v>
      </c>
      <c r="BH23" s="1474"/>
      <c r="BI23" s="1474"/>
      <c r="BJ23" s="1474"/>
      <c r="BK23" s="1838"/>
      <c r="BL23" s="1838"/>
      <c r="BM23" s="1839"/>
      <c r="BN23" s="1839"/>
      <c r="BO23" s="1840"/>
    </row>
    <row r="24" spans="1:67" x14ac:dyDescent="0.2">
      <c r="E24" s="1841"/>
      <c r="G24" s="1841"/>
      <c r="O24" s="659"/>
      <c r="S24" s="1310"/>
      <c r="T24" s="1310"/>
      <c r="U24" s="1310"/>
      <c r="V24" s="1310"/>
      <c r="W24" s="659"/>
      <c r="X24" s="659"/>
      <c r="BK24" s="1843"/>
      <c r="BL24" s="1843"/>
      <c r="BM24" s="1844"/>
      <c r="BN24" s="1844"/>
    </row>
    <row r="25" spans="1:67" x14ac:dyDescent="0.2">
      <c r="E25" s="1841"/>
      <c r="G25" s="1841"/>
      <c r="O25" s="659"/>
      <c r="S25" s="1310"/>
      <c r="T25" s="1310"/>
      <c r="U25" s="1310"/>
      <c r="V25" s="1310"/>
      <c r="W25" s="659"/>
      <c r="X25" s="659"/>
      <c r="BK25" s="1843"/>
      <c r="BL25" s="1843"/>
      <c r="BM25" s="1844"/>
      <c r="BN25" s="1844"/>
    </row>
    <row r="26" spans="1:67" x14ac:dyDescent="0.2">
      <c r="E26" s="1841"/>
      <c r="G26" s="1841"/>
      <c r="O26" s="659"/>
      <c r="S26" s="1310"/>
      <c r="T26" s="1310"/>
      <c r="U26" s="1310"/>
      <c r="V26" s="1310"/>
      <c r="W26" s="659"/>
      <c r="X26" s="659"/>
      <c r="BK26" s="1843"/>
      <c r="BL26" s="1843"/>
      <c r="BM26" s="1844"/>
      <c r="BN26" s="1844"/>
    </row>
    <row r="27" spans="1:67" x14ac:dyDescent="0.2">
      <c r="E27" s="1841"/>
      <c r="G27" s="1841"/>
      <c r="O27" s="659"/>
      <c r="S27" s="1310"/>
      <c r="T27" s="1310"/>
      <c r="U27" s="1310"/>
      <c r="V27" s="1310"/>
      <c r="W27" s="659"/>
      <c r="X27" s="659"/>
      <c r="BK27" s="1843"/>
      <c r="BL27" s="1843"/>
      <c r="BM27" s="1844"/>
      <c r="BN27" s="1844"/>
    </row>
    <row r="28" spans="1:67" x14ac:dyDescent="0.2">
      <c r="E28" s="1841"/>
      <c r="G28" s="1841"/>
      <c r="O28" s="659"/>
      <c r="S28" s="1310"/>
      <c r="T28" s="1310"/>
      <c r="U28" s="1310"/>
      <c r="V28" s="1310"/>
      <c r="W28" s="659"/>
      <c r="X28" s="659"/>
      <c r="BK28" s="1843"/>
      <c r="BL28" s="1843"/>
      <c r="BM28" s="1844"/>
      <c r="BN28" s="1844"/>
    </row>
    <row r="29" spans="1:67" x14ac:dyDescent="0.2">
      <c r="E29" s="1841"/>
      <c r="G29" s="1841"/>
      <c r="O29" s="659"/>
      <c r="S29" s="1310"/>
      <c r="T29" s="1310"/>
      <c r="U29" s="1310"/>
      <c r="V29" s="1310"/>
      <c r="W29" s="659"/>
      <c r="X29" s="659"/>
      <c r="BK29" s="1843"/>
      <c r="BL29" s="1843"/>
      <c r="BM29" s="1844"/>
      <c r="BN29" s="1844"/>
    </row>
    <row r="30" spans="1:67" x14ac:dyDescent="0.2">
      <c r="E30" s="1841"/>
      <c r="G30" s="1841"/>
      <c r="O30" s="659"/>
      <c r="S30" s="1310"/>
      <c r="T30" s="1310"/>
      <c r="U30" s="1310"/>
      <c r="V30" s="1310"/>
      <c r="W30" s="659"/>
      <c r="X30" s="659"/>
      <c r="BK30" s="1843"/>
      <c r="BL30" s="1843"/>
      <c r="BM30" s="1844"/>
      <c r="BN30" s="1844"/>
    </row>
    <row r="31" spans="1:67" x14ac:dyDescent="0.2">
      <c r="E31" s="1841"/>
      <c r="G31" s="1841"/>
      <c r="O31" s="659"/>
      <c r="S31" s="1310"/>
      <c r="T31" s="1310"/>
      <c r="U31" s="1310"/>
      <c r="V31" s="1310"/>
      <c r="W31" s="659"/>
      <c r="X31" s="659"/>
      <c r="BK31" s="1843"/>
      <c r="BL31" s="1843"/>
      <c r="BM31" s="1844"/>
      <c r="BN31" s="1844"/>
    </row>
    <row r="32" spans="1:67" x14ac:dyDescent="0.2">
      <c r="E32" s="1841"/>
      <c r="G32" s="1841"/>
      <c r="O32" s="659"/>
      <c r="S32" s="1310"/>
      <c r="T32" s="1310"/>
      <c r="U32" s="1310"/>
      <c r="V32" s="1310"/>
      <c r="W32" s="659"/>
      <c r="X32" s="659"/>
      <c r="BK32" s="1843"/>
      <c r="BL32" s="1843"/>
      <c r="BM32" s="1844"/>
      <c r="BN32" s="1844"/>
    </row>
    <row r="33" spans="1:67" x14ac:dyDescent="0.2">
      <c r="E33" s="1841"/>
      <c r="G33" s="1841"/>
      <c r="O33" s="659"/>
      <c r="S33" s="1310"/>
      <c r="T33" s="1310"/>
      <c r="U33" s="1310"/>
      <c r="V33" s="1310"/>
      <c r="W33" s="659"/>
      <c r="X33" s="659"/>
      <c r="BK33" s="1843"/>
      <c r="BL33" s="1843"/>
      <c r="BM33" s="1844"/>
      <c r="BN33" s="1844"/>
    </row>
    <row r="34" spans="1:67" x14ac:dyDescent="0.2">
      <c r="E34" s="1841"/>
      <c r="G34" s="1841"/>
      <c r="O34" s="659"/>
      <c r="S34" s="1310"/>
      <c r="T34" s="1310"/>
      <c r="U34" s="1310"/>
      <c r="V34" s="1310"/>
      <c r="W34" s="659"/>
      <c r="X34" s="659"/>
      <c r="BK34" s="1843"/>
      <c r="BL34" s="1843"/>
      <c r="BM34" s="1844"/>
      <c r="BN34" s="1844"/>
    </row>
    <row r="35" spans="1:67" x14ac:dyDescent="0.2">
      <c r="E35" s="1841"/>
      <c r="G35" s="1841"/>
      <c r="O35" s="659"/>
      <c r="S35" s="1310"/>
      <c r="T35" s="1310"/>
      <c r="U35" s="1310"/>
      <c r="V35" s="1310"/>
      <c r="W35" s="659"/>
      <c r="X35" s="659"/>
      <c r="BK35" s="1843"/>
      <c r="BL35" s="1843"/>
      <c r="BM35" s="1844"/>
      <c r="BN35" s="1844"/>
    </row>
    <row r="36" spans="1:67" x14ac:dyDescent="0.2">
      <c r="E36" s="1841"/>
      <c r="G36" s="1841"/>
      <c r="O36" s="659"/>
      <c r="S36" s="1310"/>
      <c r="T36" s="1310"/>
      <c r="U36" s="1310"/>
      <c r="V36" s="1310"/>
      <c r="W36" s="659"/>
      <c r="X36" s="659"/>
      <c r="BK36" s="1843"/>
      <c r="BL36" s="1843"/>
      <c r="BM36" s="1844"/>
      <c r="BN36" s="1844"/>
    </row>
    <row r="37" spans="1:67" x14ac:dyDescent="0.2">
      <c r="E37" s="1841"/>
      <c r="G37" s="1841"/>
      <c r="O37" s="659"/>
      <c r="S37" s="1310"/>
      <c r="T37" s="1310"/>
      <c r="U37" s="1310"/>
      <c r="V37" s="1310"/>
      <c r="W37" s="659"/>
      <c r="X37" s="659"/>
      <c r="BK37" s="1843"/>
      <c r="BL37" s="1843"/>
      <c r="BM37" s="1844"/>
      <c r="BN37" s="1844"/>
    </row>
    <row r="38" spans="1:67" x14ac:dyDescent="0.2">
      <c r="E38" s="1841"/>
      <c r="G38" s="1841"/>
      <c r="N38" s="659"/>
      <c r="R38" s="1310"/>
      <c r="S38" s="1310"/>
      <c r="T38" s="1310"/>
      <c r="U38" s="1310"/>
      <c r="V38" s="1310"/>
      <c r="AS38" s="1845"/>
      <c r="AT38" s="1845"/>
      <c r="AU38" s="1846"/>
      <c r="AV38" s="1846"/>
      <c r="AW38" s="1847"/>
      <c r="AX38" s="1847"/>
    </row>
    <row r="39" spans="1:67" ht="15" x14ac:dyDescent="0.25">
      <c r="A39" s="1848" t="s">
        <v>1814</v>
      </c>
      <c r="E39" s="1841"/>
      <c r="G39" s="1841"/>
      <c r="N39" s="659"/>
      <c r="R39" s="1310"/>
      <c r="S39" s="1310"/>
      <c r="T39" s="1310"/>
      <c r="U39" s="1310"/>
      <c r="V39" s="1310"/>
      <c r="AS39" s="1845"/>
      <c r="AT39" s="1845"/>
      <c r="AU39" s="1846"/>
      <c r="AV39" s="1846"/>
      <c r="AW39" s="1847"/>
      <c r="AX39" s="1847"/>
    </row>
    <row r="40" spans="1:67" ht="15" x14ac:dyDescent="0.25">
      <c r="A40" s="1848" t="s">
        <v>1815</v>
      </c>
      <c r="E40" s="1841"/>
      <c r="G40" s="1841"/>
      <c r="N40" s="659"/>
      <c r="R40" s="1310"/>
      <c r="S40" s="1310"/>
      <c r="T40" s="1310"/>
      <c r="U40" s="1310"/>
      <c r="V40" s="1310"/>
      <c r="AS40" s="1845"/>
      <c r="AT40" s="1845"/>
      <c r="AU40" s="1846"/>
      <c r="AV40" s="1846"/>
      <c r="AW40" s="1847"/>
      <c r="AX40" s="1847"/>
    </row>
    <row r="41" spans="1:67" x14ac:dyDescent="0.2">
      <c r="E41" s="1841"/>
      <c r="G41" s="1841"/>
      <c r="N41" s="659"/>
      <c r="R41" s="1310"/>
      <c r="S41" s="1310"/>
      <c r="T41" s="1310"/>
      <c r="U41" s="1310"/>
      <c r="V41" s="1310"/>
      <c r="AS41" s="1845"/>
      <c r="AT41" s="1845"/>
      <c r="AU41" s="1846"/>
      <c r="AV41" s="1846"/>
      <c r="AW41" s="1847"/>
      <c r="AX41" s="1847"/>
    </row>
    <row r="42" spans="1:67" x14ac:dyDescent="0.2">
      <c r="E42" s="1841"/>
      <c r="G42" s="1841"/>
      <c r="N42" s="659"/>
      <c r="R42" s="1310"/>
      <c r="S42" s="1310"/>
      <c r="T42" s="1310"/>
      <c r="U42" s="1310"/>
      <c r="V42" s="1310"/>
      <c r="AS42" s="1845"/>
      <c r="AT42" s="1845"/>
      <c r="AU42" s="1846"/>
      <c r="AV42" s="1846"/>
      <c r="AW42" s="1847"/>
      <c r="AX42" s="1847"/>
    </row>
    <row r="43" spans="1:67" x14ac:dyDescent="0.2">
      <c r="A43" s="1849" t="s">
        <v>1816</v>
      </c>
      <c r="E43" s="1841"/>
      <c r="G43" s="1841"/>
      <c r="N43" s="659"/>
      <c r="R43" s="1310"/>
      <c r="S43" s="1310"/>
      <c r="T43" s="1310"/>
      <c r="U43" s="1310"/>
      <c r="V43" s="1310"/>
      <c r="AS43" s="1845"/>
      <c r="AT43" s="1845"/>
      <c r="AU43" s="1846"/>
      <c r="AV43" s="1846"/>
      <c r="AW43" s="1847"/>
      <c r="AX43" s="1847"/>
    </row>
    <row r="44" spans="1:67" x14ac:dyDescent="0.2">
      <c r="A44" s="1849" t="s">
        <v>1817</v>
      </c>
      <c r="E44" s="1841"/>
      <c r="G44" s="1841"/>
      <c r="N44" s="659"/>
      <c r="R44" s="1310"/>
      <c r="S44" s="1310"/>
      <c r="T44" s="1310"/>
      <c r="U44" s="1310"/>
      <c r="V44" s="1310"/>
      <c r="AS44" s="1845"/>
      <c r="AT44" s="1845"/>
      <c r="AU44" s="1846"/>
      <c r="AV44" s="1846"/>
      <c r="AW44" s="1847"/>
      <c r="AX44" s="1847"/>
    </row>
    <row r="45" spans="1:67" x14ac:dyDescent="0.2">
      <c r="A45" s="4836"/>
      <c r="B45" s="4836"/>
      <c r="C45" s="4836"/>
      <c r="D45" s="4836"/>
      <c r="E45" s="4836"/>
      <c r="F45" s="4836"/>
      <c r="G45" s="4836"/>
      <c r="H45" s="4836"/>
      <c r="I45" s="4836"/>
      <c r="J45" s="4836"/>
      <c r="K45" s="4836"/>
      <c r="L45" s="4836"/>
      <c r="M45" s="4836"/>
      <c r="N45" s="4836"/>
      <c r="O45" s="4836"/>
      <c r="P45" s="4836"/>
      <c r="Q45" s="4836"/>
      <c r="R45" s="4836"/>
      <c r="S45" s="4836"/>
      <c r="T45" s="4836"/>
      <c r="U45" s="4836"/>
      <c r="V45" s="4836"/>
      <c r="W45" s="4836"/>
      <c r="X45" s="4836"/>
      <c r="Y45" s="4836"/>
      <c r="Z45" s="4836"/>
      <c r="AA45" s="4836"/>
      <c r="AB45" s="4836"/>
      <c r="AC45" s="4836"/>
      <c r="AD45" s="4836"/>
      <c r="AE45" s="4836"/>
      <c r="AF45" s="4836"/>
      <c r="AG45" s="4836"/>
      <c r="AH45" s="4836"/>
      <c r="AI45" s="4836"/>
      <c r="AJ45" s="4836"/>
      <c r="AK45" s="4836"/>
      <c r="AL45" s="4836"/>
      <c r="AM45" s="4836"/>
      <c r="AN45" s="4836"/>
      <c r="AO45" s="4836"/>
      <c r="AP45" s="4836"/>
      <c r="AQ45" s="4836"/>
      <c r="AR45" s="4836"/>
      <c r="AS45" s="4836"/>
      <c r="AT45" s="4836"/>
      <c r="AU45" s="4836"/>
      <c r="AV45" s="4836"/>
      <c r="AW45" s="4836"/>
      <c r="AX45" s="4836"/>
      <c r="AY45" s="4836"/>
      <c r="AZ45" s="4836"/>
      <c r="BA45" s="4836"/>
      <c r="BB45" s="4836"/>
      <c r="BC45" s="4836"/>
      <c r="BD45" s="4836"/>
      <c r="BE45" s="4836"/>
      <c r="BF45" s="4836"/>
      <c r="BG45" s="4836"/>
      <c r="BH45" s="4836"/>
      <c r="BI45" s="4836"/>
      <c r="BJ45" s="4836"/>
      <c r="BK45" s="4836"/>
      <c r="BL45" s="4836"/>
      <c r="BM45" s="4836"/>
      <c r="BN45" s="4836"/>
      <c r="BO45" s="4836"/>
    </row>
  </sheetData>
  <sheetProtection password="CBEB" sheet="1" objects="1" scenarios="1"/>
  <mergeCells count="203">
    <mergeCell ref="A23:O23"/>
    <mergeCell ref="A45:BO45"/>
    <mergeCell ref="G21:G22"/>
    <mergeCell ref="H21:H22"/>
    <mergeCell ref="I21:I22"/>
    <mergeCell ref="J21:J22"/>
    <mergeCell ref="K21:K22"/>
    <mergeCell ref="L21:L22"/>
    <mergeCell ref="BO16:BO22"/>
    <mergeCell ref="G19:G20"/>
    <mergeCell ref="H19:H20"/>
    <mergeCell ref="I19:I20"/>
    <mergeCell ref="J19:J20"/>
    <mergeCell ref="K19:K20"/>
    <mergeCell ref="L19:L20"/>
    <mergeCell ref="O19:O20"/>
    <mergeCell ref="P19:P20"/>
    <mergeCell ref="S19:S20"/>
    <mergeCell ref="BI16:BI22"/>
    <mergeCell ref="BJ16:BJ22"/>
    <mergeCell ref="BK16:BK22"/>
    <mergeCell ref="BL16:BL22"/>
    <mergeCell ref="BM16:BM22"/>
    <mergeCell ref="BN16:BN22"/>
    <mergeCell ref="BC16:BC22"/>
    <mergeCell ref="BD16:BD22"/>
    <mergeCell ref="BE16:BE22"/>
    <mergeCell ref="BF16:BF22"/>
    <mergeCell ref="BG16:BG22"/>
    <mergeCell ref="BH16:BH22"/>
    <mergeCell ref="AW16:AW22"/>
    <mergeCell ref="AX16:AX22"/>
    <mergeCell ref="AY16:AY22"/>
    <mergeCell ref="AZ16:AZ22"/>
    <mergeCell ref="BA16:BA22"/>
    <mergeCell ref="BB16:BB22"/>
    <mergeCell ref="AQ16:AQ22"/>
    <mergeCell ref="AR16:AR22"/>
    <mergeCell ref="AS16:AS22"/>
    <mergeCell ref="AT16:AT22"/>
    <mergeCell ref="AU16:AU22"/>
    <mergeCell ref="AV16:AV22"/>
    <mergeCell ref="AK16:AK22"/>
    <mergeCell ref="AL16:AL22"/>
    <mergeCell ref="AM16:AM22"/>
    <mergeCell ref="AN16:AN22"/>
    <mergeCell ref="AO16:AO22"/>
    <mergeCell ref="AP16:AP22"/>
    <mergeCell ref="AE16:AE22"/>
    <mergeCell ref="AF16:AF22"/>
    <mergeCell ref="AG16:AG22"/>
    <mergeCell ref="AH16:AH22"/>
    <mergeCell ref="AI16:AI22"/>
    <mergeCell ref="AJ16:AJ22"/>
    <mergeCell ref="Y16:Y22"/>
    <mergeCell ref="Z16:Z22"/>
    <mergeCell ref="AA16:AA22"/>
    <mergeCell ref="AB16:AB22"/>
    <mergeCell ref="AC16:AC22"/>
    <mergeCell ref="AD16:AD22"/>
    <mergeCell ref="S16:S17"/>
    <mergeCell ref="T16:T17"/>
    <mergeCell ref="U16:U17"/>
    <mergeCell ref="V16:V17"/>
    <mergeCell ref="W16:W17"/>
    <mergeCell ref="X16:X17"/>
    <mergeCell ref="M16:M22"/>
    <mergeCell ref="N16:N22"/>
    <mergeCell ref="O16:O17"/>
    <mergeCell ref="P16:P17"/>
    <mergeCell ref="Q16:Q22"/>
    <mergeCell ref="R16:R22"/>
    <mergeCell ref="O21:O22"/>
    <mergeCell ref="P21:P22"/>
    <mergeCell ref="S21:S22"/>
    <mergeCell ref="BO13:BO14"/>
    <mergeCell ref="F15:J15"/>
    <mergeCell ref="E16:E22"/>
    <mergeCell ref="F16:F22"/>
    <mergeCell ref="G16:G17"/>
    <mergeCell ref="H16:H17"/>
    <mergeCell ref="I16:I17"/>
    <mergeCell ref="J16:J17"/>
    <mergeCell ref="K16:K17"/>
    <mergeCell ref="L16:L17"/>
    <mergeCell ref="BI13:BI14"/>
    <mergeCell ref="BJ13:BJ14"/>
    <mergeCell ref="BK13:BK14"/>
    <mergeCell ref="BL13:BL14"/>
    <mergeCell ref="BM13:BM14"/>
    <mergeCell ref="BN13:BN14"/>
    <mergeCell ref="BC13:BC14"/>
    <mergeCell ref="BD13:BD14"/>
    <mergeCell ref="BE13:BE14"/>
    <mergeCell ref="BF13:BF14"/>
    <mergeCell ref="BG13:BG14"/>
    <mergeCell ref="BH13:BH14"/>
    <mergeCell ref="AW13:AW14"/>
    <mergeCell ref="AX13:AX14"/>
    <mergeCell ref="AY13:AY14"/>
    <mergeCell ref="AZ13:AZ14"/>
    <mergeCell ref="BA13:BA14"/>
    <mergeCell ref="BB13:BB14"/>
    <mergeCell ref="AQ13:AQ14"/>
    <mergeCell ref="AR13:AR14"/>
    <mergeCell ref="AS13:AS14"/>
    <mergeCell ref="AT13:AT14"/>
    <mergeCell ref="AU13:AU14"/>
    <mergeCell ref="AV13:AV14"/>
    <mergeCell ref="AM13:AM14"/>
    <mergeCell ref="AN13:AN14"/>
    <mergeCell ref="AO13:AO14"/>
    <mergeCell ref="AP13:AP14"/>
    <mergeCell ref="AE13:AE14"/>
    <mergeCell ref="AF13:AF14"/>
    <mergeCell ref="AG13:AG14"/>
    <mergeCell ref="AH13:AH14"/>
    <mergeCell ref="AI13:AI14"/>
    <mergeCell ref="AJ13:AJ14"/>
    <mergeCell ref="F12:BO12"/>
    <mergeCell ref="E13:E14"/>
    <mergeCell ref="F13:F14"/>
    <mergeCell ref="G13:G14"/>
    <mergeCell ref="H13:H14"/>
    <mergeCell ref="I13:I14"/>
    <mergeCell ref="J13:J14"/>
    <mergeCell ref="K13:K14"/>
    <mergeCell ref="L13:L14"/>
    <mergeCell ref="M13:M14"/>
    <mergeCell ref="Y13:Y14"/>
    <mergeCell ref="Z13:Z14"/>
    <mergeCell ref="AA13:AA14"/>
    <mergeCell ref="AB13:AB14"/>
    <mergeCell ref="AC13:AC14"/>
    <mergeCell ref="AD13:AD14"/>
    <mergeCell ref="N13:N14"/>
    <mergeCell ref="O13:O14"/>
    <mergeCell ref="P13:P14"/>
    <mergeCell ref="Q13:Q14"/>
    <mergeCell ref="R13:R14"/>
    <mergeCell ref="S13:S14"/>
    <mergeCell ref="AK13:AK14"/>
    <mergeCell ref="AL13:AL14"/>
    <mergeCell ref="BG8:BG9"/>
    <mergeCell ref="BH8:BH9"/>
    <mergeCell ref="BI8:BI9"/>
    <mergeCell ref="BJ8:BJ9"/>
    <mergeCell ref="B10:D10"/>
    <mergeCell ref="D11:BO11"/>
    <mergeCell ref="AU8:AV8"/>
    <mergeCell ref="AW8:AX8"/>
    <mergeCell ref="AY8:AZ8"/>
    <mergeCell ref="BA8:BB8"/>
    <mergeCell ref="BE8:BE9"/>
    <mergeCell ref="BF8:BF9"/>
    <mergeCell ref="W7:W9"/>
    <mergeCell ref="X7:X9"/>
    <mergeCell ref="O7:O9"/>
    <mergeCell ref="P7:P9"/>
    <mergeCell ref="Q7:Q9"/>
    <mergeCell ref="R7:R9"/>
    <mergeCell ref="S7:S9"/>
    <mergeCell ref="T7:V8"/>
    <mergeCell ref="H7:H9"/>
    <mergeCell ref="I7:I9"/>
    <mergeCell ref="J7:K8"/>
    <mergeCell ref="L7:L9"/>
    <mergeCell ref="AE8:AF8"/>
    <mergeCell ref="AG8:AH8"/>
    <mergeCell ref="AI8:AJ8"/>
    <mergeCell ref="AK8:AL8"/>
    <mergeCell ref="Y7:AB7"/>
    <mergeCell ref="AC7:AH7"/>
    <mergeCell ref="AI7:AJ7"/>
    <mergeCell ref="AK7:AV7"/>
    <mergeCell ref="AM8:AN8"/>
    <mergeCell ref="AO8:AP8"/>
    <mergeCell ref="AQ8:AR8"/>
    <mergeCell ref="AS8:AT8"/>
    <mergeCell ref="M7:M9"/>
    <mergeCell ref="N7:N9"/>
    <mergeCell ref="B7:B9"/>
    <mergeCell ref="C7:C9"/>
    <mergeCell ref="D7:D9"/>
    <mergeCell ref="E7:E9"/>
    <mergeCell ref="F7:F9"/>
    <mergeCell ref="G7:G9"/>
    <mergeCell ref="A1:BM4"/>
    <mergeCell ref="A5:J6"/>
    <mergeCell ref="L5:BC5"/>
    <mergeCell ref="BK5:BO5"/>
    <mergeCell ref="L6:X6"/>
    <mergeCell ref="Y6:BC6"/>
    <mergeCell ref="BK6:BL8"/>
    <mergeCell ref="BM6:BN8"/>
    <mergeCell ref="BO6:BO9"/>
    <mergeCell ref="A7:A9"/>
    <mergeCell ref="AW7:BB7"/>
    <mergeCell ref="BC7:BD8"/>
    <mergeCell ref="BE7:BJ7"/>
    <mergeCell ref="Y8:Z8"/>
    <mergeCell ref="AA8:AB8"/>
    <mergeCell ref="AC8:AD8"/>
  </mergeCells>
  <pageMargins left="0.39370078740157483" right="0.39370078740157483" top="0.59055118110236227" bottom="0.39370078740157483" header="0.31496062992125984" footer="0.31496062992125984"/>
  <pageSetup paperSize="196"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1:BR28"/>
  <sheetViews>
    <sheetView showGridLines="0" topLeftCell="AQ1" zoomScale="70" zoomScaleNormal="70" workbookViewId="0">
      <selection activeCell="BD13" sqref="BD13:BD18"/>
    </sheetView>
  </sheetViews>
  <sheetFormatPr baseColWidth="10" defaultColWidth="11.42578125" defaultRowHeight="27" customHeight="1" x14ac:dyDescent="0.2"/>
  <cols>
    <col min="1" max="1" width="11.7109375" style="1298" customWidth="1"/>
    <col min="2" max="2" width="4" style="657" customWidth="1"/>
    <col min="3" max="3" width="12.85546875" style="657" customWidth="1"/>
    <col min="4" max="4" width="14.7109375" style="657" customWidth="1"/>
    <col min="5" max="5" width="10" style="657" customWidth="1"/>
    <col min="6" max="6" width="6.28515625" style="657" customWidth="1"/>
    <col min="7" max="7" width="12.28515625" style="657" customWidth="1"/>
    <col min="8" max="8" width="8.5703125" style="657" customWidth="1"/>
    <col min="9" max="9" width="13.7109375" style="657" customWidth="1"/>
    <col min="10" max="10" width="11.5703125" style="657" customWidth="1"/>
    <col min="11" max="11" width="25" style="1299" customWidth="1"/>
    <col min="12" max="12" width="20.28515625" style="656" customWidth="1"/>
    <col min="13" max="14" width="14.85546875" style="656" customWidth="1"/>
    <col min="15" max="15" width="22.140625" style="656" customWidth="1"/>
    <col min="16" max="16" width="19.7109375" style="1300" customWidth="1"/>
    <col min="17" max="17" width="23.28515625" style="1299" customWidth="1"/>
    <col min="18" max="18" width="16.5703125" style="1301" customWidth="1"/>
    <col min="19" max="19" width="24.85546875" style="1302" bestFit="1" customWidth="1"/>
    <col min="20" max="20" width="29" style="1299" customWidth="1"/>
    <col min="21" max="21" width="44" style="1299" customWidth="1"/>
    <col min="22" max="22" width="34" style="1299" customWidth="1"/>
    <col min="23" max="23" width="24.85546875" style="1311" bestFit="1" customWidth="1"/>
    <col min="24" max="25" width="24.85546875" style="1311" customWidth="1"/>
    <col min="26" max="26" width="11.7109375" style="1304" customWidth="1"/>
    <col min="27" max="27" width="18" style="658" customWidth="1"/>
    <col min="28" max="29" width="8.7109375" style="657" customWidth="1"/>
    <col min="30" max="31" width="8" style="657" customWidth="1"/>
    <col min="32" max="32" width="10.5703125" style="657" customWidth="1"/>
    <col min="33" max="33" width="9.140625" style="657" customWidth="1"/>
    <col min="34" max="35" width="7.28515625" style="657" customWidth="1"/>
    <col min="36" max="37" width="8.42578125" style="657" customWidth="1"/>
    <col min="38" max="39" width="9.5703125" style="657" customWidth="1"/>
    <col min="40" max="41" width="6.28515625" style="657" customWidth="1"/>
    <col min="42" max="43" width="5.85546875" style="657" customWidth="1"/>
    <col min="44" max="47" width="4.42578125" style="657" customWidth="1"/>
    <col min="48" max="49" width="5" style="657" customWidth="1"/>
    <col min="50" max="51" width="5.85546875" style="657" customWidth="1"/>
    <col min="52" max="53" width="6.140625" style="657" customWidth="1"/>
    <col min="54" max="55" width="10.140625" style="657" customWidth="1"/>
    <col min="56" max="57" width="6.85546875" style="657" customWidth="1"/>
    <col min="58" max="59" width="8.140625" style="657" customWidth="1"/>
    <col min="60" max="60" width="19.42578125" style="657" customWidth="1"/>
    <col min="61" max="61" width="22.7109375" style="657" customWidth="1"/>
    <col min="62" max="62" width="20.7109375" style="657" customWidth="1"/>
    <col min="63" max="63" width="14.140625" style="657" customWidth="1"/>
    <col min="64" max="64" width="21.140625" style="657" customWidth="1"/>
    <col min="65" max="65" width="21.42578125" style="657" customWidth="1"/>
    <col min="66" max="66" width="16.42578125" style="1308" customWidth="1"/>
    <col min="67" max="67" width="14.85546875" style="1308" customWidth="1"/>
    <col min="68" max="68" width="18.42578125" style="1309" customWidth="1"/>
    <col min="69" max="69" width="20.85546875" style="1309" customWidth="1"/>
    <col min="70" max="70" width="20.85546875" style="1310" customWidth="1"/>
    <col min="71" max="16384" width="11.42578125" style="657"/>
  </cols>
  <sheetData>
    <row r="1" spans="1:70" ht="20.25" customHeight="1" x14ac:dyDescent="0.25">
      <c r="A1" s="4850" t="s">
        <v>2261</v>
      </c>
      <c r="B1" s="4850"/>
      <c r="C1" s="4850"/>
      <c r="D1" s="4850"/>
      <c r="E1" s="4850"/>
      <c r="F1" s="4850"/>
      <c r="G1" s="4850"/>
      <c r="H1" s="4850"/>
      <c r="I1" s="4850"/>
      <c r="J1" s="4850"/>
      <c r="K1" s="4850"/>
      <c r="L1" s="4850"/>
      <c r="M1" s="4850"/>
      <c r="N1" s="4850"/>
      <c r="O1" s="4850"/>
      <c r="P1" s="4850"/>
      <c r="Q1" s="4850"/>
      <c r="R1" s="4850"/>
      <c r="S1" s="4850"/>
      <c r="T1" s="4850"/>
      <c r="U1" s="4850"/>
      <c r="V1" s="4850"/>
      <c r="W1" s="4850"/>
      <c r="X1" s="4850"/>
      <c r="Y1" s="4850"/>
      <c r="Z1" s="4850"/>
      <c r="AA1" s="4850"/>
      <c r="AB1" s="4850"/>
      <c r="AC1" s="4850"/>
      <c r="AD1" s="4850"/>
      <c r="AE1" s="4850"/>
      <c r="AF1" s="4850"/>
      <c r="AG1" s="4850"/>
      <c r="AH1" s="4850"/>
      <c r="AI1" s="4850"/>
      <c r="AJ1" s="4850"/>
      <c r="AK1" s="4850"/>
      <c r="AL1" s="4850"/>
      <c r="AM1" s="4850"/>
      <c r="AN1" s="4850"/>
      <c r="AO1" s="4850"/>
      <c r="AP1" s="4850"/>
      <c r="AQ1" s="4850"/>
      <c r="AR1" s="4850"/>
      <c r="AS1" s="4850"/>
      <c r="AT1" s="4850"/>
      <c r="AU1" s="4850"/>
      <c r="AV1" s="4850"/>
      <c r="AW1" s="4850"/>
      <c r="AX1" s="4850"/>
      <c r="AY1" s="4850"/>
      <c r="AZ1" s="4850"/>
      <c r="BA1" s="4850"/>
      <c r="BB1" s="4850"/>
      <c r="BC1" s="4850"/>
      <c r="BD1" s="4850"/>
      <c r="BE1" s="4850"/>
      <c r="BF1" s="4850"/>
      <c r="BG1" s="4850"/>
      <c r="BH1" s="4850"/>
      <c r="BI1" s="4850"/>
      <c r="BJ1" s="4850"/>
      <c r="BK1" s="4850"/>
      <c r="BL1" s="4850"/>
      <c r="BM1" s="4850"/>
      <c r="BN1" s="4850"/>
      <c r="BO1" s="4850"/>
      <c r="BP1" s="4851"/>
      <c r="BQ1" s="4" t="s">
        <v>1</v>
      </c>
      <c r="BR1" s="4" t="s">
        <v>2</v>
      </c>
    </row>
    <row r="2" spans="1:70" ht="20.25" customHeight="1" x14ac:dyDescent="0.25">
      <c r="A2" s="4850"/>
      <c r="B2" s="4850"/>
      <c r="C2" s="4850"/>
      <c r="D2" s="4850"/>
      <c r="E2" s="4850"/>
      <c r="F2" s="4850"/>
      <c r="G2" s="4850"/>
      <c r="H2" s="4850"/>
      <c r="I2" s="4850"/>
      <c r="J2" s="4850"/>
      <c r="K2" s="4850"/>
      <c r="L2" s="4850"/>
      <c r="M2" s="4850"/>
      <c r="N2" s="4850"/>
      <c r="O2" s="4850"/>
      <c r="P2" s="4850"/>
      <c r="Q2" s="4850"/>
      <c r="R2" s="4850"/>
      <c r="S2" s="4850"/>
      <c r="T2" s="4850"/>
      <c r="U2" s="4850"/>
      <c r="V2" s="4850"/>
      <c r="W2" s="4850"/>
      <c r="X2" s="4850"/>
      <c r="Y2" s="4850"/>
      <c r="Z2" s="4850"/>
      <c r="AA2" s="4850"/>
      <c r="AB2" s="4850"/>
      <c r="AC2" s="4850"/>
      <c r="AD2" s="4850"/>
      <c r="AE2" s="4850"/>
      <c r="AF2" s="4850"/>
      <c r="AG2" s="4850"/>
      <c r="AH2" s="4850"/>
      <c r="AI2" s="4850"/>
      <c r="AJ2" s="4850"/>
      <c r="AK2" s="4850"/>
      <c r="AL2" s="4850"/>
      <c r="AM2" s="4850"/>
      <c r="AN2" s="4850"/>
      <c r="AO2" s="4850"/>
      <c r="AP2" s="4850"/>
      <c r="AQ2" s="4850"/>
      <c r="AR2" s="4850"/>
      <c r="AS2" s="4850"/>
      <c r="AT2" s="4850"/>
      <c r="AU2" s="4850"/>
      <c r="AV2" s="4850"/>
      <c r="AW2" s="4850"/>
      <c r="AX2" s="4850"/>
      <c r="AY2" s="4850"/>
      <c r="AZ2" s="4850"/>
      <c r="BA2" s="4850"/>
      <c r="BB2" s="4850"/>
      <c r="BC2" s="4850"/>
      <c r="BD2" s="4850"/>
      <c r="BE2" s="4850"/>
      <c r="BF2" s="4850"/>
      <c r="BG2" s="4850"/>
      <c r="BH2" s="4850"/>
      <c r="BI2" s="4850"/>
      <c r="BJ2" s="4850"/>
      <c r="BK2" s="4850"/>
      <c r="BL2" s="4850"/>
      <c r="BM2" s="4850"/>
      <c r="BN2" s="4850"/>
      <c r="BO2" s="4850"/>
      <c r="BP2" s="4851"/>
      <c r="BQ2" s="4" t="s">
        <v>3</v>
      </c>
      <c r="BR2" s="6">
        <v>6</v>
      </c>
    </row>
    <row r="3" spans="1:70" ht="20.25" customHeight="1" x14ac:dyDescent="0.25">
      <c r="A3" s="4850"/>
      <c r="B3" s="4850"/>
      <c r="C3" s="4850"/>
      <c r="D3" s="4850"/>
      <c r="E3" s="4850"/>
      <c r="F3" s="4850"/>
      <c r="G3" s="4850"/>
      <c r="H3" s="4850"/>
      <c r="I3" s="4850"/>
      <c r="J3" s="4850"/>
      <c r="K3" s="4850"/>
      <c r="L3" s="4850"/>
      <c r="M3" s="4850"/>
      <c r="N3" s="4850"/>
      <c r="O3" s="4850"/>
      <c r="P3" s="4850"/>
      <c r="Q3" s="4850"/>
      <c r="R3" s="4850"/>
      <c r="S3" s="4850"/>
      <c r="T3" s="4850"/>
      <c r="U3" s="4850"/>
      <c r="V3" s="4850"/>
      <c r="W3" s="4850"/>
      <c r="X3" s="4850"/>
      <c r="Y3" s="4850"/>
      <c r="Z3" s="4850"/>
      <c r="AA3" s="4850"/>
      <c r="AB3" s="4850"/>
      <c r="AC3" s="4850"/>
      <c r="AD3" s="4850"/>
      <c r="AE3" s="4850"/>
      <c r="AF3" s="4850"/>
      <c r="AG3" s="4850"/>
      <c r="AH3" s="4850"/>
      <c r="AI3" s="4850"/>
      <c r="AJ3" s="4850"/>
      <c r="AK3" s="4850"/>
      <c r="AL3" s="4850"/>
      <c r="AM3" s="4850"/>
      <c r="AN3" s="4850"/>
      <c r="AO3" s="4850"/>
      <c r="AP3" s="4850"/>
      <c r="AQ3" s="4850"/>
      <c r="AR3" s="4850"/>
      <c r="AS3" s="4850"/>
      <c r="AT3" s="4850"/>
      <c r="AU3" s="4850"/>
      <c r="AV3" s="4850"/>
      <c r="AW3" s="4850"/>
      <c r="AX3" s="4850"/>
      <c r="AY3" s="4850"/>
      <c r="AZ3" s="4850"/>
      <c r="BA3" s="4850"/>
      <c r="BB3" s="4850"/>
      <c r="BC3" s="4850"/>
      <c r="BD3" s="4850"/>
      <c r="BE3" s="4850"/>
      <c r="BF3" s="4850"/>
      <c r="BG3" s="4850"/>
      <c r="BH3" s="4850"/>
      <c r="BI3" s="4850"/>
      <c r="BJ3" s="4850"/>
      <c r="BK3" s="4850"/>
      <c r="BL3" s="4850"/>
      <c r="BM3" s="4850"/>
      <c r="BN3" s="4850"/>
      <c r="BO3" s="4850"/>
      <c r="BP3" s="4851"/>
      <c r="BQ3" s="4" t="s">
        <v>4</v>
      </c>
      <c r="BR3" s="7" t="s">
        <v>5</v>
      </c>
    </row>
    <row r="4" spans="1:70" ht="20.25" customHeight="1" x14ac:dyDescent="0.2">
      <c r="A4" s="4852"/>
      <c r="B4" s="4852"/>
      <c r="C4" s="4852"/>
      <c r="D4" s="4852"/>
      <c r="E4" s="4852"/>
      <c r="F4" s="4852"/>
      <c r="G4" s="4852"/>
      <c r="H4" s="4852"/>
      <c r="I4" s="4852"/>
      <c r="J4" s="4852"/>
      <c r="K4" s="4852"/>
      <c r="L4" s="4852"/>
      <c r="M4" s="4852"/>
      <c r="N4" s="4852"/>
      <c r="O4" s="4852"/>
      <c r="P4" s="4852"/>
      <c r="Q4" s="4852"/>
      <c r="R4" s="4852"/>
      <c r="S4" s="4852"/>
      <c r="T4" s="4852"/>
      <c r="U4" s="4852"/>
      <c r="V4" s="4852"/>
      <c r="W4" s="4852"/>
      <c r="X4" s="4852"/>
      <c r="Y4" s="4852"/>
      <c r="Z4" s="4852"/>
      <c r="AA4" s="4852"/>
      <c r="AB4" s="4852"/>
      <c r="AC4" s="4852"/>
      <c r="AD4" s="4852"/>
      <c r="AE4" s="4852"/>
      <c r="AF4" s="4852"/>
      <c r="AG4" s="4852"/>
      <c r="AH4" s="4852"/>
      <c r="AI4" s="4852"/>
      <c r="AJ4" s="4852"/>
      <c r="AK4" s="4852"/>
      <c r="AL4" s="4852"/>
      <c r="AM4" s="4852"/>
      <c r="AN4" s="4852"/>
      <c r="AO4" s="4852"/>
      <c r="AP4" s="4852"/>
      <c r="AQ4" s="4852"/>
      <c r="AR4" s="4852"/>
      <c r="AS4" s="4852"/>
      <c r="AT4" s="4852"/>
      <c r="AU4" s="4852"/>
      <c r="AV4" s="4852"/>
      <c r="AW4" s="4852"/>
      <c r="AX4" s="4852"/>
      <c r="AY4" s="4852"/>
      <c r="AZ4" s="4852"/>
      <c r="BA4" s="4852"/>
      <c r="BB4" s="4852"/>
      <c r="BC4" s="4852"/>
      <c r="BD4" s="4852"/>
      <c r="BE4" s="4852"/>
      <c r="BF4" s="4852"/>
      <c r="BG4" s="4852"/>
      <c r="BH4" s="4852"/>
      <c r="BI4" s="4852"/>
      <c r="BJ4" s="4852"/>
      <c r="BK4" s="4852"/>
      <c r="BL4" s="4852"/>
      <c r="BM4" s="4852"/>
      <c r="BN4" s="4852"/>
      <c r="BO4" s="4852"/>
      <c r="BP4" s="4853"/>
      <c r="BQ4" s="1176" t="s">
        <v>6</v>
      </c>
      <c r="BR4" s="10" t="s">
        <v>7</v>
      </c>
    </row>
    <row r="5" spans="1:70" ht="15" x14ac:dyDescent="0.2">
      <c r="A5" s="3779" t="s">
        <v>8</v>
      </c>
      <c r="B5" s="3779"/>
      <c r="C5" s="3779"/>
      <c r="D5" s="3779"/>
      <c r="E5" s="3779"/>
      <c r="F5" s="3779"/>
      <c r="G5" s="3779"/>
      <c r="H5" s="3779"/>
      <c r="I5" s="3779"/>
      <c r="J5" s="3779"/>
      <c r="K5" s="3779"/>
      <c r="L5" s="3779"/>
      <c r="M5" s="3779"/>
      <c r="N5" s="1336"/>
      <c r="O5" s="3781" t="s">
        <v>9</v>
      </c>
      <c r="P5" s="3781"/>
      <c r="Q5" s="3781"/>
      <c r="R5" s="3781"/>
      <c r="S5" s="3781"/>
      <c r="T5" s="3781"/>
      <c r="U5" s="3781"/>
      <c r="V5" s="3781"/>
      <c r="W5" s="3781"/>
      <c r="X5" s="3781"/>
      <c r="Y5" s="3781"/>
      <c r="Z5" s="3781"/>
      <c r="AA5" s="3781"/>
      <c r="AB5" s="3781"/>
      <c r="AC5" s="3781"/>
      <c r="AD5" s="3781"/>
      <c r="AE5" s="3781"/>
      <c r="AF5" s="3781"/>
      <c r="AG5" s="3781"/>
      <c r="AH5" s="3781"/>
      <c r="AI5" s="3781"/>
      <c r="AJ5" s="3781"/>
      <c r="AK5" s="3781"/>
      <c r="AL5" s="3781"/>
      <c r="AM5" s="3781"/>
      <c r="AN5" s="3781"/>
      <c r="AO5" s="3781"/>
      <c r="AP5" s="3781"/>
      <c r="AQ5" s="3781"/>
      <c r="AR5" s="3781"/>
      <c r="AS5" s="3781"/>
      <c r="AT5" s="3781"/>
      <c r="AU5" s="3781"/>
      <c r="AV5" s="3781"/>
      <c r="AW5" s="3781"/>
      <c r="AX5" s="3781"/>
      <c r="AY5" s="3781"/>
      <c r="AZ5" s="3781"/>
      <c r="BA5" s="3781"/>
      <c r="BB5" s="3781"/>
      <c r="BC5" s="3781"/>
      <c r="BD5" s="3781"/>
      <c r="BE5" s="3781"/>
      <c r="BF5" s="3781"/>
      <c r="BG5" s="3781"/>
      <c r="BH5" s="3781"/>
      <c r="BI5" s="3781"/>
      <c r="BJ5" s="3781"/>
      <c r="BK5" s="3781"/>
      <c r="BL5" s="3781"/>
      <c r="BM5" s="3781"/>
      <c r="BN5" s="3781"/>
      <c r="BO5" s="3781"/>
      <c r="BP5" s="3781"/>
      <c r="BQ5" s="3781"/>
      <c r="BR5" s="3781"/>
    </row>
    <row r="6" spans="1:70" ht="15" x14ac:dyDescent="0.2">
      <c r="A6" s="4483"/>
      <c r="B6" s="4483"/>
      <c r="C6" s="4483"/>
      <c r="D6" s="4483"/>
      <c r="E6" s="4483"/>
      <c r="F6" s="4483"/>
      <c r="G6" s="4483"/>
      <c r="H6" s="4483"/>
      <c r="I6" s="4483"/>
      <c r="J6" s="4483"/>
      <c r="K6" s="4483"/>
      <c r="L6" s="4483"/>
      <c r="M6" s="4483"/>
      <c r="N6" s="930"/>
      <c r="O6" s="2244"/>
      <c r="P6" s="2243"/>
      <c r="Q6" s="2243"/>
      <c r="R6" s="2243"/>
      <c r="S6" s="2243"/>
      <c r="T6" s="2243"/>
      <c r="U6" s="2243"/>
      <c r="V6" s="2243"/>
      <c r="W6" s="2243"/>
      <c r="X6" s="2243"/>
      <c r="Y6" s="2243"/>
      <c r="Z6" s="2243"/>
      <c r="AA6" s="2243"/>
      <c r="AB6" s="3848" t="s">
        <v>449</v>
      </c>
      <c r="AC6" s="4483"/>
      <c r="AD6" s="4483"/>
      <c r="AE6" s="4483"/>
      <c r="AF6" s="4483"/>
      <c r="AG6" s="4483"/>
      <c r="AH6" s="4483"/>
      <c r="AI6" s="4483"/>
      <c r="AJ6" s="4483"/>
      <c r="AK6" s="4483"/>
      <c r="AL6" s="4483"/>
      <c r="AM6" s="4483"/>
      <c r="AN6" s="4483"/>
      <c r="AO6" s="4483"/>
      <c r="AP6" s="4483"/>
      <c r="AQ6" s="4483"/>
      <c r="AR6" s="4483"/>
      <c r="AS6" s="4483"/>
      <c r="AT6" s="4483"/>
      <c r="AU6" s="4483"/>
      <c r="AV6" s="4483"/>
      <c r="AW6" s="4483"/>
      <c r="AX6" s="4483"/>
      <c r="AY6" s="4483"/>
      <c r="AZ6" s="4483"/>
      <c r="BA6" s="4483"/>
      <c r="BB6" s="4483"/>
      <c r="BC6" s="4483"/>
      <c r="BD6" s="3849"/>
      <c r="BE6" s="930"/>
      <c r="BF6" s="930"/>
      <c r="BG6" s="930"/>
      <c r="BH6" s="930"/>
      <c r="BI6" s="930"/>
      <c r="BJ6" s="930"/>
      <c r="BK6" s="930"/>
      <c r="BL6" s="930"/>
      <c r="BM6" s="930"/>
      <c r="BN6" s="2243"/>
      <c r="BO6" s="2243"/>
      <c r="BP6" s="2243"/>
      <c r="BQ6" s="2243"/>
      <c r="BR6" s="2242"/>
    </row>
    <row r="7" spans="1:70" ht="15" customHeight="1" x14ac:dyDescent="0.2">
      <c r="A7" s="2748" t="s">
        <v>10</v>
      </c>
      <c r="B7" s="2632" t="s">
        <v>11</v>
      </c>
      <c r="C7" s="2632"/>
      <c r="D7" s="2632" t="s">
        <v>10</v>
      </c>
      <c r="E7" s="2632" t="s">
        <v>12</v>
      </c>
      <c r="F7" s="2632"/>
      <c r="G7" s="2632" t="s">
        <v>10</v>
      </c>
      <c r="H7" s="2632" t="s">
        <v>13</v>
      </c>
      <c r="I7" s="2632"/>
      <c r="J7" s="2632" t="s">
        <v>10</v>
      </c>
      <c r="K7" s="2632" t="s">
        <v>14</v>
      </c>
      <c r="L7" s="2632" t="s">
        <v>15</v>
      </c>
      <c r="M7" s="2632" t="s">
        <v>16</v>
      </c>
      <c r="N7" s="2632"/>
      <c r="O7" s="2632" t="s">
        <v>17</v>
      </c>
      <c r="P7" s="2632" t="s">
        <v>108</v>
      </c>
      <c r="Q7" s="2632" t="s">
        <v>9</v>
      </c>
      <c r="R7" s="2749" t="s">
        <v>19</v>
      </c>
      <c r="S7" s="2750" t="s">
        <v>20</v>
      </c>
      <c r="T7" s="2632" t="s">
        <v>21</v>
      </c>
      <c r="U7" s="2632" t="s">
        <v>22</v>
      </c>
      <c r="V7" s="2632" t="s">
        <v>23</v>
      </c>
      <c r="W7" s="2750" t="s">
        <v>20</v>
      </c>
      <c r="X7" s="2750"/>
      <c r="Y7" s="2750"/>
      <c r="Z7" s="654"/>
      <c r="AA7" s="2632" t="s">
        <v>24</v>
      </c>
      <c r="AB7" s="3201" t="s">
        <v>25</v>
      </c>
      <c r="AC7" s="3202"/>
      <c r="AD7" s="3202"/>
      <c r="AE7" s="3203"/>
      <c r="AF7" s="3209" t="s">
        <v>26</v>
      </c>
      <c r="AG7" s="3210"/>
      <c r="AH7" s="3210"/>
      <c r="AI7" s="3210"/>
      <c r="AJ7" s="3210"/>
      <c r="AK7" s="3210"/>
      <c r="AL7" s="3210"/>
      <c r="AM7" s="3211"/>
      <c r="AN7" s="3204" t="s">
        <v>27</v>
      </c>
      <c r="AO7" s="3205"/>
      <c r="AP7" s="3205"/>
      <c r="AQ7" s="3205"/>
      <c r="AR7" s="3205"/>
      <c r="AS7" s="3205"/>
      <c r="AT7" s="3205"/>
      <c r="AU7" s="3205"/>
      <c r="AV7" s="3205"/>
      <c r="AW7" s="3205"/>
      <c r="AX7" s="3205"/>
      <c r="AY7" s="3206"/>
      <c r="AZ7" s="3209" t="s">
        <v>28</v>
      </c>
      <c r="BA7" s="3210"/>
      <c r="BB7" s="3210"/>
      <c r="BC7" s="3210"/>
      <c r="BD7" s="3210"/>
      <c r="BE7" s="3211"/>
      <c r="BF7" s="3197" t="s">
        <v>29</v>
      </c>
      <c r="BG7" s="3198"/>
      <c r="BH7" s="4854" t="s">
        <v>30</v>
      </c>
      <c r="BI7" s="4854"/>
      <c r="BJ7" s="4854"/>
      <c r="BK7" s="4854"/>
      <c r="BL7" s="4854"/>
      <c r="BM7" s="4854"/>
      <c r="BN7" s="4855" t="s">
        <v>31</v>
      </c>
      <c r="BO7" s="4855"/>
      <c r="BP7" s="4855" t="s">
        <v>32</v>
      </c>
      <c r="BQ7" s="4855"/>
      <c r="BR7" s="4478" t="s">
        <v>33</v>
      </c>
    </row>
    <row r="8" spans="1:70" ht="116.25" customHeight="1" x14ac:dyDescent="0.2">
      <c r="A8" s="2748"/>
      <c r="B8" s="2632"/>
      <c r="C8" s="2632"/>
      <c r="D8" s="2632"/>
      <c r="E8" s="2632"/>
      <c r="F8" s="2632"/>
      <c r="G8" s="2632"/>
      <c r="H8" s="2632"/>
      <c r="I8" s="2632"/>
      <c r="J8" s="2632"/>
      <c r="K8" s="2632"/>
      <c r="L8" s="2632"/>
      <c r="M8" s="2632" t="s">
        <v>58</v>
      </c>
      <c r="N8" s="2632" t="s">
        <v>59</v>
      </c>
      <c r="O8" s="2632"/>
      <c r="P8" s="2632"/>
      <c r="Q8" s="2632"/>
      <c r="R8" s="2749"/>
      <c r="S8" s="2750"/>
      <c r="T8" s="2632"/>
      <c r="U8" s="2632"/>
      <c r="V8" s="2632"/>
      <c r="W8" s="2689" t="s">
        <v>34</v>
      </c>
      <c r="X8" s="2689" t="s">
        <v>35</v>
      </c>
      <c r="Y8" s="2689" t="s">
        <v>36</v>
      </c>
      <c r="Z8" s="2748" t="s">
        <v>10</v>
      </c>
      <c r="AA8" s="2632"/>
      <c r="AB8" s="2779" t="s">
        <v>37</v>
      </c>
      <c r="AC8" s="2779"/>
      <c r="AD8" s="4797" t="s">
        <v>38</v>
      </c>
      <c r="AE8" s="4797"/>
      <c r="AF8" s="2779" t="s">
        <v>39</v>
      </c>
      <c r="AG8" s="2779"/>
      <c r="AH8" s="2779" t="s">
        <v>40</v>
      </c>
      <c r="AI8" s="2779"/>
      <c r="AJ8" s="2779" t="s">
        <v>754</v>
      </c>
      <c r="AK8" s="2779"/>
      <c r="AL8" s="2779" t="s">
        <v>42</v>
      </c>
      <c r="AM8" s="2779"/>
      <c r="AN8" s="2779" t="s">
        <v>43</v>
      </c>
      <c r="AO8" s="2779"/>
      <c r="AP8" s="2779" t="s">
        <v>44</v>
      </c>
      <c r="AQ8" s="2779"/>
      <c r="AR8" s="2779" t="s">
        <v>45</v>
      </c>
      <c r="AS8" s="2779"/>
      <c r="AT8" s="2779" t="s">
        <v>46</v>
      </c>
      <c r="AU8" s="2779"/>
      <c r="AV8" s="2779" t="s">
        <v>47</v>
      </c>
      <c r="AW8" s="2779"/>
      <c r="AX8" s="2779" t="s">
        <v>48</v>
      </c>
      <c r="AY8" s="2779"/>
      <c r="AZ8" s="2779" t="s">
        <v>49</v>
      </c>
      <c r="BA8" s="2779"/>
      <c r="BB8" s="2779" t="s">
        <v>50</v>
      </c>
      <c r="BC8" s="2779"/>
      <c r="BD8" s="2779" t="s">
        <v>51</v>
      </c>
      <c r="BE8" s="2779"/>
      <c r="BF8" s="3199"/>
      <c r="BG8" s="3200"/>
      <c r="BH8" s="2700" t="s">
        <v>52</v>
      </c>
      <c r="BI8" s="2701" t="s">
        <v>53</v>
      </c>
      <c r="BJ8" s="2700" t="s">
        <v>54</v>
      </c>
      <c r="BK8" s="2778" t="s">
        <v>55</v>
      </c>
      <c r="BL8" s="2700" t="s">
        <v>56</v>
      </c>
      <c r="BM8" s="2700" t="s">
        <v>57</v>
      </c>
      <c r="BN8" s="4855"/>
      <c r="BO8" s="4855"/>
      <c r="BP8" s="4855"/>
      <c r="BQ8" s="4855"/>
      <c r="BR8" s="4478"/>
    </row>
    <row r="9" spans="1:70" ht="27" customHeight="1" x14ac:dyDescent="0.2">
      <c r="A9" s="2748"/>
      <c r="B9" s="2632"/>
      <c r="C9" s="2632"/>
      <c r="D9" s="2632"/>
      <c r="E9" s="2632"/>
      <c r="F9" s="2632"/>
      <c r="G9" s="2632"/>
      <c r="H9" s="2632"/>
      <c r="I9" s="2632"/>
      <c r="J9" s="2632"/>
      <c r="K9" s="2632"/>
      <c r="L9" s="2632"/>
      <c r="M9" s="2632"/>
      <c r="N9" s="2632"/>
      <c r="O9" s="2632"/>
      <c r="P9" s="2632"/>
      <c r="Q9" s="2632"/>
      <c r="R9" s="2749"/>
      <c r="S9" s="2750"/>
      <c r="T9" s="2632"/>
      <c r="U9" s="2632"/>
      <c r="V9" s="2632"/>
      <c r="W9" s="2689"/>
      <c r="X9" s="2689"/>
      <c r="Y9" s="2689"/>
      <c r="Z9" s="2748"/>
      <c r="AA9" s="2632"/>
      <c r="AB9" s="529" t="s">
        <v>58</v>
      </c>
      <c r="AC9" s="529" t="s">
        <v>59</v>
      </c>
      <c r="AD9" s="2241" t="s">
        <v>58</v>
      </c>
      <c r="AE9" s="2241" t="s">
        <v>59</v>
      </c>
      <c r="AF9" s="2241" t="s">
        <v>58</v>
      </c>
      <c r="AG9" s="2241" t="s">
        <v>59</v>
      </c>
      <c r="AH9" s="2241" t="s">
        <v>58</v>
      </c>
      <c r="AI9" s="2241" t="s">
        <v>59</v>
      </c>
      <c r="AJ9" s="2241" t="s">
        <v>58</v>
      </c>
      <c r="AK9" s="2241" t="s">
        <v>59</v>
      </c>
      <c r="AL9" s="2241" t="s">
        <v>58</v>
      </c>
      <c r="AM9" s="2241" t="s">
        <v>59</v>
      </c>
      <c r="AN9" s="2241" t="s">
        <v>58</v>
      </c>
      <c r="AO9" s="2241" t="s">
        <v>59</v>
      </c>
      <c r="AP9" s="2241" t="s">
        <v>58</v>
      </c>
      <c r="AQ9" s="2241" t="s">
        <v>59</v>
      </c>
      <c r="AR9" s="2241" t="s">
        <v>58</v>
      </c>
      <c r="AS9" s="2241" t="s">
        <v>59</v>
      </c>
      <c r="AT9" s="2241" t="s">
        <v>58</v>
      </c>
      <c r="AU9" s="2241" t="s">
        <v>59</v>
      </c>
      <c r="AV9" s="2241" t="s">
        <v>58</v>
      </c>
      <c r="AW9" s="2241" t="s">
        <v>59</v>
      </c>
      <c r="AX9" s="2241" t="s">
        <v>58</v>
      </c>
      <c r="AY9" s="2241" t="s">
        <v>59</v>
      </c>
      <c r="AZ9" s="2241" t="s">
        <v>58</v>
      </c>
      <c r="BA9" s="2241" t="s">
        <v>59</v>
      </c>
      <c r="BB9" s="2241" t="s">
        <v>58</v>
      </c>
      <c r="BC9" s="2241" t="s">
        <v>59</v>
      </c>
      <c r="BD9" s="2241" t="s">
        <v>58</v>
      </c>
      <c r="BE9" s="2241" t="s">
        <v>59</v>
      </c>
      <c r="BF9" s="2241" t="s">
        <v>58</v>
      </c>
      <c r="BG9" s="2241" t="s">
        <v>59</v>
      </c>
      <c r="BH9" s="2700"/>
      <c r="BI9" s="2701"/>
      <c r="BJ9" s="2700"/>
      <c r="BK9" s="2778"/>
      <c r="BL9" s="2700"/>
      <c r="BM9" s="2700"/>
      <c r="BN9" s="2241" t="s">
        <v>58</v>
      </c>
      <c r="BO9" s="2241" t="s">
        <v>59</v>
      </c>
      <c r="BP9" s="2241" t="s">
        <v>58</v>
      </c>
      <c r="BQ9" s="2241" t="s">
        <v>59</v>
      </c>
      <c r="BR9" s="661"/>
    </row>
    <row r="10" spans="1:70" s="2" customFormat="1" ht="15.75" x14ac:dyDescent="0.2">
      <c r="A10" s="2240">
        <v>4</v>
      </c>
      <c r="B10" s="2239" t="s">
        <v>2260</v>
      </c>
      <c r="C10" s="2232"/>
      <c r="D10" s="2232"/>
      <c r="E10" s="2232"/>
      <c r="F10" s="2232"/>
      <c r="G10" s="2232"/>
      <c r="H10" s="2232"/>
      <c r="I10" s="2232"/>
      <c r="J10" s="2232"/>
      <c r="K10" s="2236"/>
      <c r="L10" s="2232"/>
      <c r="M10" s="2232"/>
      <c r="N10" s="2232"/>
      <c r="O10" s="2232"/>
      <c r="P10" s="2232"/>
      <c r="Q10" s="2233"/>
      <c r="R10" s="2236"/>
      <c r="S10" s="2238"/>
      <c r="T10" s="2237"/>
      <c r="U10" s="2236"/>
      <c r="V10" s="2236"/>
      <c r="W10" s="2236"/>
      <c r="X10" s="2236"/>
      <c r="Y10" s="2236"/>
      <c r="Z10" s="2235"/>
      <c r="AA10" s="2235"/>
      <c r="AB10" s="2235"/>
      <c r="AC10" s="2235"/>
      <c r="AD10" s="2234"/>
      <c r="AE10" s="2234"/>
      <c r="AF10" s="2233"/>
      <c r="AG10" s="2233"/>
      <c r="AH10" s="2232"/>
      <c r="AI10" s="2232"/>
      <c r="AJ10" s="2232"/>
      <c r="AK10" s="2232"/>
      <c r="AL10" s="2232"/>
      <c r="AM10" s="2232"/>
      <c r="AN10" s="2232"/>
      <c r="AO10" s="2232"/>
      <c r="AP10" s="2232"/>
      <c r="AQ10" s="2232"/>
      <c r="AR10" s="2232"/>
      <c r="AS10" s="2232"/>
      <c r="AT10" s="2232"/>
      <c r="AU10" s="2232"/>
      <c r="AV10" s="2232"/>
      <c r="AW10" s="2232"/>
      <c r="AX10" s="2232"/>
      <c r="AY10" s="2232"/>
      <c r="AZ10" s="2232"/>
      <c r="BA10" s="2232"/>
      <c r="BB10" s="2232"/>
      <c r="BC10" s="2232"/>
      <c r="BD10" s="2232"/>
      <c r="BE10" s="2232"/>
      <c r="BF10" s="2232"/>
      <c r="BG10" s="2232"/>
      <c r="BH10" s="2232"/>
      <c r="BI10" s="2232"/>
      <c r="BJ10" s="2232"/>
      <c r="BK10" s="2232"/>
      <c r="BL10" s="2232"/>
      <c r="BM10" s="2232"/>
      <c r="BN10" s="2232"/>
      <c r="BO10" s="2232"/>
      <c r="BP10" s="2232"/>
      <c r="BQ10" s="2232"/>
      <c r="BR10" s="2232"/>
    </row>
    <row r="11" spans="1:70" s="656" customFormat="1" ht="21" customHeight="1" x14ac:dyDescent="0.2">
      <c r="A11" s="2231"/>
      <c r="B11" s="1364"/>
      <c r="C11" s="1364"/>
      <c r="D11" s="2230">
        <v>23</v>
      </c>
      <c r="E11" s="1873" t="s">
        <v>2259</v>
      </c>
      <c r="F11" s="1873"/>
      <c r="G11" s="1873"/>
      <c r="H11" s="1873"/>
      <c r="I11" s="1873"/>
      <c r="J11" s="1873"/>
      <c r="K11" s="2227"/>
      <c r="L11" s="1873"/>
      <c r="M11" s="1873"/>
      <c r="N11" s="1873"/>
      <c r="O11" s="1873"/>
      <c r="P11" s="2225"/>
      <c r="Q11" s="2227"/>
      <c r="R11" s="2229"/>
      <c r="S11" s="2228"/>
      <c r="T11" s="2227"/>
      <c r="U11" s="2227"/>
      <c r="V11" s="2227"/>
      <c r="W11" s="2226"/>
      <c r="X11" s="2226"/>
      <c r="Y11" s="2226"/>
      <c r="Z11" s="1872"/>
      <c r="AA11" s="2225"/>
      <c r="AB11" s="1873"/>
      <c r="AC11" s="1873"/>
      <c r="AD11" s="1873"/>
      <c r="AE11" s="1873"/>
      <c r="AF11" s="1873"/>
      <c r="AG11" s="1873"/>
      <c r="AH11" s="1873"/>
      <c r="AI11" s="1873"/>
      <c r="AJ11" s="1873"/>
      <c r="AK11" s="1873"/>
      <c r="AL11" s="1873"/>
      <c r="AM11" s="1873"/>
      <c r="AN11" s="1873"/>
      <c r="AO11" s="1873"/>
      <c r="AP11" s="1873"/>
      <c r="AQ11" s="1873"/>
      <c r="AR11" s="1873"/>
      <c r="AS11" s="1873"/>
      <c r="AT11" s="1873"/>
      <c r="AU11" s="1873"/>
      <c r="AV11" s="1873"/>
      <c r="AW11" s="1873"/>
      <c r="AX11" s="1873"/>
      <c r="AY11" s="1873"/>
      <c r="AZ11" s="1873"/>
      <c r="BA11" s="1873"/>
      <c r="BB11" s="1873"/>
      <c r="BC11" s="1873"/>
      <c r="BD11" s="1873"/>
      <c r="BE11" s="1873"/>
      <c r="BF11" s="1873"/>
      <c r="BG11" s="1873"/>
      <c r="BH11" s="1873"/>
      <c r="BI11" s="1873"/>
      <c r="BJ11" s="1873"/>
      <c r="BK11" s="1873"/>
      <c r="BL11" s="1873"/>
      <c r="BM11" s="1873"/>
      <c r="BN11" s="2224"/>
      <c r="BO11" s="2224"/>
      <c r="BP11" s="2224"/>
      <c r="BQ11" s="2224"/>
      <c r="BR11" s="2223"/>
    </row>
    <row r="12" spans="1:70" s="656" customFormat="1" ht="17.25" customHeight="1" x14ac:dyDescent="0.2">
      <c r="A12" s="2222"/>
      <c r="B12" s="1376"/>
      <c r="C12" s="1376"/>
      <c r="D12" s="1213"/>
      <c r="E12" s="1376"/>
      <c r="F12" s="1376"/>
      <c r="G12" s="1401">
        <v>77</v>
      </c>
      <c r="H12" s="1366" t="s">
        <v>2258</v>
      </c>
      <c r="I12" s="1368"/>
      <c r="J12" s="1368"/>
      <c r="K12" s="1368"/>
      <c r="L12" s="1366"/>
      <c r="M12" s="1366"/>
      <c r="N12" s="1366"/>
      <c r="O12" s="1366"/>
      <c r="P12" s="1367"/>
      <c r="Q12" s="1368"/>
      <c r="R12" s="2221"/>
      <c r="S12" s="1370"/>
      <c r="T12" s="1368"/>
      <c r="U12" s="1368"/>
      <c r="V12" s="1368"/>
      <c r="W12" s="1978"/>
      <c r="X12" s="1978"/>
      <c r="Y12" s="1978"/>
      <c r="Z12" s="1371"/>
      <c r="AA12" s="1367"/>
      <c r="AB12" s="1366"/>
      <c r="AC12" s="1366"/>
      <c r="AD12" s="1366"/>
      <c r="AE12" s="1366"/>
      <c r="AF12" s="1366"/>
      <c r="AG12" s="1366"/>
      <c r="AH12" s="1366"/>
      <c r="AI12" s="1366"/>
      <c r="AJ12" s="1366"/>
      <c r="AK12" s="1366"/>
      <c r="AL12" s="1366"/>
      <c r="AM12" s="1366"/>
      <c r="AN12" s="1366"/>
      <c r="AO12" s="1366"/>
      <c r="AP12" s="1366"/>
      <c r="AQ12" s="1366"/>
      <c r="AR12" s="1366"/>
      <c r="AS12" s="1366"/>
      <c r="AT12" s="1366"/>
      <c r="AU12" s="1366"/>
      <c r="AV12" s="1366"/>
      <c r="AW12" s="1366"/>
      <c r="AX12" s="1366"/>
      <c r="AY12" s="1366"/>
      <c r="AZ12" s="1366"/>
      <c r="BA12" s="1366"/>
      <c r="BB12" s="1366"/>
      <c r="BC12" s="1366"/>
      <c r="BD12" s="1366"/>
      <c r="BE12" s="1366"/>
      <c r="BF12" s="1366"/>
      <c r="BG12" s="1366"/>
      <c r="BH12" s="1366"/>
      <c r="BI12" s="1366"/>
      <c r="BJ12" s="1366"/>
      <c r="BK12" s="1366"/>
      <c r="BL12" s="1366"/>
      <c r="BM12" s="1366"/>
      <c r="BN12" s="1374"/>
      <c r="BO12" s="1374"/>
      <c r="BP12" s="1374"/>
      <c r="BQ12" s="1374"/>
      <c r="BR12" s="1375"/>
    </row>
    <row r="13" spans="1:70" s="656" customFormat="1" ht="49.5" customHeight="1" x14ac:dyDescent="0.2">
      <c r="A13" s="2217"/>
      <c r="B13" s="1243"/>
      <c r="C13" s="1243"/>
      <c r="D13" s="1378"/>
      <c r="E13" s="1243"/>
      <c r="F13" s="1243"/>
      <c r="G13" s="1377"/>
      <c r="H13" s="1243"/>
      <c r="I13" s="1243"/>
      <c r="J13" s="2711">
        <v>223</v>
      </c>
      <c r="K13" s="2707" t="s">
        <v>2257</v>
      </c>
      <c r="L13" s="3096" t="s">
        <v>2256</v>
      </c>
      <c r="M13" s="2706">
        <v>1</v>
      </c>
      <c r="N13" s="2706">
        <v>0.5</v>
      </c>
      <c r="O13" s="2708">
        <v>2301010423</v>
      </c>
      <c r="P13" s="3080" t="s">
        <v>2255</v>
      </c>
      <c r="Q13" s="2707" t="s">
        <v>2254</v>
      </c>
      <c r="R13" s="4848">
        <f>SUM(W13:W14)/S$13</f>
        <v>0.94892915980230641</v>
      </c>
      <c r="S13" s="4842">
        <f>SUM(W13:W18)</f>
        <v>607000000</v>
      </c>
      <c r="T13" s="3096" t="s">
        <v>2253</v>
      </c>
      <c r="U13" s="3078" t="s">
        <v>2252</v>
      </c>
      <c r="V13" s="4844" t="s">
        <v>2251</v>
      </c>
      <c r="W13" s="2219">
        <v>476000000</v>
      </c>
      <c r="X13" s="2220">
        <v>124709000</v>
      </c>
      <c r="Y13" s="2220">
        <v>115987000</v>
      </c>
      <c r="Z13" s="1379">
        <v>20</v>
      </c>
      <c r="AA13" s="2212" t="s">
        <v>2241</v>
      </c>
      <c r="AB13" s="3155">
        <v>57041</v>
      </c>
      <c r="AC13" s="3155">
        <f>AB13*$AA$24</f>
        <v>4506.2390000000005</v>
      </c>
      <c r="AD13" s="3155">
        <v>57731</v>
      </c>
      <c r="AE13" s="3155">
        <f>AD13*AA24</f>
        <v>4560.7489999999998</v>
      </c>
      <c r="AF13" s="3155">
        <v>27907</v>
      </c>
      <c r="AG13" s="3155">
        <f>AF13*AA24</f>
        <v>2204.6530000000002</v>
      </c>
      <c r="AH13" s="3155">
        <v>8963</v>
      </c>
      <c r="AI13" s="3155">
        <f>AH13*AA24</f>
        <v>708.077</v>
      </c>
      <c r="AJ13" s="3155">
        <v>60564</v>
      </c>
      <c r="AK13" s="3155">
        <f>AJ13*AA24</f>
        <v>4784.5560000000005</v>
      </c>
      <c r="AL13" s="3155">
        <v>17338</v>
      </c>
      <c r="AM13" s="3155">
        <f>AL13*AA24</f>
        <v>1369.702</v>
      </c>
      <c r="AN13" s="3155"/>
      <c r="AO13" s="2173"/>
      <c r="AP13" s="3155"/>
      <c r="AQ13" s="2173"/>
      <c r="AR13" s="3155"/>
      <c r="AS13" s="2173"/>
      <c r="AT13" s="2173"/>
      <c r="AU13" s="2173"/>
      <c r="AV13" s="2173"/>
      <c r="AW13" s="2173"/>
      <c r="AX13" s="2173"/>
      <c r="AY13" s="2173"/>
      <c r="AZ13" s="3155"/>
      <c r="BA13" s="2173"/>
      <c r="BB13" s="3155">
        <v>2944</v>
      </c>
      <c r="BC13" s="3155">
        <f>BB13*AA24</f>
        <v>232.57599999999999</v>
      </c>
      <c r="BD13" s="3155"/>
      <c r="BE13" s="2173"/>
      <c r="BF13" s="3829">
        <f>AB13+AD13</f>
        <v>114772</v>
      </c>
      <c r="BG13" s="3829">
        <f>BF13*AA24</f>
        <v>9066.9879999999994</v>
      </c>
      <c r="BH13" s="3896">
        <v>17</v>
      </c>
      <c r="BI13" s="3315">
        <f>+X13</f>
        <v>124709000</v>
      </c>
      <c r="BJ13" s="3315">
        <f>+Y13</f>
        <v>115987000</v>
      </c>
      <c r="BK13" s="3322">
        <f>+BJ13/BI13</f>
        <v>0.9300611824327033</v>
      </c>
      <c r="BL13" s="3829" t="s">
        <v>2241</v>
      </c>
      <c r="BM13" s="3829" t="s">
        <v>2250</v>
      </c>
      <c r="BN13" s="3832">
        <v>43466</v>
      </c>
      <c r="BO13" s="3839">
        <v>43467</v>
      </c>
      <c r="BP13" s="3832">
        <v>43830</v>
      </c>
      <c r="BQ13" s="3832">
        <v>43646</v>
      </c>
      <c r="BR13" s="4740" t="s">
        <v>2249</v>
      </c>
    </row>
    <row r="14" spans="1:70" s="656" customFormat="1" ht="39.75" customHeight="1" x14ac:dyDescent="0.2">
      <c r="A14" s="2217"/>
      <c r="B14" s="1243"/>
      <c r="C14" s="1243"/>
      <c r="D14" s="1378"/>
      <c r="E14" s="1243"/>
      <c r="F14" s="1243"/>
      <c r="G14" s="1378"/>
      <c r="H14" s="1243"/>
      <c r="I14" s="1243"/>
      <c r="J14" s="2711"/>
      <c r="K14" s="2707"/>
      <c r="L14" s="3096"/>
      <c r="M14" s="2706"/>
      <c r="N14" s="2706"/>
      <c r="O14" s="2709"/>
      <c r="P14" s="3141"/>
      <c r="Q14" s="2707"/>
      <c r="R14" s="4849"/>
      <c r="S14" s="4842"/>
      <c r="T14" s="3096"/>
      <c r="U14" s="3142"/>
      <c r="V14" s="4845"/>
      <c r="W14" s="2219">
        <v>100000000</v>
      </c>
      <c r="X14" s="2218"/>
      <c r="Y14" s="2218"/>
      <c r="Z14" s="1379">
        <v>23</v>
      </c>
      <c r="AA14" s="2212" t="s">
        <v>2240</v>
      </c>
      <c r="AB14" s="3156"/>
      <c r="AC14" s="3156"/>
      <c r="AD14" s="3156"/>
      <c r="AE14" s="3156"/>
      <c r="AF14" s="3156"/>
      <c r="AG14" s="3156"/>
      <c r="AH14" s="3156"/>
      <c r="AI14" s="3156"/>
      <c r="AJ14" s="3156"/>
      <c r="AK14" s="3156"/>
      <c r="AL14" s="3156"/>
      <c r="AM14" s="3156"/>
      <c r="AN14" s="3156"/>
      <c r="AO14" s="2174"/>
      <c r="AP14" s="3156"/>
      <c r="AQ14" s="2174"/>
      <c r="AR14" s="3156"/>
      <c r="AS14" s="2174"/>
      <c r="AT14" s="2174"/>
      <c r="AU14" s="2174"/>
      <c r="AV14" s="2174"/>
      <c r="AW14" s="2174"/>
      <c r="AX14" s="2174"/>
      <c r="AY14" s="2174"/>
      <c r="AZ14" s="3156"/>
      <c r="BA14" s="2174"/>
      <c r="BB14" s="3156"/>
      <c r="BC14" s="3156"/>
      <c r="BD14" s="3156"/>
      <c r="BE14" s="2174"/>
      <c r="BF14" s="3837"/>
      <c r="BG14" s="3837"/>
      <c r="BH14" s="3897"/>
      <c r="BI14" s="3316"/>
      <c r="BJ14" s="3316"/>
      <c r="BK14" s="3323"/>
      <c r="BL14" s="3837"/>
      <c r="BM14" s="3837"/>
      <c r="BN14" s="3854"/>
      <c r="BO14" s="4843"/>
      <c r="BP14" s="3854"/>
      <c r="BQ14" s="3854"/>
      <c r="BR14" s="4741"/>
    </row>
    <row r="15" spans="1:70" s="656" customFormat="1" ht="45" x14ac:dyDescent="0.2">
      <c r="A15" s="2217"/>
      <c r="B15" s="1243"/>
      <c r="C15" s="1243"/>
      <c r="D15" s="1378"/>
      <c r="E15" s="1243"/>
      <c r="F15" s="1243"/>
      <c r="G15" s="1378"/>
      <c r="H15" s="1243"/>
      <c r="I15" s="1243"/>
      <c r="J15" s="2711">
        <v>224</v>
      </c>
      <c r="K15" s="2707" t="s">
        <v>2248</v>
      </c>
      <c r="L15" s="3096" t="s">
        <v>2247</v>
      </c>
      <c r="M15" s="2709">
        <v>1</v>
      </c>
      <c r="N15" s="2706">
        <v>0.7</v>
      </c>
      <c r="O15" s="2709"/>
      <c r="P15" s="3141"/>
      <c r="Q15" s="2707"/>
      <c r="R15" s="4839">
        <f>SUM(W15:W16)/S13</f>
        <v>3.459637561779242E-2</v>
      </c>
      <c r="S15" s="4842"/>
      <c r="T15" s="3096"/>
      <c r="U15" s="3142"/>
      <c r="V15" s="4844" t="s">
        <v>2246</v>
      </c>
      <c r="W15" s="2214">
        <v>14800000</v>
      </c>
      <c r="X15" s="2213"/>
      <c r="Y15" s="2213"/>
      <c r="Z15" s="1379">
        <v>20</v>
      </c>
      <c r="AA15" s="2212" t="s">
        <v>2241</v>
      </c>
      <c r="AB15" s="3156"/>
      <c r="AC15" s="3156"/>
      <c r="AD15" s="3156"/>
      <c r="AE15" s="3156"/>
      <c r="AF15" s="3156"/>
      <c r="AG15" s="3156"/>
      <c r="AH15" s="3156"/>
      <c r="AI15" s="3156"/>
      <c r="AJ15" s="3156"/>
      <c r="AK15" s="3156"/>
      <c r="AL15" s="3156"/>
      <c r="AM15" s="3156"/>
      <c r="AN15" s="3156"/>
      <c r="AO15" s="2174"/>
      <c r="AP15" s="3156"/>
      <c r="AQ15" s="2174"/>
      <c r="AR15" s="3156"/>
      <c r="AS15" s="2174"/>
      <c r="AT15" s="2174"/>
      <c r="AU15" s="2174"/>
      <c r="AV15" s="2174"/>
      <c r="AW15" s="2174"/>
      <c r="AX15" s="2174"/>
      <c r="AY15" s="2174"/>
      <c r="AZ15" s="3156"/>
      <c r="BA15" s="2174"/>
      <c r="BB15" s="3156"/>
      <c r="BC15" s="3156"/>
      <c r="BD15" s="3156"/>
      <c r="BE15" s="2174"/>
      <c r="BF15" s="3837"/>
      <c r="BG15" s="3837"/>
      <c r="BH15" s="3897"/>
      <c r="BI15" s="3316"/>
      <c r="BJ15" s="3316"/>
      <c r="BK15" s="3323"/>
      <c r="BL15" s="3837"/>
      <c r="BM15" s="3837"/>
      <c r="BN15" s="3854"/>
      <c r="BO15" s="4843"/>
      <c r="BP15" s="3854"/>
      <c r="BQ15" s="3854"/>
      <c r="BR15" s="4741"/>
    </row>
    <row r="16" spans="1:70" s="656" customFormat="1" ht="30" x14ac:dyDescent="0.2">
      <c r="A16" s="2217"/>
      <c r="B16" s="1243"/>
      <c r="C16" s="1243"/>
      <c r="D16" s="1378"/>
      <c r="E16" s="1243"/>
      <c r="F16" s="1243"/>
      <c r="G16" s="1378"/>
      <c r="H16" s="1243"/>
      <c r="I16" s="1243"/>
      <c r="J16" s="2711"/>
      <c r="K16" s="2707"/>
      <c r="L16" s="3096"/>
      <c r="M16" s="2709"/>
      <c r="N16" s="2706"/>
      <c r="O16" s="2709"/>
      <c r="P16" s="3141"/>
      <c r="Q16" s="2707"/>
      <c r="R16" s="4841"/>
      <c r="S16" s="4842"/>
      <c r="T16" s="3096"/>
      <c r="U16" s="3142"/>
      <c r="V16" s="4845"/>
      <c r="W16" s="2214">
        <v>6200000</v>
      </c>
      <c r="X16" s="2216"/>
      <c r="Y16" s="2216"/>
      <c r="Z16" s="1379">
        <v>23</v>
      </c>
      <c r="AA16" s="2212" t="s">
        <v>2240</v>
      </c>
      <c r="AB16" s="3156"/>
      <c r="AC16" s="3156"/>
      <c r="AD16" s="3156"/>
      <c r="AE16" s="3156"/>
      <c r="AF16" s="3156"/>
      <c r="AG16" s="3156"/>
      <c r="AH16" s="3156"/>
      <c r="AI16" s="3156"/>
      <c r="AJ16" s="3156"/>
      <c r="AK16" s="3156"/>
      <c r="AL16" s="3156"/>
      <c r="AM16" s="3156"/>
      <c r="AN16" s="3156"/>
      <c r="AO16" s="2174"/>
      <c r="AP16" s="3156"/>
      <c r="AQ16" s="2174"/>
      <c r="AR16" s="3156"/>
      <c r="AS16" s="2174"/>
      <c r="AT16" s="2174"/>
      <c r="AU16" s="2174"/>
      <c r="AV16" s="2174"/>
      <c r="AW16" s="2174"/>
      <c r="AX16" s="2174"/>
      <c r="AY16" s="2174"/>
      <c r="AZ16" s="3156"/>
      <c r="BA16" s="2174"/>
      <c r="BB16" s="3156"/>
      <c r="BC16" s="3156"/>
      <c r="BD16" s="3156"/>
      <c r="BE16" s="2174"/>
      <c r="BF16" s="3837"/>
      <c r="BG16" s="3837"/>
      <c r="BH16" s="3897"/>
      <c r="BI16" s="3316"/>
      <c r="BJ16" s="3316"/>
      <c r="BK16" s="3323"/>
      <c r="BL16" s="3837"/>
      <c r="BM16" s="3837"/>
      <c r="BN16" s="3854"/>
      <c r="BO16" s="4843"/>
      <c r="BP16" s="3854"/>
      <c r="BQ16" s="3854"/>
      <c r="BR16" s="4741"/>
    </row>
    <row r="17" spans="1:70" s="656" customFormat="1" ht="39.75" customHeight="1" x14ac:dyDescent="0.2">
      <c r="A17" s="2217"/>
      <c r="B17" s="1243"/>
      <c r="C17" s="1243"/>
      <c r="D17" s="1378"/>
      <c r="E17" s="1243"/>
      <c r="F17" s="1243"/>
      <c r="G17" s="1378"/>
      <c r="H17" s="1243"/>
      <c r="I17" s="1243"/>
      <c r="J17" s="2711">
        <v>225</v>
      </c>
      <c r="K17" s="2707" t="s">
        <v>2245</v>
      </c>
      <c r="L17" s="3096" t="s">
        <v>2244</v>
      </c>
      <c r="M17" s="2708">
        <v>1</v>
      </c>
      <c r="N17" s="2706">
        <v>0</v>
      </c>
      <c r="O17" s="2709"/>
      <c r="P17" s="3141"/>
      <c r="Q17" s="2707"/>
      <c r="R17" s="4839">
        <f>(W17+W18)/S13</f>
        <v>1.6474464579901153E-2</v>
      </c>
      <c r="S17" s="4842"/>
      <c r="T17" s="3096"/>
      <c r="U17" s="3078" t="s">
        <v>2243</v>
      </c>
      <c r="V17" s="4846" t="s">
        <v>2242</v>
      </c>
      <c r="W17" s="2214">
        <v>9200000</v>
      </c>
      <c r="X17" s="2216"/>
      <c r="Y17" s="2216"/>
      <c r="Z17" s="1379">
        <v>20</v>
      </c>
      <c r="AA17" s="2212" t="s">
        <v>2241</v>
      </c>
      <c r="AB17" s="3156"/>
      <c r="AC17" s="3156"/>
      <c r="AD17" s="3156"/>
      <c r="AE17" s="3156"/>
      <c r="AF17" s="3156"/>
      <c r="AG17" s="3156"/>
      <c r="AH17" s="3156"/>
      <c r="AI17" s="3156"/>
      <c r="AJ17" s="3156"/>
      <c r="AK17" s="3156"/>
      <c r="AL17" s="3156"/>
      <c r="AM17" s="3156"/>
      <c r="AN17" s="3156"/>
      <c r="AO17" s="2174"/>
      <c r="AP17" s="3156"/>
      <c r="AQ17" s="2174"/>
      <c r="AR17" s="3156"/>
      <c r="AS17" s="2174"/>
      <c r="AT17" s="2174"/>
      <c r="AU17" s="2174"/>
      <c r="AV17" s="2174"/>
      <c r="AW17" s="2174"/>
      <c r="AX17" s="2174"/>
      <c r="AY17" s="2174"/>
      <c r="AZ17" s="3156"/>
      <c r="BA17" s="2174"/>
      <c r="BB17" s="3156"/>
      <c r="BC17" s="3156"/>
      <c r="BD17" s="3156"/>
      <c r="BE17" s="2174"/>
      <c r="BF17" s="3837"/>
      <c r="BG17" s="3837"/>
      <c r="BH17" s="3897"/>
      <c r="BI17" s="3316"/>
      <c r="BJ17" s="3316"/>
      <c r="BK17" s="3323"/>
      <c r="BL17" s="3837"/>
      <c r="BM17" s="3837"/>
      <c r="BN17" s="3854"/>
      <c r="BO17" s="4843"/>
      <c r="BP17" s="3854"/>
      <c r="BQ17" s="3854"/>
      <c r="BR17" s="4741"/>
    </row>
    <row r="18" spans="1:70" s="656" customFormat="1" ht="45" customHeight="1" x14ac:dyDescent="0.2">
      <c r="A18" s="2215"/>
      <c r="B18" s="1280"/>
      <c r="C18" s="1280"/>
      <c r="D18" s="1384"/>
      <c r="E18" s="1280"/>
      <c r="F18" s="1280"/>
      <c r="G18" s="1384"/>
      <c r="H18" s="1280"/>
      <c r="I18" s="1280"/>
      <c r="J18" s="2711"/>
      <c r="K18" s="2707"/>
      <c r="L18" s="3096"/>
      <c r="M18" s="2710"/>
      <c r="N18" s="2706"/>
      <c r="O18" s="2710"/>
      <c r="P18" s="3081"/>
      <c r="Q18" s="2707"/>
      <c r="R18" s="4840"/>
      <c r="S18" s="4842"/>
      <c r="T18" s="3096"/>
      <c r="U18" s="3079"/>
      <c r="V18" s="4847"/>
      <c r="W18" s="2214">
        <v>800000</v>
      </c>
      <c r="X18" s="2213"/>
      <c r="Y18" s="2213"/>
      <c r="Z18" s="1383">
        <v>23</v>
      </c>
      <c r="AA18" s="2212" t="s">
        <v>2240</v>
      </c>
      <c r="AB18" s="3157"/>
      <c r="AC18" s="3157"/>
      <c r="AD18" s="3157"/>
      <c r="AE18" s="3157"/>
      <c r="AF18" s="3157"/>
      <c r="AG18" s="3157"/>
      <c r="AH18" s="3157"/>
      <c r="AI18" s="3157"/>
      <c r="AJ18" s="3157"/>
      <c r="AK18" s="3157"/>
      <c r="AL18" s="3157"/>
      <c r="AM18" s="3157"/>
      <c r="AN18" s="3157"/>
      <c r="AO18" s="2154"/>
      <c r="AP18" s="3157"/>
      <c r="AQ18" s="2154"/>
      <c r="AR18" s="3157"/>
      <c r="AS18" s="2154"/>
      <c r="AT18" s="2154"/>
      <c r="AU18" s="2154"/>
      <c r="AV18" s="2154"/>
      <c r="AW18" s="2154"/>
      <c r="AX18" s="2154"/>
      <c r="AY18" s="2154"/>
      <c r="AZ18" s="3157"/>
      <c r="BA18" s="2154"/>
      <c r="BB18" s="3157"/>
      <c r="BC18" s="3157"/>
      <c r="BD18" s="3157"/>
      <c r="BE18" s="2154"/>
      <c r="BF18" s="3843"/>
      <c r="BG18" s="3843"/>
      <c r="BH18" s="3898"/>
      <c r="BI18" s="3317"/>
      <c r="BJ18" s="3317"/>
      <c r="BK18" s="3324"/>
      <c r="BL18" s="3843"/>
      <c r="BM18" s="3843"/>
      <c r="BN18" s="3830"/>
      <c r="BO18" s="4379"/>
      <c r="BP18" s="3830"/>
      <c r="BQ18" s="3830"/>
      <c r="BR18" s="4742"/>
    </row>
    <row r="19" spans="1:70" ht="15" x14ac:dyDescent="0.25">
      <c r="A19" s="4838" t="s">
        <v>1813</v>
      </c>
      <c r="B19" s="4838"/>
      <c r="C19" s="4838"/>
      <c r="D19" s="4838"/>
      <c r="E19" s="4838"/>
      <c r="F19" s="4838"/>
      <c r="G19" s="4838"/>
      <c r="H19" s="4838"/>
      <c r="I19" s="4838"/>
      <c r="J19" s="4838"/>
      <c r="K19" s="4838"/>
      <c r="L19" s="4838"/>
      <c r="M19" s="4838"/>
      <c r="N19" s="4838"/>
      <c r="O19" s="4838"/>
      <c r="P19" s="4838"/>
      <c r="Q19" s="4838"/>
      <c r="R19" s="4838"/>
      <c r="S19" s="2211">
        <f>SUM(S13)</f>
        <v>607000000</v>
      </c>
      <c r="T19" s="1449"/>
      <c r="U19" s="1449"/>
      <c r="V19" s="1449"/>
      <c r="W19" s="2210">
        <f>SUM(W13:W18)</f>
        <v>607000000</v>
      </c>
      <c r="X19" s="2210">
        <f>SUM(X13:X18)</f>
        <v>124709000</v>
      </c>
      <c r="Y19" s="2210">
        <f>SUM(Y13:Y18)</f>
        <v>115987000</v>
      </c>
      <c r="Z19" s="1400"/>
      <c r="AA19" s="1240"/>
      <c r="AB19" s="2209"/>
      <c r="AC19" s="2209"/>
      <c r="AD19" s="2209"/>
      <c r="AE19" s="2209"/>
      <c r="AF19" s="2209"/>
      <c r="AG19" s="2209"/>
      <c r="AH19" s="2209"/>
      <c r="AI19" s="2209"/>
      <c r="AJ19" s="2209"/>
      <c r="AK19" s="2209"/>
      <c r="AL19" s="2209"/>
      <c r="AM19" s="2209"/>
      <c r="AN19" s="2209"/>
      <c r="AO19" s="2209"/>
      <c r="AP19" s="2209"/>
      <c r="AQ19" s="2209"/>
      <c r="AR19" s="2209"/>
      <c r="AS19" s="2209"/>
      <c r="AT19" s="2209"/>
      <c r="AU19" s="2209"/>
      <c r="AV19" s="2209"/>
      <c r="AW19" s="2209"/>
      <c r="AX19" s="2209"/>
      <c r="AY19" s="2209"/>
      <c r="AZ19" s="2209"/>
      <c r="BA19" s="2209"/>
      <c r="BB19" s="2209"/>
      <c r="BC19" s="2209"/>
      <c r="BD19" s="2209"/>
      <c r="BE19" s="2209"/>
      <c r="BF19" s="2209"/>
      <c r="BG19" s="2209"/>
      <c r="BH19" s="2209"/>
      <c r="BI19" s="2209"/>
      <c r="BJ19" s="2209"/>
      <c r="BK19" s="2209"/>
      <c r="BL19" s="2209"/>
      <c r="BM19" s="2209"/>
      <c r="BN19" s="2208"/>
      <c r="BO19" s="2208"/>
      <c r="BP19" s="2207"/>
      <c r="BQ19" s="2207"/>
      <c r="BR19" s="2206"/>
    </row>
    <row r="20" spans="1:70" ht="14.25" x14ac:dyDescent="0.2"/>
    <row r="21" spans="1:70" ht="14.25" x14ac:dyDescent="0.2"/>
    <row r="22" spans="1:70" ht="14.25" x14ac:dyDescent="0.2"/>
    <row r="23" spans="1:70" ht="14.25" x14ac:dyDescent="0.2"/>
    <row r="24" spans="1:70" ht="14.25" x14ac:dyDescent="0.2">
      <c r="AA24" s="2205">
        <v>7.9000000000000001E-2</v>
      </c>
    </row>
    <row r="25" spans="1:70" ht="14.25" x14ac:dyDescent="0.2"/>
    <row r="26" spans="1:70" ht="14.25" x14ac:dyDescent="0.2"/>
    <row r="27" spans="1:70" ht="15" x14ac:dyDescent="0.25">
      <c r="E27" s="1848" t="s">
        <v>2239</v>
      </c>
    </row>
    <row r="28" spans="1:70" ht="14.25" x14ac:dyDescent="0.2">
      <c r="E28" s="657" t="s">
        <v>2238</v>
      </c>
    </row>
  </sheetData>
  <sheetProtection password="CBEB" sheet="1" objects="1" scenarios="1"/>
  <mergeCells count="121">
    <mergeCell ref="J7:J9"/>
    <mergeCell ref="K7:K9"/>
    <mergeCell ref="L7:L9"/>
    <mergeCell ref="M7:N7"/>
    <mergeCell ref="O7:O9"/>
    <mergeCell ref="P7:P9"/>
    <mergeCell ref="A1:BP4"/>
    <mergeCell ref="A5:M6"/>
    <mergeCell ref="O5:BR5"/>
    <mergeCell ref="AB6:BD6"/>
    <mergeCell ref="A7:A9"/>
    <mergeCell ref="B7:C9"/>
    <mergeCell ref="D7:D9"/>
    <mergeCell ref="E7:F9"/>
    <mergeCell ref="G7:G9"/>
    <mergeCell ref="H7:I9"/>
    <mergeCell ref="BH7:BM7"/>
    <mergeCell ref="BN7:BO8"/>
    <mergeCell ref="BP7:BQ8"/>
    <mergeCell ref="BR7:BR8"/>
    <mergeCell ref="M8:M9"/>
    <mergeCell ref="N8:N9"/>
    <mergeCell ref="W8:W9"/>
    <mergeCell ref="X8:X9"/>
    <mergeCell ref="Y8:Y9"/>
    <mergeCell ref="W7:Y7"/>
    <mergeCell ref="AA7:AA9"/>
    <mergeCell ref="Z8:Z9"/>
    <mergeCell ref="AB8:AC8"/>
    <mergeCell ref="AD8:AE8"/>
    <mergeCell ref="AF8:AG8"/>
    <mergeCell ref="Q7:Q9"/>
    <mergeCell ref="R7:R9"/>
    <mergeCell ref="S7:S9"/>
    <mergeCell ref="T7:T9"/>
    <mergeCell ref="U7:U9"/>
    <mergeCell ref="V7:V9"/>
    <mergeCell ref="AV8:AW8"/>
    <mergeCell ref="AX8:AY8"/>
    <mergeCell ref="AZ8:BA8"/>
    <mergeCell ref="BB8:BC8"/>
    <mergeCell ref="BD8:BE8"/>
    <mergeCell ref="AH8:AI8"/>
    <mergeCell ref="AJ8:AK8"/>
    <mergeCell ref="AL8:AM8"/>
    <mergeCell ref="AN8:AO8"/>
    <mergeCell ref="AP8:AQ8"/>
    <mergeCell ref="AR8:AS8"/>
    <mergeCell ref="U13:U16"/>
    <mergeCell ref="V13:V14"/>
    <mergeCell ref="AB13:AB18"/>
    <mergeCell ref="AC13:AC18"/>
    <mergeCell ref="V15:V16"/>
    <mergeCell ref="U17:U18"/>
    <mergeCell ref="V17:V18"/>
    <mergeCell ref="BM8:BM9"/>
    <mergeCell ref="J13:J14"/>
    <mergeCell ref="K13:K14"/>
    <mergeCell ref="L13:L14"/>
    <mergeCell ref="M13:M14"/>
    <mergeCell ref="N13:N14"/>
    <mergeCell ref="O13:O18"/>
    <mergeCell ref="P13:P18"/>
    <mergeCell ref="Q13:Q18"/>
    <mergeCell ref="R13:R14"/>
    <mergeCell ref="BH8:BH9"/>
    <mergeCell ref="BI8:BI9"/>
    <mergeCell ref="BJ8:BJ9"/>
    <mergeCell ref="BK8:BK9"/>
    <mergeCell ref="BL8:BL9"/>
    <mergeCell ref="BF7:BG8"/>
    <mergeCell ref="AT8:AU8"/>
    <mergeCell ref="BF13:BF18"/>
    <mergeCell ref="AJ13:AJ18"/>
    <mergeCell ref="AK13:AK18"/>
    <mergeCell ref="AL13:AL18"/>
    <mergeCell ref="AM13:AM18"/>
    <mergeCell ref="AN13:AN18"/>
    <mergeCell ref="AP13:AP18"/>
    <mergeCell ref="AD13:AD18"/>
    <mergeCell ref="AE13:AE18"/>
    <mergeCell ref="AF13:AF18"/>
    <mergeCell ref="AG13:AG18"/>
    <mergeCell ref="AH13:AH18"/>
    <mergeCell ref="AI13:AI18"/>
    <mergeCell ref="BM13:BM18"/>
    <mergeCell ref="BN13:BN18"/>
    <mergeCell ref="BO13:BO18"/>
    <mergeCell ref="BP13:BP18"/>
    <mergeCell ref="BQ13:BQ18"/>
    <mergeCell ref="BR13:BR18"/>
    <mergeCell ref="BG13:BG18"/>
    <mergeCell ref="BH13:BH18"/>
    <mergeCell ref="BI13:BI18"/>
    <mergeCell ref="BJ13:BJ18"/>
    <mergeCell ref="BK13:BK18"/>
    <mergeCell ref="BL13:BL18"/>
    <mergeCell ref="AZ7:BE7"/>
    <mergeCell ref="AN7:AY7"/>
    <mergeCell ref="AF7:AM7"/>
    <mergeCell ref="AB7:AE7"/>
    <mergeCell ref="A19:R19"/>
    <mergeCell ref="J17:J18"/>
    <mergeCell ref="K17:K18"/>
    <mergeCell ref="L17:L18"/>
    <mergeCell ref="M17:M18"/>
    <mergeCell ref="N17:N18"/>
    <mergeCell ref="R17:R18"/>
    <mergeCell ref="J15:J16"/>
    <mergeCell ref="K15:K16"/>
    <mergeCell ref="L15:L16"/>
    <mergeCell ref="M15:M16"/>
    <mergeCell ref="N15:N16"/>
    <mergeCell ref="R15:R16"/>
    <mergeCell ref="AR13:AR18"/>
    <mergeCell ref="AZ13:AZ18"/>
    <mergeCell ref="BB13:BB18"/>
    <mergeCell ref="BC13:BC18"/>
    <mergeCell ref="BD13:BD18"/>
    <mergeCell ref="S13:S18"/>
    <mergeCell ref="T13:T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I154"/>
  <sheetViews>
    <sheetView showGridLines="0" topLeftCell="J1" zoomScale="60" zoomScaleNormal="60" workbookViewId="0">
      <pane xSplit="1" topLeftCell="K1" activePane="topRight" state="frozen"/>
      <selection activeCell="J35" sqref="J35"/>
      <selection pane="topRight" sqref="A1:BN4"/>
    </sheetView>
  </sheetViews>
  <sheetFormatPr baseColWidth="10" defaultColWidth="10" defaultRowHeight="15" x14ac:dyDescent="0.2"/>
  <cols>
    <col min="1" max="1" width="18" style="909" customWidth="1"/>
    <col min="2" max="3" width="10" style="647"/>
    <col min="4" max="4" width="17.140625" style="647" customWidth="1"/>
    <col min="5" max="6" width="10" style="647"/>
    <col min="7" max="7" width="17.140625" style="647" customWidth="1"/>
    <col min="8" max="8" width="10" style="647"/>
    <col min="9" max="9" width="14.140625" style="647" customWidth="1"/>
    <col min="10" max="10" width="19.28515625" style="911" customWidth="1"/>
    <col min="11" max="11" width="48.28515625" style="912" customWidth="1"/>
    <col min="12" max="12" width="33.7109375" style="717" customWidth="1"/>
    <col min="13" max="13" width="16.85546875" style="717" customWidth="1"/>
    <col min="14" max="14" width="17.5703125" style="717" customWidth="1"/>
    <col min="15" max="15" width="34.85546875" style="913" customWidth="1"/>
    <col min="16" max="16" width="26" style="913" customWidth="1"/>
    <col min="17" max="17" width="30.85546875" style="912" customWidth="1"/>
    <col min="18" max="18" width="17.28515625" style="914" customWidth="1"/>
    <col min="19" max="19" width="25.5703125" style="915" customWidth="1"/>
    <col min="20" max="20" width="46.85546875" style="912" customWidth="1"/>
    <col min="21" max="21" width="53.85546875" style="912" customWidth="1"/>
    <col min="22" max="22" width="58.85546875" style="912" customWidth="1"/>
    <col min="23" max="23" width="29" style="922" customWidth="1"/>
    <col min="24" max="24" width="26.28515625" style="922" customWidth="1"/>
    <col min="25" max="25" width="30.7109375" style="922" customWidth="1"/>
    <col min="26" max="26" width="14" style="917" customWidth="1"/>
    <col min="27" max="27" width="22.7109375" style="918" customWidth="1"/>
    <col min="28" max="29" width="12.85546875" style="2" customWidth="1"/>
    <col min="30" max="30" width="16.85546875" style="2" customWidth="1"/>
    <col min="31" max="57" width="12.85546875" style="2" customWidth="1"/>
    <col min="58" max="58" width="15.140625" style="2" customWidth="1"/>
    <col min="59" max="59" width="15.42578125" style="2" customWidth="1"/>
    <col min="60" max="60" width="17.140625" style="2" customWidth="1"/>
    <col min="61" max="62" width="27.5703125" style="2" customWidth="1"/>
    <col min="63" max="63" width="19.5703125" style="2" customWidth="1"/>
    <col min="64" max="64" width="19" style="2" customWidth="1"/>
    <col min="65" max="65" width="22.5703125" style="2" customWidth="1"/>
    <col min="66" max="67" width="17.85546875" style="919" customWidth="1"/>
    <col min="68" max="69" width="17.85546875" style="651" customWidth="1"/>
    <col min="70" max="70" width="26.140625" style="758" customWidth="1"/>
    <col min="71" max="16384" width="10" style="2"/>
  </cols>
  <sheetData>
    <row r="1" spans="1:87" ht="25.5" customHeight="1" x14ac:dyDescent="0.2">
      <c r="A1" s="2745" t="s">
        <v>518</v>
      </c>
      <c r="B1" s="2745"/>
      <c r="C1" s="2745"/>
      <c r="D1" s="2745"/>
      <c r="E1" s="2745"/>
      <c r="F1" s="2745"/>
      <c r="G1" s="2745"/>
      <c r="H1" s="2745"/>
      <c r="I1" s="2745"/>
      <c r="J1" s="2745"/>
      <c r="K1" s="2745"/>
      <c r="L1" s="2745"/>
      <c r="M1" s="2745"/>
      <c r="N1" s="2745"/>
      <c r="O1" s="2745"/>
      <c r="P1" s="2745"/>
      <c r="Q1" s="2745"/>
      <c r="R1" s="2745"/>
      <c r="S1" s="2745"/>
      <c r="T1" s="2745"/>
      <c r="U1" s="2745"/>
      <c r="V1" s="2745"/>
      <c r="W1" s="2745"/>
      <c r="X1" s="2745"/>
      <c r="Y1" s="2745"/>
      <c r="Z1" s="2745"/>
      <c r="AA1" s="2745"/>
      <c r="AB1" s="2745"/>
      <c r="AC1" s="2745"/>
      <c r="AD1" s="2745"/>
      <c r="AE1" s="2745"/>
      <c r="AF1" s="2745"/>
      <c r="AG1" s="2745"/>
      <c r="AH1" s="2745"/>
      <c r="AI1" s="2745"/>
      <c r="AJ1" s="2745"/>
      <c r="AK1" s="2745"/>
      <c r="AL1" s="2745"/>
      <c r="AM1" s="2745"/>
      <c r="AN1" s="2745"/>
      <c r="AO1" s="2745"/>
      <c r="AP1" s="2745"/>
      <c r="AQ1" s="2745"/>
      <c r="AR1" s="2745"/>
      <c r="AS1" s="2745"/>
      <c r="AT1" s="2745"/>
      <c r="AU1" s="2745"/>
      <c r="AV1" s="2745"/>
      <c r="AW1" s="2745"/>
      <c r="AX1" s="2745"/>
      <c r="AY1" s="2745"/>
      <c r="AZ1" s="2745"/>
      <c r="BA1" s="2745"/>
      <c r="BB1" s="2745"/>
      <c r="BC1" s="2745"/>
      <c r="BD1" s="2745"/>
      <c r="BE1" s="2745"/>
      <c r="BF1" s="2745"/>
      <c r="BG1" s="2745"/>
      <c r="BH1" s="2745"/>
      <c r="BI1" s="2745"/>
      <c r="BJ1" s="2745"/>
      <c r="BK1" s="2745"/>
      <c r="BL1" s="2745"/>
      <c r="BM1" s="2745"/>
      <c r="BN1" s="2745"/>
      <c r="BO1" s="1"/>
      <c r="BQ1" s="3" t="s">
        <v>1</v>
      </c>
      <c r="BR1" s="3" t="s">
        <v>2</v>
      </c>
      <c r="BS1" s="52"/>
      <c r="BT1" s="52"/>
      <c r="BU1" s="52"/>
      <c r="BV1" s="52"/>
      <c r="BW1" s="52"/>
      <c r="BX1" s="52"/>
      <c r="BY1" s="52"/>
      <c r="BZ1" s="52"/>
      <c r="CA1" s="52"/>
      <c r="CB1" s="52"/>
      <c r="CC1" s="52"/>
      <c r="CD1" s="52"/>
      <c r="CE1" s="52"/>
      <c r="CF1" s="52"/>
      <c r="CG1" s="52"/>
      <c r="CH1" s="52"/>
      <c r="CI1" s="52"/>
    </row>
    <row r="2" spans="1:87" ht="25.5" customHeight="1" x14ac:dyDescent="0.2">
      <c r="A2" s="2745"/>
      <c r="B2" s="2745"/>
      <c r="C2" s="2745"/>
      <c r="D2" s="2745"/>
      <c r="E2" s="2745"/>
      <c r="F2" s="2745"/>
      <c r="G2" s="2745"/>
      <c r="H2" s="2745"/>
      <c r="I2" s="2745"/>
      <c r="J2" s="2745"/>
      <c r="K2" s="2745"/>
      <c r="L2" s="2745"/>
      <c r="M2" s="2745"/>
      <c r="N2" s="2745"/>
      <c r="O2" s="2745"/>
      <c r="P2" s="2745"/>
      <c r="Q2" s="2745"/>
      <c r="R2" s="2745"/>
      <c r="S2" s="2745"/>
      <c r="T2" s="2745"/>
      <c r="U2" s="2745"/>
      <c r="V2" s="2745"/>
      <c r="W2" s="2745"/>
      <c r="X2" s="2745"/>
      <c r="Y2" s="2745"/>
      <c r="Z2" s="2745"/>
      <c r="AA2" s="2745"/>
      <c r="AB2" s="2745"/>
      <c r="AC2" s="2745"/>
      <c r="AD2" s="2745"/>
      <c r="AE2" s="2745"/>
      <c r="AF2" s="2745"/>
      <c r="AG2" s="2745"/>
      <c r="AH2" s="2745"/>
      <c r="AI2" s="2745"/>
      <c r="AJ2" s="2745"/>
      <c r="AK2" s="2745"/>
      <c r="AL2" s="2745"/>
      <c r="AM2" s="2745"/>
      <c r="AN2" s="2745"/>
      <c r="AO2" s="2745"/>
      <c r="AP2" s="2745"/>
      <c r="AQ2" s="2745"/>
      <c r="AR2" s="2745"/>
      <c r="AS2" s="2745"/>
      <c r="AT2" s="2745"/>
      <c r="AU2" s="2745"/>
      <c r="AV2" s="2745"/>
      <c r="AW2" s="2745"/>
      <c r="AX2" s="2745"/>
      <c r="AY2" s="2745"/>
      <c r="AZ2" s="2745"/>
      <c r="BA2" s="2745"/>
      <c r="BB2" s="2745"/>
      <c r="BC2" s="2745"/>
      <c r="BD2" s="2745"/>
      <c r="BE2" s="2745"/>
      <c r="BF2" s="2745"/>
      <c r="BG2" s="2745"/>
      <c r="BH2" s="2745"/>
      <c r="BI2" s="2745"/>
      <c r="BJ2" s="2745"/>
      <c r="BK2" s="2745"/>
      <c r="BL2" s="2745"/>
      <c r="BM2" s="2745"/>
      <c r="BN2" s="2745"/>
      <c r="BO2" s="1"/>
      <c r="BQ2" s="5" t="s">
        <v>3</v>
      </c>
      <c r="BR2" s="3" t="s">
        <v>519</v>
      </c>
      <c r="BS2" s="52"/>
      <c r="BT2" s="52"/>
      <c r="BU2" s="52"/>
      <c r="BV2" s="52"/>
      <c r="BW2" s="52"/>
      <c r="BX2" s="52"/>
      <c r="BY2" s="52"/>
      <c r="BZ2" s="52"/>
      <c r="CA2" s="52"/>
      <c r="CB2" s="52"/>
      <c r="CC2" s="52"/>
      <c r="CD2" s="52"/>
      <c r="CE2" s="52"/>
      <c r="CF2" s="52"/>
      <c r="CG2" s="52"/>
      <c r="CH2" s="52"/>
      <c r="CI2" s="52"/>
    </row>
    <row r="3" spans="1:87" ht="25.5" customHeight="1" x14ac:dyDescent="0.2">
      <c r="A3" s="2745"/>
      <c r="B3" s="2745"/>
      <c r="C3" s="2745"/>
      <c r="D3" s="2745"/>
      <c r="E3" s="2745"/>
      <c r="F3" s="2745"/>
      <c r="G3" s="2745"/>
      <c r="H3" s="2745"/>
      <c r="I3" s="2745"/>
      <c r="J3" s="2745"/>
      <c r="K3" s="2745"/>
      <c r="L3" s="2745"/>
      <c r="M3" s="2745"/>
      <c r="N3" s="2745"/>
      <c r="O3" s="2745"/>
      <c r="P3" s="2745"/>
      <c r="Q3" s="2745"/>
      <c r="R3" s="2745"/>
      <c r="S3" s="2745"/>
      <c r="T3" s="2745"/>
      <c r="U3" s="2745"/>
      <c r="V3" s="2745"/>
      <c r="W3" s="2745"/>
      <c r="X3" s="2745"/>
      <c r="Y3" s="2745"/>
      <c r="Z3" s="2745"/>
      <c r="AA3" s="2745"/>
      <c r="AB3" s="2745"/>
      <c r="AC3" s="2745"/>
      <c r="AD3" s="2745"/>
      <c r="AE3" s="2745"/>
      <c r="AF3" s="2745"/>
      <c r="AG3" s="2745"/>
      <c r="AH3" s="2745"/>
      <c r="AI3" s="2745"/>
      <c r="AJ3" s="2745"/>
      <c r="AK3" s="2745"/>
      <c r="AL3" s="2745"/>
      <c r="AM3" s="2745"/>
      <c r="AN3" s="2745"/>
      <c r="AO3" s="2745"/>
      <c r="AP3" s="2745"/>
      <c r="AQ3" s="2745"/>
      <c r="AR3" s="2745"/>
      <c r="AS3" s="2745"/>
      <c r="AT3" s="2745"/>
      <c r="AU3" s="2745"/>
      <c r="AV3" s="2745"/>
      <c r="AW3" s="2745"/>
      <c r="AX3" s="2745"/>
      <c r="AY3" s="2745"/>
      <c r="AZ3" s="2745"/>
      <c r="BA3" s="2745"/>
      <c r="BB3" s="2745"/>
      <c r="BC3" s="2745"/>
      <c r="BD3" s="2745"/>
      <c r="BE3" s="2745"/>
      <c r="BF3" s="2745"/>
      <c r="BG3" s="2745"/>
      <c r="BH3" s="2745"/>
      <c r="BI3" s="2745"/>
      <c r="BJ3" s="2745"/>
      <c r="BK3" s="2745"/>
      <c r="BL3" s="2745"/>
      <c r="BM3" s="2745"/>
      <c r="BN3" s="2745"/>
      <c r="BO3" s="1"/>
      <c r="BQ3" s="3" t="s">
        <v>4</v>
      </c>
      <c r="BR3" s="652" t="s">
        <v>5</v>
      </c>
      <c r="BS3" s="52"/>
      <c r="BT3" s="52"/>
      <c r="BU3" s="52"/>
      <c r="BV3" s="52"/>
      <c r="BW3" s="52"/>
      <c r="BX3" s="52"/>
      <c r="BY3" s="52"/>
      <c r="BZ3" s="52"/>
      <c r="CA3" s="52"/>
      <c r="CB3" s="52"/>
      <c r="CC3" s="52"/>
      <c r="CD3" s="52"/>
      <c r="CE3" s="52"/>
      <c r="CF3" s="52"/>
      <c r="CG3" s="52"/>
      <c r="CH3" s="52"/>
      <c r="CI3" s="52"/>
    </row>
    <row r="4" spans="1:87" ht="25.5" customHeight="1" x14ac:dyDescent="0.2">
      <c r="A4" s="2746"/>
      <c r="B4" s="2746"/>
      <c r="C4" s="2746"/>
      <c r="D4" s="2746"/>
      <c r="E4" s="2746"/>
      <c r="F4" s="2746"/>
      <c r="G4" s="2746"/>
      <c r="H4" s="2746"/>
      <c r="I4" s="2746"/>
      <c r="J4" s="2746"/>
      <c r="K4" s="2746"/>
      <c r="L4" s="2746"/>
      <c r="M4" s="2746"/>
      <c r="N4" s="2746"/>
      <c r="O4" s="2746"/>
      <c r="P4" s="2746"/>
      <c r="Q4" s="2746"/>
      <c r="R4" s="2746"/>
      <c r="S4" s="2746"/>
      <c r="T4" s="2746"/>
      <c r="U4" s="2746"/>
      <c r="V4" s="2746"/>
      <c r="W4" s="2746"/>
      <c r="X4" s="2746"/>
      <c r="Y4" s="2746"/>
      <c r="Z4" s="2746"/>
      <c r="AA4" s="2746"/>
      <c r="AB4" s="2746"/>
      <c r="AC4" s="2746"/>
      <c r="AD4" s="2746"/>
      <c r="AE4" s="2746"/>
      <c r="AF4" s="2746"/>
      <c r="AG4" s="2746"/>
      <c r="AH4" s="2746"/>
      <c r="AI4" s="2746"/>
      <c r="AJ4" s="2746"/>
      <c r="AK4" s="2746"/>
      <c r="AL4" s="2746"/>
      <c r="AM4" s="2746"/>
      <c r="AN4" s="2746"/>
      <c r="AO4" s="2746"/>
      <c r="AP4" s="2746"/>
      <c r="AQ4" s="2746"/>
      <c r="AR4" s="2746"/>
      <c r="AS4" s="2746"/>
      <c r="AT4" s="2746"/>
      <c r="AU4" s="2746"/>
      <c r="AV4" s="2746"/>
      <c r="AW4" s="2746"/>
      <c r="AX4" s="2746"/>
      <c r="AY4" s="2746"/>
      <c r="AZ4" s="2746"/>
      <c r="BA4" s="2746"/>
      <c r="BB4" s="2746"/>
      <c r="BC4" s="2746"/>
      <c r="BD4" s="2746"/>
      <c r="BE4" s="2746"/>
      <c r="BF4" s="2746"/>
      <c r="BG4" s="2746"/>
      <c r="BH4" s="2746"/>
      <c r="BI4" s="2746"/>
      <c r="BJ4" s="2746"/>
      <c r="BK4" s="2746"/>
      <c r="BL4" s="2746"/>
      <c r="BM4" s="2746"/>
      <c r="BN4" s="2746"/>
      <c r="BO4" s="8"/>
      <c r="BQ4" s="3" t="s">
        <v>6</v>
      </c>
      <c r="BR4" s="653" t="s">
        <v>520</v>
      </c>
      <c r="BS4" s="52"/>
      <c r="BT4" s="52"/>
      <c r="BU4" s="52"/>
      <c r="BV4" s="52"/>
      <c r="BW4" s="52"/>
      <c r="BX4" s="52"/>
      <c r="BY4" s="52"/>
      <c r="BZ4" s="52"/>
      <c r="CA4" s="52"/>
      <c r="CB4" s="52"/>
      <c r="CC4" s="52"/>
      <c r="CD4" s="52"/>
      <c r="CE4" s="52"/>
      <c r="CF4" s="52"/>
      <c r="CG4" s="52"/>
      <c r="CH4" s="52"/>
      <c r="CI4" s="52"/>
    </row>
    <row r="5" spans="1:87" ht="15.75" customHeight="1" thickBot="1" x14ac:dyDescent="0.25">
      <c r="A5" s="2642" t="s">
        <v>8</v>
      </c>
      <c r="B5" s="2642"/>
      <c r="C5" s="2642"/>
      <c r="D5" s="2642"/>
      <c r="E5" s="2642"/>
      <c r="F5" s="2642"/>
      <c r="G5" s="2642"/>
      <c r="H5" s="2642"/>
      <c r="I5" s="2642"/>
      <c r="J5" s="2642"/>
      <c r="K5" s="2642"/>
      <c r="L5" s="2642"/>
      <c r="M5" s="2642"/>
      <c r="N5" s="11"/>
      <c r="O5" s="2644" t="s">
        <v>9</v>
      </c>
      <c r="P5" s="2644"/>
      <c r="Q5" s="2644"/>
      <c r="R5" s="2644"/>
      <c r="S5" s="2644"/>
      <c r="T5" s="2644"/>
      <c r="U5" s="2644"/>
      <c r="V5" s="2644"/>
      <c r="W5" s="2644"/>
      <c r="X5" s="2644"/>
      <c r="Y5" s="2644"/>
      <c r="Z5" s="2644"/>
      <c r="AA5" s="2644"/>
      <c r="AB5" s="2644"/>
      <c r="AC5" s="2644"/>
      <c r="AD5" s="2644"/>
      <c r="AE5" s="2644"/>
      <c r="AF5" s="2644"/>
      <c r="AG5" s="2644"/>
      <c r="AH5" s="2644"/>
      <c r="AI5" s="2644"/>
      <c r="AJ5" s="2644"/>
      <c r="AK5" s="2644"/>
      <c r="AL5" s="2644"/>
      <c r="AM5" s="2644"/>
      <c r="AN5" s="2644"/>
      <c r="AO5" s="2644"/>
      <c r="AP5" s="2644"/>
      <c r="AQ5" s="2644"/>
      <c r="AR5" s="2644"/>
      <c r="AS5" s="2644"/>
      <c r="AT5" s="2644"/>
      <c r="AU5" s="2644"/>
      <c r="AV5" s="2644"/>
      <c r="AW5" s="2644"/>
      <c r="AX5" s="2644"/>
      <c r="AY5" s="2644"/>
      <c r="AZ5" s="2644"/>
      <c r="BA5" s="2644"/>
      <c r="BB5" s="2644"/>
      <c r="BC5" s="2644"/>
      <c r="BD5" s="2644"/>
      <c r="BE5" s="2644"/>
      <c r="BF5" s="2644"/>
      <c r="BG5" s="2644"/>
      <c r="BH5" s="2644"/>
      <c r="BI5" s="2644"/>
      <c r="BJ5" s="2644"/>
      <c r="BK5" s="2644"/>
      <c r="BL5" s="2644"/>
      <c r="BM5" s="2644"/>
      <c r="BN5" s="2747"/>
      <c r="BO5" s="2747"/>
      <c r="BP5" s="2747"/>
      <c r="BQ5" s="2747"/>
      <c r="BR5" s="2747"/>
      <c r="BS5" s="52"/>
      <c r="BT5" s="52"/>
      <c r="BU5" s="52"/>
      <c r="BV5" s="52"/>
      <c r="BW5" s="52"/>
      <c r="BX5" s="52"/>
      <c r="BY5" s="52"/>
      <c r="BZ5" s="52"/>
      <c r="CA5" s="52"/>
      <c r="CB5" s="52"/>
      <c r="CC5" s="52"/>
      <c r="CD5" s="52"/>
      <c r="CE5" s="52"/>
      <c r="CF5" s="52"/>
      <c r="CG5" s="52"/>
      <c r="CH5" s="52"/>
      <c r="CI5" s="52"/>
    </row>
    <row r="6" spans="1:87" s="657" customFormat="1" ht="27.75" customHeight="1" x14ac:dyDescent="0.2">
      <c r="A6" s="2748" t="s">
        <v>10</v>
      </c>
      <c r="B6" s="2632" t="s">
        <v>11</v>
      </c>
      <c r="C6" s="2632"/>
      <c r="D6" s="2632" t="s">
        <v>10</v>
      </c>
      <c r="E6" s="2632" t="s">
        <v>12</v>
      </c>
      <c r="F6" s="2632"/>
      <c r="G6" s="2632" t="s">
        <v>10</v>
      </c>
      <c r="H6" s="2632" t="s">
        <v>13</v>
      </c>
      <c r="I6" s="2632"/>
      <c r="J6" s="2632" t="s">
        <v>10</v>
      </c>
      <c r="K6" s="2632" t="s">
        <v>14</v>
      </c>
      <c r="L6" s="2758" t="s">
        <v>15</v>
      </c>
      <c r="M6" s="2761" t="s">
        <v>16</v>
      </c>
      <c r="N6" s="2762"/>
      <c r="O6" s="2632" t="s">
        <v>17</v>
      </c>
      <c r="P6" s="2632" t="s">
        <v>108</v>
      </c>
      <c r="Q6" s="2632" t="s">
        <v>9</v>
      </c>
      <c r="R6" s="2749" t="s">
        <v>19</v>
      </c>
      <c r="S6" s="2750" t="s">
        <v>20</v>
      </c>
      <c r="T6" s="2632" t="s">
        <v>21</v>
      </c>
      <c r="U6" s="2632" t="s">
        <v>22</v>
      </c>
      <c r="V6" s="2751" t="s">
        <v>23</v>
      </c>
      <c r="W6" s="2752" t="s">
        <v>20</v>
      </c>
      <c r="X6" s="2753"/>
      <c r="Y6" s="2754"/>
      <c r="Z6" s="2748" t="s">
        <v>10</v>
      </c>
      <c r="AA6" s="2632" t="s">
        <v>24</v>
      </c>
      <c r="AB6" s="2668" t="s">
        <v>25</v>
      </c>
      <c r="AC6" s="2668"/>
      <c r="AD6" s="2668"/>
      <c r="AE6" s="655"/>
      <c r="AF6" s="2670" t="s">
        <v>26</v>
      </c>
      <c r="AG6" s="2671"/>
      <c r="AH6" s="2671"/>
      <c r="AI6" s="2671"/>
      <c r="AJ6" s="2671"/>
      <c r="AK6" s="2671"/>
      <c r="AL6" s="2671"/>
      <c r="AM6" s="2672"/>
      <c r="AN6" s="2695" t="s">
        <v>27</v>
      </c>
      <c r="AO6" s="2696"/>
      <c r="AP6" s="2696"/>
      <c r="AQ6" s="2696"/>
      <c r="AR6" s="2696"/>
      <c r="AS6" s="2696"/>
      <c r="AT6" s="2696"/>
      <c r="AU6" s="2696"/>
      <c r="AV6" s="2696"/>
      <c r="AW6" s="2696"/>
      <c r="AX6" s="2696"/>
      <c r="AY6" s="2697"/>
      <c r="AZ6" s="2775" t="s">
        <v>28</v>
      </c>
      <c r="BA6" s="2776"/>
      <c r="BB6" s="2776"/>
      <c r="BC6" s="2776"/>
      <c r="BD6" s="2776"/>
      <c r="BE6" s="2777"/>
      <c r="BF6" s="2780" t="s">
        <v>29</v>
      </c>
      <c r="BG6" s="2781"/>
      <c r="BH6" s="2673" t="s">
        <v>30</v>
      </c>
      <c r="BI6" s="2674"/>
      <c r="BJ6" s="2674"/>
      <c r="BK6" s="2674"/>
      <c r="BL6" s="2674"/>
      <c r="BM6" s="2675"/>
      <c r="BN6" s="2765" t="s">
        <v>31</v>
      </c>
      <c r="BO6" s="2766"/>
      <c r="BP6" s="2765" t="s">
        <v>32</v>
      </c>
      <c r="BQ6" s="2766"/>
      <c r="BR6" s="2769" t="s">
        <v>33</v>
      </c>
      <c r="BS6" s="656"/>
      <c r="BT6" s="656"/>
      <c r="BU6" s="656"/>
      <c r="BV6" s="656"/>
      <c r="BW6" s="656"/>
      <c r="BX6" s="656"/>
      <c r="BY6" s="656"/>
      <c r="BZ6" s="656"/>
      <c r="CA6" s="656"/>
      <c r="CB6" s="656"/>
      <c r="CC6" s="656"/>
      <c r="CD6" s="656"/>
      <c r="CE6" s="656"/>
      <c r="CF6" s="656"/>
      <c r="CG6" s="656"/>
      <c r="CH6" s="656"/>
      <c r="CI6" s="656"/>
    </row>
    <row r="7" spans="1:87" s="659" customFormat="1" ht="108" customHeight="1" x14ac:dyDescent="0.25">
      <c r="A7" s="2748"/>
      <c r="B7" s="2632"/>
      <c r="C7" s="2632"/>
      <c r="D7" s="2632"/>
      <c r="E7" s="2632"/>
      <c r="F7" s="2632"/>
      <c r="G7" s="2632"/>
      <c r="H7" s="2632"/>
      <c r="I7" s="2632"/>
      <c r="J7" s="2632"/>
      <c r="K7" s="2632"/>
      <c r="L7" s="2759"/>
      <c r="M7" s="2763"/>
      <c r="N7" s="2764"/>
      <c r="O7" s="2632"/>
      <c r="P7" s="2632"/>
      <c r="Q7" s="2632"/>
      <c r="R7" s="2749"/>
      <c r="S7" s="2750"/>
      <c r="T7" s="2632"/>
      <c r="U7" s="2632"/>
      <c r="V7" s="2751"/>
      <c r="W7" s="2755"/>
      <c r="X7" s="2756"/>
      <c r="Y7" s="2757"/>
      <c r="Z7" s="2748"/>
      <c r="AA7" s="2632"/>
      <c r="AB7" s="2771" t="s">
        <v>37</v>
      </c>
      <c r="AC7" s="2772"/>
      <c r="AD7" s="2773" t="s">
        <v>38</v>
      </c>
      <c r="AE7" s="2774"/>
      <c r="AF7" s="2771" t="s">
        <v>39</v>
      </c>
      <c r="AG7" s="2772"/>
      <c r="AH7" s="2771" t="s">
        <v>40</v>
      </c>
      <c r="AI7" s="2772"/>
      <c r="AJ7" s="2771" t="s">
        <v>521</v>
      </c>
      <c r="AK7" s="2772"/>
      <c r="AL7" s="2771" t="s">
        <v>42</v>
      </c>
      <c r="AM7" s="2772"/>
      <c r="AN7" s="2771" t="s">
        <v>43</v>
      </c>
      <c r="AO7" s="2772"/>
      <c r="AP7" s="2771" t="s">
        <v>44</v>
      </c>
      <c r="AQ7" s="2772"/>
      <c r="AR7" s="2771" t="s">
        <v>45</v>
      </c>
      <c r="AS7" s="2772"/>
      <c r="AT7" s="2771" t="s">
        <v>46</v>
      </c>
      <c r="AU7" s="2772"/>
      <c r="AV7" s="2771" t="s">
        <v>47</v>
      </c>
      <c r="AW7" s="2772"/>
      <c r="AX7" s="2771" t="s">
        <v>522</v>
      </c>
      <c r="AY7" s="2772"/>
      <c r="AZ7" s="2771" t="s">
        <v>49</v>
      </c>
      <c r="BA7" s="2772"/>
      <c r="BB7" s="2771" t="s">
        <v>50</v>
      </c>
      <c r="BC7" s="2772"/>
      <c r="BD7" s="2779" t="s">
        <v>51</v>
      </c>
      <c r="BE7" s="2779"/>
      <c r="BF7" s="2782"/>
      <c r="BG7" s="2783"/>
      <c r="BH7" s="2700" t="s">
        <v>52</v>
      </c>
      <c r="BI7" s="2701" t="s">
        <v>53</v>
      </c>
      <c r="BJ7" s="2700" t="s">
        <v>54</v>
      </c>
      <c r="BK7" s="2778" t="s">
        <v>55</v>
      </c>
      <c r="BL7" s="2700" t="s">
        <v>56</v>
      </c>
      <c r="BM7" s="2698" t="s">
        <v>57</v>
      </c>
      <c r="BN7" s="2767"/>
      <c r="BO7" s="2768"/>
      <c r="BP7" s="2767"/>
      <c r="BQ7" s="2768"/>
      <c r="BR7" s="2770"/>
      <c r="BS7" s="658"/>
      <c r="BT7" s="658"/>
      <c r="BU7" s="658"/>
      <c r="BV7" s="658"/>
      <c r="BW7" s="658"/>
      <c r="BX7" s="658"/>
      <c r="BY7" s="658"/>
      <c r="BZ7" s="658"/>
      <c r="CA7" s="658"/>
      <c r="CB7" s="658"/>
      <c r="CC7" s="658"/>
      <c r="CD7" s="658"/>
      <c r="CE7" s="658"/>
      <c r="CF7" s="658"/>
      <c r="CG7" s="658"/>
      <c r="CH7" s="658"/>
      <c r="CI7" s="658"/>
    </row>
    <row r="8" spans="1:87" s="659" customFormat="1" ht="52.5" customHeight="1" x14ac:dyDescent="0.25">
      <c r="A8" s="2748"/>
      <c r="B8" s="2632"/>
      <c r="C8" s="2632"/>
      <c r="D8" s="2632"/>
      <c r="E8" s="2632"/>
      <c r="F8" s="2632"/>
      <c r="G8" s="2632"/>
      <c r="H8" s="2632"/>
      <c r="I8" s="2632"/>
      <c r="J8" s="2632"/>
      <c r="K8" s="2632"/>
      <c r="L8" s="2760"/>
      <c r="M8" s="529" t="s">
        <v>58</v>
      </c>
      <c r="N8" s="529" t="s">
        <v>59</v>
      </c>
      <c r="O8" s="2632"/>
      <c r="P8" s="2632"/>
      <c r="Q8" s="2632"/>
      <c r="R8" s="2749"/>
      <c r="S8" s="2750"/>
      <c r="T8" s="2632"/>
      <c r="U8" s="2632"/>
      <c r="V8" s="2751"/>
      <c r="W8" s="660" t="s">
        <v>34</v>
      </c>
      <c r="X8" s="660" t="s">
        <v>35</v>
      </c>
      <c r="Y8" s="660" t="s">
        <v>36</v>
      </c>
      <c r="Z8" s="2748"/>
      <c r="AA8" s="2632"/>
      <c r="AB8" s="529" t="s">
        <v>58</v>
      </c>
      <c r="AC8" s="529" t="s">
        <v>59</v>
      </c>
      <c r="AD8" s="529" t="s">
        <v>58</v>
      </c>
      <c r="AE8" s="529" t="s">
        <v>59</v>
      </c>
      <c r="AF8" s="529" t="s">
        <v>58</v>
      </c>
      <c r="AG8" s="529" t="s">
        <v>59</v>
      </c>
      <c r="AH8" s="529" t="s">
        <v>58</v>
      </c>
      <c r="AI8" s="529" t="s">
        <v>59</v>
      </c>
      <c r="AJ8" s="529" t="s">
        <v>58</v>
      </c>
      <c r="AK8" s="529" t="s">
        <v>59</v>
      </c>
      <c r="AL8" s="529" t="s">
        <v>58</v>
      </c>
      <c r="AM8" s="529" t="s">
        <v>59</v>
      </c>
      <c r="AN8" s="529" t="s">
        <v>58</v>
      </c>
      <c r="AO8" s="529" t="s">
        <v>59</v>
      </c>
      <c r="AP8" s="529" t="s">
        <v>58</v>
      </c>
      <c r="AQ8" s="529" t="s">
        <v>59</v>
      </c>
      <c r="AR8" s="529" t="s">
        <v>58</v>
      </c>
      <c r="AS8" s="529" t="s">
        <v>59</v>
      </c>
      <c r="AT8" s="529" t="s">
        <v>58</v>
      </c>
      <c r="AU8" s="529" t="s">
        <v>59</v>
      </c>
      <c r="AV8" s="529" t="s">
        <v>58</v>
      </c>
      <c r="AW8" s="529" t="s">
        <v>59</v>
      </c>
      <c r="AX8" s="529" t="s">
        <v>58</v>
      </c>
      <c r="AY8" s="529" t="s">
        <v>59</v>
      </c>
      <c r="AZ8" s="529" t="s">
        <v>58</v>
      </c>
      <c r="BA8" s="529" t="s">
        <v>59</v>
      </c>
      <c r="BB8" s="529" t="s">
        <v>58</v>
      </c>
      <c r="BC8" s="529" t="s">
        <v>59</v>
      </c>
      <c r="BD8" s="529" t="s">
        <v>58</v>
      </c>
      <c r="BE8" s="529" t="s">
        <v>59</v>
      </c>
      <c r="BF8" s="529" t="s">
        <v>58</v>
      </c>
      <c r="BG8" s="529" t="s">
        <v>59</v>
      </c>
      <c r="BH8" s="2700"/>
      <c r="BI8" s="2701"/>
      <c r="BJ8" s="2700"/>
      <c r="BK8" s="2778"/>
      <c r="BL8" s="2700"/>
      <c r="BM8" s="2699"/>
      <c r="BN8" s="529" t="s">
        <v>58</v>
      </c>
      <c r="BO8" s="529" t="s">
        <v>59</v>
      </c>
      <c r="BP8" s="529" t="s">
        <v>58</v>
      </c>
      <c r="BQ8" s="529" t="s">
        <v>59</v>
      </c>
      <c r="BR8" s="661"/>
      <c r="BS8" s="658"/>
      <c r="BT8" s="658"/>
      <c r="BU8" s="658"/>
      <c r="BV8" s="658"/>
      <c r="BW8" s="658"/>
      <c r="BX8" s="658"/>
      <c r="BY8" s="658"/>
      <c r="BZ8" s="658"/>
      <c r="CA8" s="658"/>
      <c r="CB8" s="658"/>
      <c r="CC8" s="658"/>
      <c r="CD8" s="658"/>
      <c r="CE8" s="658"/>
      <c r="CF8" s="658"/>
      <c r="CG8" s="658"/>
      <c r="CH8" s="658"/>
      <c r="CI8" s="658"/>
    </row>
    <row r="9" spans="1:87" s="657" customFormat="1" ht="15.75" customHeight="1" x14ac:dyDescent="0.2">
      <c r="A9" s="662">
        <v>5</v>
      </c>
      <c r="B9" s="2787" t="s">
        <v>60</v>
      </c>
      <c r="C9" s="2787"/>
      <c r="D9" s="2787"/>
      <c r="E9" s="2787"/>
      <c r="F9" s="2787"/>
      <c r="G9" s="2787"/>
      <c r="H9" s="2787"/>
      <c r="I9" s="2787"/>
      <c r="J9" s="2787"/>
      <c r="K9" s="2787"/>
      <c r="L9" s="664"/>
      <c r="M9" s="664"/>
      <c r="N9" s="664"/>
      <c r="O9" s="665"/>
      <c r="P9" s="665"/>
      <c r="Q9" s="664"/>
      <c r="R9" s="666"/>
      <c r="S9" s="667"/>
      <c r="T9" s="664"/>
      <c r="U9" s="664"/>
      <c r="V9" s="668"/>
      <c r="W9" s="669"/>
      <c r="X9" s="669"/>
      <c r="Y9" s="669"/>
      <c r="Z9" s="670"/>
      <c r="AA9" s="665"/>
      <c r="AB9" s="671"/>
      <c r="AC9" s="671"/>
      <c r="AD9" s="671"/>
      <c r="AE9" s="671"/>
      <c r="AF9" s="671"/>
      <c r="AG9" s="671"/>
      <c r="AH9" s="671"/>
      <c r="AI9" s="671"/>
      <c r="AJ9" s="671"/>
      <c r="AK9" s="671"/>
      <c r="AL9" s="671"/>
      <c r="AM9" s="671"/>
      <c r="AN9" s="671"/>
      <c r="AO9" s="671"/>
      <c r="AP9" s="671"/>
      <c r="AQ9" s="671"/>
      <c r="AR9" s="671"/>
      <c r="AS9" s="671"/>
      <c r="AT9" s="671"/>
      <c r="AU9" s="671"/>
      <c r="AV9" s="671"/>
      <c r="AW9" s="671"/>
      <c r="AX9" s="671"/>
      <c r="AY9" s="671"/>
      <c r="AZ9" s="671"/>
      <c r="BA9" s="671"/>
      <c r="BB9" s="671"/>
      <c r="BC9" s="671"/>
      <c r="BD9" s="671"/>
      <c r="BE9" s="671"/>
      <c r="BF9" s="671"/>
      <c r="BG9" s="671"/>
      <c r="BH9" s="671"/>
      <c r="BI9" s="671"/>
      <c r="BJ9" s="671"/>
      <c r="BK9" s="671"/>
      <c r="BL9" s="671"/>
      <c r="BM9" s="671"/>
      <c r="BN9" s="672"/>
      <c r="BO9" s="672"/>
      <c r="BP9" s="672"/>
      <c r="BQ9" s="672"/>
      <c r="BR9" s="673"/>
      <c r="BS9" s="656"/>
      <c r="BT9" s="656"/>
      <c r="BU9" s="656"/>
      <c r="BV9" s="656"/>
      <c r="BW9" s="656"/>
      <c r="BX9" s="656"/>
      <c r="BY9" s="656"/>
      <c r="BZ9" s="656"/>
      <c r="CA9" s="656"/>
      <c r="CB9" s="656"/>
      <c r="CC9" s="656"/>
      <c r="CD9" s="656"/>
      <c r="CE9" s="656"/>
      <c r="CF9" s="656"/>
      <c r="CG9" s="656"/>
      <c r="CH9" s="656"/>
      <c r="CI9" s="656"/>
    </row>
    <row r="10" spans="1:87" s="52" customFormat="1" ht="23.25" customHeight="1" x14ac:dyDescent="0.2">
      <c r="A10" s="674"/>
      <c r="B10" s="675"/>
      <c r="C10" s="676"/>
      <c r="D10" s="677">
        <v>26</v>
      </c>
      <c r="E10" s="2788" t="s">
        <v>61</v>
      </c>
      <c r="F10" s="2788"/>
      <c r="G10" s="2788"/>
      <c r="H10" s="2788"/>
      <c r="I10" s="2788"/>
      <c r="J10" s="2788"/>
      <c r="K10" s="2788"/>
      <c r="L10" s="678"/>
      <c r="M10" s="678"/>
      <c r="N10" s="678"/>
      <c r="O10" s="679"/>
      <c r="P10" s="679"/>
      <c r="Q10" s="678"/>
      <c r="R10" s="680"/>
      <c r="S10" s="681"/>
      <c r="T10" s="678"/>
      <c r="U10" s="678"/>
      <c r="V10" s="682"/>
      <c r="W10" s="683"/>
      <c r="X10" s="683"/>
      <c r="Y10" s="683"/>
      <c r="Z10" s="684"/>
      <c r="AA10" s="679"/>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85"/>
      <c r="BC10" s="685"/>
      <c r="BD10" s="685"/>
      <c r="BE10" s="685"/>
      <c r="BF10" s="685"/>
      <c r="BG10" s="685"/>
      <c r="BH10" s="685"/>
      <c r="BI10" s="685"/>
      <c r="BJ10" s="685"/>
      <c r="BK10" s="685"/>
      <c r="BL10" s="685"/>
      <c r="BM10" s="685"/>
      <c r="BN10" s="686"/>
      <c r="BO10" s="686"/>
      <c r="BP10" s="686"/>
      <c r="BQ10" s="686"/>
      <c r="BR10" s="687"/>
    </row>
    <row r="11" spans="1:87" s="52" customFormat="1" ht="25.5" customHeight="1" x14ac:dyDescent="0.2">
      <c r="A11" s="688"/>
      <c r="B11" s="689"/>
      <c r="C11" s="689"/>
      <c r="D11" s="690"/>
      <c r="E11" s="675"/>
      <c r="F11" s="676"/>
      <c r="G11" s="691">
        <v>83</v>
      </c>
      <c r="H11" s="692" t="s">
        <v>523</v>
      </c>
      <c r="I11" s="692"/>
      <c r="J11" s="692"/>
      <c r="K11" s="692"/>
      <c r="L11" s="693"/>
      <c r="M11" s="693"/>
      <c r="N11" s="693"/>
      <c r="O11" s="694"/>
      <c r="P11" s="694"/>
      <c r="Q11" s="693"/>
      <c r="R11" s="695"/>
      <c r="S11" s="696"/>
      <c r="T11" s="693"/>
      <c r="U11" s="693"/>
      <c r="V11" s="697"/>
      <c r="W11" s="698"/>
      <c r="X11" s="698"/>
      <c r="Y11" s="698"/>
      <c r="Z11" s="699"/>
      <c r="AA11" s="694"/>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2"/>
      <c r="AY11" s="692"/>
      <c r="AZ11" s="692"/>
      <c r="BA11" s="692"/>
      <c r="BB11" s="692"/>
      <c r="BC11" s="692"/>
      <c r="BD11" s="692"/>
      <c r="BE11" s="692"/>
      <c r="BF11" s="692"/>
      <c r="BG11" s="692"/>
      <c r="BH11" s="692"/>
      <c r="BI11" s="692"/>
      <c r="BJ11" s="692"/>
      <c r="BK11" s="692"/>
      <c r="BL11" s="692"/>
      <c r="BM11" s="692"/>
      <c r="BN11" s="700"/>
      <c r="BO11" s="700"/>
      <c r="BP11" s="700"/>
      <c r="BQ11" s="700"/>
      <c r="BR11" s="701"/>
    </row>
    <row r="12" spans="1:87" ht="222.75" customHeight="1" x14ac:dyDescent="0.2">
      <c r="A12" s="702"/>
      <c r="B12" s="570"/>
      <c r="C12" s="570"/>
      <c r="D12" s="703"/>
      <c r="E12" s="570"/>
      <c r="F12" s="704"/>
      <c r="G12" s="705"/>
      <c r="H12" s="570"/>
      <c r="I12" s="570"/>
      <c r="J12" s="2706">
        <v>246</v>
      </c>
      <c r="K12" s="2707" t="s">
        <v>524</v>
      </c>
      <c r="L12" s="2707" t="s">
        <v>525</v>
      </c>
      <c r="M12" s="2706">
        <v>13</v>
      </c>
      <c r="N12" s="2708">
        <v>13</v>
      </c>
      <c r="O12" s="2706" t="s">
        <v>526</v>
      </c>
      <c r="P12" s="2706" t="s">
        <v>527</v>
      </c>
      <c r="Q12" s="2707" t="s">
        <v>528</v>
      </c>
      <c r="R12" s="2784">
        <v>1</v>
      </c>
      <c r="S12" s="2785">
        <f>SUM(W12:W33)</f>
        <v>17500000</v>
      </c>
      <c r="T12" s="2789" t="s">
        <v>529</v>
      </c>
      <c r="U12" s="706" t="s">
        <v>530</v>
      </c>
      <c r="V12" s="707" t="s">
        <v>531</v>
      </c>
      <c r="W12" s="708">
        <v>1200000</v>
      </c>
      <c r="X12" s="708"/>
      <c r="Y12" s="708"/>
      <c r="Z12" s="709">
        <v>20</v>
      </c>
      <c r="AA12" s="710" t="s">
        <v>532</v>
      </c>
      <c r="AB12" s="2786">
        <v>294321</v>
      </c>
      <c r="AC12" s="2792">
        <f>AB12</f>
        <v>294321</v>
      </c>
      <c r="AD12" s="2795">
        <v>283947</v>
      </c>
      <c r="AE12" s="2795">
        <f>AD12</f>
        <v>283947</v>
      </c>
      <c r="AF12" s="2786">
        <v>135754</v>
      </c>
      <c r="AG12" s="2786">
        <f>AF12</f>
        <v>135754</v>
      </c>
      <c r="AH12" s="2786">
        <v>44640</v>
      </c>
      <c r="AI12" s="2786">
        <f>AH12</f>
        <v>44640</v>
      </c>
      <c r="AJ12" s="2786">
        <v>308178</v>
      </c>
      <c r="AK12" s="2786">
        <f>AJ12</f>
        <v>308178</v>
      </c>
      <c r="AL12" s="2786">
        <v>89696</v>
      </c>
      <c r="AM12" s="2786">
        <f>AL12</f>
        <v>89696</v>
      </c>
      <c r="AN12" s="2786">
        <v>2145</v>
      </c>
      <c r="AO12" s="2786">
        <f>AN12</f>
        <v>2145</v>
      </c>
      <c r="AP12" s="2786">
        <v>12718</v>
      </c>
      <c r="AQ12" s="2786">
        <f>AP12</f>
        <v>12718</v>
      </c>
      <c r="AR12" s="2786">
        <v>26</v>
      </c>
      <c r="AS12" s="2786">
        <f>AR12</f>
        <v>26</v>
      </c>
      <c r="AT12" s="2786">
        <v>37</v>
      </c>
      <c r="AU12" s="2786">
        <f>AT12</f>
        <v>37</v>
      </c>
      <c r="AV12" s="2786"/>
      <c r="AW12" s="2786"/>
      <c r="AX12" s="2786"/>
      <c r="AY12" s="2786"/>
      <c r="AZ12" s="2786">
        <v>54612</v>
      </c>
      <c r="BA12" s="2786">
        <f>AZ12</f>
        <v>54612</v>
      </c>
      <c r="BB12" s="2786">
        <v>21944</v>
      </c>
      <c r="BC12" s="2786">
        <f>BB12</f>
        <v>21944</v>
      </c>
      <c r="BD12" s="2786">
        <v>1010</v>
      </c>
      <c r="BE12" s="2786">
        <f>BD12</f>
        <v>1010</v>
      </c>
      <c r="BF12" s="2786">
        <f>+AB12+AD12</f>
        <v>578268</v>
      </c>
      <c r="BG12" s="2786">
        <f>BF12</f>
        <v>578268</v>
      </c>
      <c r="BH12" s="2786">
        <v>1</v>
      </c>
      <c r="BI12" s="2801">
        <f>SUM(X12:X31)</f>
        <v>13990000</v>
      </c>
      <c r="BJ12" s="2801">
        <f>SUM(Y12:Y31)</f>
        <v>13990000</v>
      </c>
      <c r="BK12" s="2719">
        <f>BJ12/BI12</f>
        <v>1</v>
      </c>
      <c r="BL12" s="2786"/>
      <c r="BM12" s="2808" t="s">
        <v>533</v>
      </c>
      <c r="BN12" s="2805">
        <v>43102</v>
      </c>
      <c r="BO12" s="2805">
        <v>43486</v>
      </c>
      <c r="BP12" s="2805">
        <v>43465</v>
      </c>
      <c r="BQ12" s="2805">
        <v>43636</v>
      </c>
      <c r="BR12" s="2806" t="s">
        <v>534</v>
      </c>
    </row>
    <row r="13" spans="1:87" ht="56.25" customHeight="1" x14ac:dyDescent="0.2">
      <c r="A13" s="702"/>
      <c r="B13" s="570"/>
      <c r="C13" s="570"/>
      <c r="D13" s="703"/>
      <c r="E13" s="570"/>
      <c r="F13" s="704"/>
      <c r="G13" s="703"/>
      <c r="H13" s="570"/>
      <c r="I13" s="570"/>
      <c r="J13" s="2706"/>
      <c r="K13" s="2707"/>
      <c r="L13" s="2707"/>
      <c r="M13" s="2706"/>
      <c r="N13" s="2709"/>
      <c r="O13" s="2706"/>
      <c r="P13" s="2706"/>
      <c r="Q13" s="2707"/>
      <c r="R13" s="2784"/>
      <c r="S13" s="2785"/>
      <c r="T13" s="2790"/>
      <c r="U13" s="2807" t="s">
        <v>535</v>
      </c>
      <c r="V13" s="712" t="s">
        <v>536</v>
      </c>
      <c r="W13" s="708">
        <v>360000</v>
      </c>
      <c r="X13" s="708">
        <f>W13</f>
        <v>360000</v>
      </c>
      <c r="Y13" s="708">
        <v>360000</v>
      </c>
      <c r="Z13" s="709">
        <v>20</v>
      </c>
      <c r="AA13" s="710" t="s">
        <v>532</v>
      </c>
      <c r="AB13" s="2786"/>
      <c r="AC13" s="2793"/>
      <c r="AD13" s="2795"/>
      <c r="AE13" s="2795"/>
      <c r="AF13" s="2786"/>
      <c r="AG13" s="2786"/>
      <c r="AH13" s="2786"/>
      <c r="AI13" s="2786"/>
      <c r="AJ13" s="2786"/>
      <c r="AK13" s="2786"/>
      <c r="AL13" s="2786"/>
      <c r="AM13" s="2786"/>
      <c r="AN13" s="2786"/>
      <c r="AO13" s="2786"/>
      <c r="AP13" s="2786"/>
      <c r="AQ13" s="2786"/>
      <c r="AR13" s="2786"/>
      <c r="AS13" s="2786"/>
      <c r="AT13" s="2786"/>
      <c r="AU13" s="2786"/>
      <c r="AV13" s="2786"/>
      <c r="AW13" s="2786"/>
      <c r="AX13" s="2786"/>
      <c r="AY13" s="2786"/>
      <c r="AZ13" s="2786"/>
      <c r="BA13" s="2786"/>
      <c r="BB13" s="2786"/>
      <c r="BC13" s="2786"/>
      <c r="BD13" s="2786"/>
      <c r="BE13" s="2786"/>
      <c r="BF13" s="2786"/>
      <c r="BG13" s="2786"/>
      <c r="BH13" s="2786"/>
      <c r="BI13" s="2786"/>
      <c r="BJ13" s="2786"/>
      <c r="BK13" s="2719"/>
      <c r="BL13" s="2786"/>
      <c r="BM13" s="2786"/>
      <c r="BN13" s="2805"/>
      <c r="BO13" s="2805"/>
      <c r="BP13" s="2805"/>
      <c r="BQ13" s="2805"/>
      <c r="BR13" s="2806"/>
    </row>
    <row r="14" spans="1:87" ht="69.75" customHeight="1" x14ac:dyDescent="0.2">
      <c r="A14" s="702"/>
      <c r="B14" s="570"/>
      <c r="C14" s="570"/>
      <c r="D14" s="703"/>
      <c r="E14" s="570"/>
      <c r="F14" s="704"/>
      <c r="G14" s="703"/>
      <c r="H14" s="570"/>
      <c r="I14" s="570"/>
      <c r="J14" s="2706"/>
      <c r="K14" s="2707"/>
      <c r="L14" s="2707"/>
      <c r="M14" s="2706"/>
      <c r="N14" s="2709"/>
      <c r="O14" s="2706"/>
      <c r="P14" s="2706"/>
      <c r="Q14" s="2707"/>
      <c r="R14" s="2784"/>
      <c r="S14" s="2785"/>
      <c r="T14" s="2790"/>
      <c r="U14" s="2807"/>
      <c r="V14" s="712" t="s">
        <v>537</v>
      </c>
      <c r="W14" s="708">
        <v>300000</v>
      </c>
      <c r="X14" s="708">
        <f>W14</f>
        <v>300000</v>
      </c>
      <c r="Y14" s="708">
        <v>300000</v>
      </c>
      <c r="Z14" s="709">
        <v>20</v>
      </c>
      <c r="AA14" s="710" t="s">
        <v>532</v>
      </c>
      <c r="AB14" s="2786"/>
      <c r="AC14" s="2793"/>
      <c r="AD14" s="2795"/>
      <c r="AE14" s="2795"/>
      <c r="AF14" s="2786"/>
      <c r="AG14" s="2786"/>
      <c r="AH14" s="2786"/>
      <c r="AI14" s="2786"/>
      <c r="AJ14" s="2786"/>
      <c r="AK14" s="2786"/>
      <c r="AL14" s="2786"/>
      <c r="AM14" s="2786"/>
      <c r="AN14" s="2786"/>
      <c r="AO14" s="2786"/>
      <c r="AP14" s="2786"/>
      <c r="AQ14" s="2786"/>
      <c r="AR14" s="2786"/>
      <c r="AS14" s="2786"/>
      <c r="AT14" s="2786"/>
      <c r="AU14" s="2786"/>
      <c r="AV14" s="2786"/>
      <c r="AW14" s="2786"/>
      <c r="AX14" s="2786"/>
      <c r="AY14" s="2786"/>
      <c r="AZ14" s="2786"/>
      <c r="BA14" s="2786"/>
      <c r="BB14" s="2786"/>
      <c r="BC14" s="2786"/>
      <c r="BD14" s="2786"/>
      <c r="BE14" s="2786"/>
      <c r="BF14" s="2786"/>
      <c r="BG14" s="2786"/>
      <c r="BH14" s="2786"/>
      <c r="BI14" s="2786"/>
      <c r="BJ14" s="2786"/>
      <c r="BK14" s="2719"/>
      <c r="BL14" s="2786"/>
      <c r="BM14" s="2786"/>
      <c r="BN14" s="2805"/>
      <c r="BO14" s="2805"/>
      <c r="BP14" s="2805"/>
      <c r="BQ14" s="2805"/>
      <c r="BR14" s="2806"/>
    </row>
    <row r="15" spans="1:87" ht="129.75" customHeight="1" x14ac:dyDescent="0.2">
      <c r="A15" s="702"/>
      <c r="B15" s="570"/>
      <c r="C15" s="570"/>
      <c r="D15" s="703"/>
      <c r="E15" s="570"/>
      <c r="F15" s="704"/>
      <c r="G15" s="703"/>
      <c r="H15" s="570"/>
      <c r="I15" s="570"/>
      <c r="J15" s="2706"/>
      <c r="K15" s="2707"/>
      <c r="L15" s="2707"/>
      <c r="M15" s="2706"/>
      <c r="N15" s="2709"/>
      <c r="O15" s="2706"/>
      <c r="P15" s="2706"/>
      <c r="Q15" s="2707"/>
      <c r="R15" s="2784"/>
      <c r="S15" s="2785"/>
      <c r="T15" s="2790"/>
      <c r="U15" s="2807"/>
      <c r="V15" s="712" t="s">
        <v>538</v>
      </c>
      <c r="W15" s="708">
        <v>360000</v>
      </c>
      <c r="X15" s="708">
        <v>360000</v>
      </c>
      <c r="Y15" s="708">
        <v>360000</v>
      </c>
      <c r="Z15" s="709">
        <v>20</v>
      </c>
      <c r="AA15" s="710" t="s">
        <v>532</v>
      </c>
      <c r="AB15" s="2786"/>
      <c r="AC15" s="2793"/>
      <c r="AD15" s="2795"/>
      <c r="AE15" s="2795"/>
      <c r="AF15" s="2786"/>
      <c r="AG15" s="2786"/>
      <c r="AH15" s="2786"/>
      <c r="AI15" s="2786"/>
      <c r="AJ15" s="2786"/>
      <c r="AK15" s="2786"/>
      <c r="AL15" s="2786"/>
      <c r="AM15" s="2786"/>
      <c r="AN15" s="2786"/>
      <c r="AO15" s="2786"/>
      <c r="AP15" s="2786"/>
      <c r="AQ15" s="2786"/>
      <c r="AR15" s="2786"/>
      <c r="AS15" s="2786"/>
      <c r="AT15" s="2786"/>
      <c r="AU15" s="2786"/>
      <c r="AV15" s="2786"/>
      <c r="AW15" s="2786"/>
      <c r="AX15" s="2786"/>
      <c r="AY15" s="2786"/>
      <c r="AZ15" s="2786"/>
      <c r="BA15" s="2786"/>
      <c r="BB15" s="2786"/>
      <c r="BC15" s="2786"/>
      <c r="BD15" s="2786"/>
      <c r="BE15" s="2786"/>
      <c r="BF15" s="2786"/>
      <c r="BG15" s="2786"/>
      <c r="BH15" s="2786"/>
      <c r="BI15" s="2786"/>
      <c r="BJ15" s="2786"/>
      <c r="BK15" s="2719"/>
      <c r="BL15" s="2786"/>
      <c r="BM15" s="2786"/>
      <c r="BN15" s="2805"/>
      <c r="BO15" s="2805"/>
      <c r="BP15" s="2805"/>
      <c r="BQ15" s="2805"/>
      <c r="BR15" s="2806"/>
    </row>
    <row r="16" spans="1:87" ht="67.5" customHeight="1" x14ac:dyDescent="0.2">
      <c r="A16" s="702"/>
      <c r="B16" s="570"/>
      <c r="C16" s="570"/>
      <c r="D16" s="703"/>
      <c r="E16" s="570"/>
      <c r="F16" s="704"/>
      <c r="G16" s="703"/>
      <c r="H16" s="570"/>
      <c r="I16" s="570"/>
      <c r="J16" s="2706"/>
      <c r="K16" s="2707"/>
      <c r="L16" s="2707"/>
      <c r="M16" s="2706"/>
      <c r="N16" s="2709"/>
      <c r="O16" s="2706"/>
      <c r="P16" s="2706"/>
      <c r="Q16" s="2707"/>
      <c r="R16" s="2784"/>
      <c r="S16" s="2785"/>
      <c r="T16" s="2790"/>
      <c r="U16" s="2807"/>
      <c r="V16" s="712" t="s">
        <v>539</v>
      </c>
      <c r="W16" s="708">
        <v>360000</v>
      </c>
      <c r="X16" s="708">
        <v>360000</v>
      </c>
      <c r="Y16" s="708">
        <v>360000</v>
      </c>
      <c r="Z16" s="709">
        <v>20</v>
      </c>
      <c r="AA16" s="710" t="s">
        <v>532</v>
      </c>
      <c r="AB16" s="2786"/>
      <c r="AC16" s="2793"/>
      <c r="AD16" s="2795"/>
      <c r="AE16" s="2795"/>
      <c r="AF16" s="2786"/>
      <c r="AG16" s="2786"/>
      <c r="AH16" s="2786"/>
      <c r="AI16" s="2786"/>
      <c r="AJ16" s="2786"/>
      <c r="AK16" s="2786"/>
      <c r="AL16" s="2786"/>
      <c r="AM16" s="2786"/>
      <c r="AN16" s="2786"/>
      <c r="AO16" s="2786"/>
      <c r="AP16" s="2786"/>
      <c r="AQ16" s="2786"/>
      <c r="AR16" s="2786"/>
      <c r="AS16" s="2786"/>
      <c r="AT16" s="2786"/>
      <c r="AU16" s="2786"/>
      <c r="AV16" s="2786"/>
      <c r="AW16" s="2786"/>
      <c r="AX16" s="2786"/>
      <c r="AY16" s="2786"/>
      <c r="AZ16" s="2786"/>
      <c r="BA16" s="2786"/>
      <c r="BB16" s="2786"/>
      <c r="BC16" s="2786"/>
      <c r="BD16" s="2786"/>
      <c r="BE16" s="2786"/>
      <c r="BF16" s="2786"/>
      <c r="BG16" s="2786"/>
      <c r="BH16" s="2786"/>
      <c r="BI16" s="2786"/>
      <c r="BJ16" s="2786"/>
      <c r="BK16" s="2719"/>
      <c r="BL16" s="2786"/>
      <c r="BM16" s="2786"/>
      <c r="BN16" s="2805"/>
      <c r="BO16" s="2805"/>
      <c r="BP16" s="2805"/>
      <c r="BQ16" s="2805"/>
      <c r="BR16" s="2806"/>
    </row>
    <row r="17" spans="1:70" ht="208.5" customHeight="1" x14ac:dyDescent="0.2">
      <c r="A17" s="702"/>
      <c r="B17" s="570"/>
      <c r="C17" s="570"/>
      <c r="D17" s="703"/>
      <c r="E17" s="570"/>
      <c r="F17" s="704"/>
      <c r="G17" s="703"/>
      <c r="H17" s="570"/>
      <c r="I17" s="570"/>
      <c r="J17" s="2706"/>
      <c r="K17" s="2707"/>
      <c r="L17" s="2707"/>
      <c r="M17" s="2706"/>
      <c r="N17" s="2709"/>
      <c r="O17" s="2706"/>
      <c r="P17" s="2706"/>
      <c r="Q17" s="2707"/>
      <c r="R17" s="2784"/>
      <c r="S17" s="2785"/>
      <c r="T17" s="2790"/>
      <c r="U17" s="2807"/>
      <c r="V17" s="712" t="s">
        <v>540</v>
      </c>
      <c r="W17" s="708">
        <v>360000</v>
      </c>
      <c r="X17" s="708">
        <v>360000</v>
      </c>
      <c r="Y17" s="708">
        <v>360000</v>
      </c>
      <c r="Z17" s="709">
        <v>20</v>
      </c>
      <c r="AA17" s="710" t="s">
        <v>532</v>
      </c>
      <c r="AB17" s="2786"/>
      <c r="AC17" s="2793"/>
      <c r="AD17" s="2795"/>
      <c r="AE17" s="2795"/>
      <c r="AF17" s="2786"/>
      <c r="AG17" s="2786"/>
      <c r="AH17" s="2786"/>
      <c r="AI17" s="2786"/>
      <c r="AJ17" s="2786"/>
      <c r="AK17" s="2786"/>
      <c r="AL17" s="2786"/>
      <c r="AM17" s="2786"/>
      <c r="AN17" s="2786"/>
      <c r="AO17" s="2786"/>
      <c r="AP17" s="2786"/>
      <c r="AQ17" s="2786"/>
      <c r="AR17" s="2786"/>
      <c r="AS17" s="2786"/>
      <c r="AT17" s="2786"/>
      <c r="AU17" s="2786"/>
      <c r="AV17" s="2786"/>
      <c r="AW17" s="2786"/>
      <c r="AX17" s="2786"/>
      <c r="AY17" s="2786"/>
      <c r="AZ17" s="2786"/>
      <c r="BA17" s="2786"/>
      <c r="BB17" s="2786"/>
      <c r="BC17" s="2786"/>
      <c r="BD17" s="2786"/>
      <c r="BE17" s="2786"/>
      <c r="BF17" s="2786"/>
      <c r="BG17" s="2786"/>
      <c r="BH17" s="2786"/>
      <c r="BI17" s="2786"/>
      <c r="BJ17" s="2786"/>
      <c r="BK17" s="2719"/>
      <c r="BL17" s="2786"/>
      <c r="BM17" s="2786"/>
      <c r="BN17" s="2805"/>
      <c r="BO17" s="2805"/>
      <c r="BP17" s="2805"/>
      <c r="BQ17" s="2805"/>
      <c r="BR17" s="2806"/>
    </row>
    <row r="18" spans="1:70" ht="36" customHeight="1" x14ac:dyDescent="0.2">
      <c r="A18" s="702"/>
      <c r="B18" s="570"/>
      <c r="C18" s="570"/>
      <c r="D18" s="703"/>
      <c r="E18" s="570"/>
      <c r="F18" s="704"/>
      <c r="G18" s="703"/>
      <c r="H18" s="570"/>
      <c r="I18" s="570"/>
      <c r="J18" s="2706"/>
      <c r="K18" s="2707"/>
      <c r="L18" s="2707"/>
      <c r="M18" s="2706"/>
      <c r="N18" s="2709"/>
      <c r="O18" s="2706"/>
      <c r="P18" s="2706"/>
      <c r="Q18" s="2707"/>
      <c r="R18" s="2784"/>
      <c r="S18" s="2785"/>
      <c r="T18" s="2790"/>
      <c r="U18" s="2807"/>
      <c r="V18" s="712" t="s">
        <v>541</v>
      </c>
      <c r="W18" s="708">
        <v>360000</v>
      </c>
      <c r="X18" s="708">
        <v>360000</v>
      </c>
      <c r="Y18" s="708">
        <v>360000</v>
      </c>
      <c r="Z18" s="709">
        <v>20</v>
      </c>
      <c r="AA18" s="710" t="s">
        <v>532</v>
      </c>
      <c r="AB18" s="2786"/>
      <c r="AC18" s="2793"/>
      <c r="AD18" s="2795"/>
      <c r="AE18" s="2795"/>
      <c r="AF18" s="2786"/>
      <c r="AG18" s="2786"/>
      <c r="AH18" s="2786"/>
      <c r="AI18" s="2786"/>
      <c r="AJ18" s="2786"/>
      <c r="AK18" s="2786"/>
      <c r="AL18" s="2786"/>
      <c r="AM18" s="2786"/>
      <c r="AN18" s="2786"/>
      <c r="AO18" s="2786"/>
      <c r="AP18" s="2786"/>
      <c r="AQ18" s="2786"/>
      <c r="AR18" s="2786"/>
      <c r="AS18" s="2786"/>
      <c r="AT18" s="2786"/>
      <c r="AU18" s="2786"/>
      <c r="AV18" s="2786"/>
      <c r="AW18" s="2786"/>
      <c r="AX18" s="2786"/>
      <c r="AY18" s="2786"/>
      <c r="AZ18" s="2786"/>
      <c r="BA18" s="2786"/>
      <c r="BB18" s="2786"/>
      <c r="BC18" s="2786"/>
      <c r="BD18" s="2786"/>
      <c r="BE18" s="2786"/>
      <c r="BF18" s="2786"/>
      <c r="BG18" s="2786"/>
      <c r="BH18" s="2786"/>
      <c r="BI18" s="2786"/>
      <c r="BJ18" s="2786"/>
      <c r="BK18" s="2719"/>
      <c r="BL18" s="2786"/>
      <c r="BM18" s="2786"/>
      <c r="BN18" s="2805"/>
      <c r="BO18" s="2805"/>
      <c r="BP18" s="2805"/>
      <c r="BQ18" s="2805"/>
      <c r="BR18" s="2806"/>
    </row>
    <row r="19" spans="1:70" ht="36" customHeight="1" x14ac:dyDescent="0.2">
      <c r="A19" s="702"/>
      <c r="B19" s="570"/>
      <c r="C19" s="570"/>
      <c r="D19" s="703"/>
      <c r="E19" s="570"/>
      <c r="F19" s="704"/>
      <c r="G19" s="703"/>
      <c r="H19" s="570"/>
      <c r="I19" s="570"/>
      <c r="J19" s="2706"/>
      <c r="K19" s="2707"/>
      <c r="L19" s="2707"/>
      <c r="M19" s="2706"/>
      <c r="N19" s="2709"/>
      <c r="O19" s="2706"/>
      <c r="P19" s="2706"/>
      <c r="Q19" s="2707"/>
      <c r="R19" s="2784"/>
      <c r="S19" s="2785"/>
      <c r="T19" s="2790"/>
      <c r="U19" s="2807"/>
      <c r="V19" s="712" t="s">
        <v>542</v>
      </c>
      <c r="W19" s="708">
        <v>360000</v>
      </c>
      <c r="X19" s="708">
        <v>360000</v>
      </c>
      <c r="Y19" s="708">
        <v>360000</v>
      </c>
      <c r="Z19" s="709">
        <v>20</v>
      </c>
      <c r="AA19" s="710" t="s">
        <v>532</v>
      </c>
      <c r="AB19" s="2786"/>
      <c r="AC19" s="2793"/>
      <c r="AD19" s="2795"/>
      <c r="AE19" s="2795"/>
      <c r="AF19" s="2786"/>
      <c r="AG19" s="2786"/>
      <c r="AH19" s="2786"/>
      <c r="AI19" s="2786"/>
      <c r="AJ19" s="2786"/>
      <c r="AK19" s="2786"/>
      <c r="AL19" s="2786"/>
      <c r="AM19" s="2786"/>
      <c r="AN19" s="2786"/>
      <c r="AO19" s="2786"/>
      <c r="AP19" s="2786"/>
      <c r="AQ19" s="2786"/>
      <c r="AR19" s="2786"/>
      <c r="AS19" s="2786"/>
      <c r="AT19" s="2786"/>
      <c r="AU19" s="2786"/>
      <c r="AV19" s="2786"/>
      <c r="AW19" s="2786"/>
      <c r="AX19" s="2786"/>
      <c r="AY19" s="2786"/>
      <c r="AZ19" s="2786"/>
      <c r="BA19" s="2786"/>
      <c r="BB19" s="2786"/>
      <c r="BC19" s="2786"/>
      <c r="BD19" s="2786"/>
      <c r="BE19" s="2786"/>
      <c r="BF19" s="2786"/>
      <c r="BG19" s="2786"/>
      <c r="BH19" s="2786"/>
      <c r="BI19" s="2786"/>
      <c r="BJ19" s="2786"/>
      <c r="BK19" s="2719"/>
      <c r="BL19" s="2786"/>
      <c r="BM19" s="2786"/>
      <c r="BN19" s="2805"/>
      <c r="BO19" s="2805"/>
      <c r="BP19" s="2805"/>
      <c r="BQ19" s="2805"/>
      <c r="BR19" s="2806"/>
    </row>
    <row r="20" spans="1:70" ht="32.25" customHeight="1" x14ac:dyDescent="0.2">
      <c r="A20" s="702"/>
      <c r="B20" s="570"/>
      <c r="C20" s="570"/>
      <c r="D20" s="703"/>
      <c r="E20" s="570"/>
      <c r="F20" s="704"/>
      <c r="G20" s="703"/>
      <c r="H20" s="570"/>
      <c r="I20" s="570"/>
      <c r="J20" s="2706"/>
      <c r="K20" s="2707"/>
      <c r="L20" s="2707"/>
      <c r="M20" s="2706"/>
      <c r="N20" s="2709"/>
      <c r="O20" s="2706"/>
      <c r="P20" s="2706"/>
      <c r="Q20" s="2707"/>
      <c r="R20" s="2784"/>
      <c r="S20" s="2785"/>
      <c r="T20" s="2790"/>
      <c r="U20" s="2807"/>
      <c r="V20" s="712" t="s">
        <v>543</v>
      </c>
      <c r="W20" s="708">
        <v>360000</v>
      </c>
      <c r="X20" s="708">
        <v>360000</v>
      </c>
      <c r="Y20" s="708">
        <v>360000</v>
      </c>
      <c r="Z20" s="709">
        <v>20</v>
      </c>
      <c r="AA20" s="710" t="s">
        <v>532</v>
      </c>
      <c r="AB20" s="2786"/>
      <c r="AC20" s="2793"/>
      <c r="AD20" s="2795"/>
      <c r="AE20" s="2795"/>
      <c r="AF20" s="2786"/>
      <c r="AG20" s="2786"/>
      <c r="AH20" s="2786"/>
      <c r="AI20" s="2786"/>
      <c r="AJ20" s="2786"/>
      <c r="AK20" s="2786"/>
      <c r="AL20" s="2786"/>
      <c r="AM20" s="2786"/>
      <c r="AN20" s="2786"/>
      <c r="AO20" s="2786"/>
      <c r="AP20" s="2786"/>
      <c r="AQ20" s="2786"/>
      <c r="AR20" s="2786"/>
      <c r="AS20" s="2786"/>
      <c r="AT20" s="2786"/>
      <c r="AU20" s="2786"/>
      <c r="AV20" s="2786"/>
      <c r="AW20" s="2786"/>
      <c r="AX20" s="2786"/>
      <c r="AY20" s="2786"/>
      <c r="AZ20" s="2786"/>
      <c r="BA20" s="2786"/>
      <c r="BB20" s="2786"/>
      <c r="BC20" s="2786"/>
      <c r="BD20" s="2786"/>
      <c r="BE20" s="2786"/>
      <c r="BF20" s="2786"/>
      <c r="BG20" s="2786"/>
      <c r="BH20" s="2786"/>
      <c r="BI20" s="2786"/>
      <c r="BJ20" s="2786"/>
      <c r="BK20" s="2719"/>
      <c r="BL20" s="2786"/>
      <c r="BM20" s="2786"/>
      <c r="BN20" s="2805"/>
      <c r="BO20" s="2805"/>
      <c r="BP20" s="2805"/>
      <c r="BQ20" s="2805"/>
      <c r="BR20" s="2806"/>
    </row>
    <row r="21" spans="1:70" ht="50.25" customHeight="1" x14ac:dyDescent="0.2">
      <c r="A21" s="702"/>
      <c r="B21" s="570"/>
      <c r="C21" s="570"/>
      <c r="D21" s="703"/>
      <c r="E21" s="570"/>
      <c r="F21" s="704"/>
      <c r="G21" s="703"/>
      <c r="H21" s="570"/>
      <c r="I21" s="570"/>
      <c r="J21" s="2706"/>
      <c r="K21" s="2707"/>
      <c r="L21" s="2707"/>
      <c r="M21" s="2706"/>
      <c r="N21" s="2709"/>
      <c r="O21" s="2706"/>
      <c r="P21" s="2706"/>
      <c r="Q21" s="2707"/>
      <c r="R21" s="2784"/>
      <c r="S21" s="2785"/>
      <c r="T21" s="2790"/>
      <c r="U21" s="2807"/>
      <c r="V21" s="712" t="s">
        <v>544</v>
      </c>
      <c r="W21" s="708">
        <v>360000</v>
      </c>
      <c r="X21" s="708">
        <v>360000</v>
      </c>
      <c r="Y21" s="708">
        <v>360000</v>
      </c>
      <c r="Z21" s="709">
        <v>20</v>
      </c>
      <c r="AA21" s="710" t="s">
        <v>532</v>
      </c>
      <c r="AB21" s="2786"/>
      <c r="AC21" s="2793"/>
      <c r="AD21" s="2795"/>
      <c r="AE21" s="2795"/>
      <c r="AF21" s="2786"/>
      <c r="AG21" s="2786"/>
      <c r="AH21" s="2786"/>
      <c r="AI21" s="2786"/>
      <c r="AJ21" s="2786"/>
      <c r="AK21" s="2786"/>
      <c r="AL21" s="2786"/>
      <c r="AM21" s="2786"/>
      <c r="AN21" s="2786"/>
      <c r="AO21" s="2786"/>
      <c r="AP21" s="2786"/>
      <c r="AQ21" s="2786"/>
      <c r="AR21" s="2786"/>
      <c r="AS21" s="2786"/>
      <c r="AT21" s="2786"/>
      <c r="AU21" s="2786"/>
      <c r="AV21" s="2786"/>
      <c r="AW21" s="2786"/>
      <c r="AX21" s="2786"/>
      <c r="AY21" s="2786"/>
      <c r="AZ21" s="2786"/>
      <c r="BA21" s="2786"/>
      <c r="BB21" s="2786"/>
      <c r="BC21" s="2786"/>
      <c r="BD21" s="2786"/>
      <c r="BE21" s="2786"/>
      <c r="BF21" s="2786"/>
      <c r="BG21" s="2786"/>
      <c r="BH21" s="2786"/>
      <c r="BI21" s="2786"/>
      <c r="BJ21" s="2786"/>
      <c r="BK21" s="2719"/>
      <c r="BL21" s="2786"/>
      <c r="BM21" s="2786"/>
      <c r="BN21" s="2805"/>
      <c r="BO21" s="2805"/>
      <c r="BP21" s="2805"/>
      <c r="BQ21" s="2805"/>
      <c r="BR21" s="2806"/>
    </row>
    <row r="22" spans="1:70" ht="85.5" x14ac:dyDescent="0.2">
      <c r="A22" s="702"/>
      <c r="B22" s="570"/>
      <c r="C22" s="570"/>
      <c r="D22" s="703"/>
      <c r="E22" s="570"/>
      <c r="F22" s="704"/>
      <c r="G22" s="703"/>
      <c r="H22" s="570"/>
      <c r="I22" s="570"/>
      <c r="J22" s="2706"/>
      <c r="K22" s="2707"/>
      <c r="L22" s="2707"/>
      <c r="M22" s="2706"/>
      <c r="N22" s="2709"/>
      <c r="O22" s="2706"/>
      <c r="P22" s="2706"/>
      <c r="Q22" s="2707"/>
      <c r="R22" s="2784"/>
      <c r="S22" s="2785"/>
      <c r="T22" s="2790"/>
      <c r="U22" s="2807"/>
      <c r="V22" s="712" t="s">
        <v>545</v>
      </c>
      <c r="W22" s="708">
        <v>360000</v>
      </c>
      <c r="X22" s="708">
        <v>360000</v>
      </c>
      <c r="Y22" s="708">
        <v>360000</v>
      </c>
      <c r="Z22" s="709">
        <v>20</v>
      </c>
      <c r="AA22" s="710" t="s">
        <v>532</v>
      </c>
      <c r="AB22" s="2786"/>
      <c r="AC22" s="2793"/>
      <c r="AD22" s="2795"/>
      <c r="AE22" s="2795"/>
      <c r="AF22" s="2786"/>
      <c r="AG22" s="2786"/>
      <c r="AH22" s="2786"/>
      <c r="AI22" s="2786"/>
      <c r="AJ22" s="2786"/>
      <c r="AK22" s="2786"/>
      <c r="AL22" s="2786"/>
      <c r="AM22" s="2786"/>
      <c r="AN22" s="2786"/>
      <c r="AO22" s="2786"/>
      <c r="AP22" s="2786"/>
      <c r="AQ22" s="2786"/>
      <c r="AR22" s="2786"/>
      <c r="AS22" s="2786"/>
      <c r="AT22" s="2786"/>
      <c r="AU22" s="2786"/>
      <c r="AV22" s="2786"/>
      <c r="AW22" s="2786"/>
      <c r="AX22" s="2786"/>
      <c r="AY22" s="2786"/>
      <c r="AZ22" s="2786"/>
      <c r="BA22" s="2786"/>
      <c r="BB22" s="2786"/>
      <c r="BC22" s="2786"/>
      <c r="BD22" s="2786"/>
      <c r="BE22" s="2786"/>
      <c r="BF22" s="2786"/>
      <c r="BG22" s="2786"/>
      <c r="BH22" s="2786"/>
      <c r="BI22" s="2786"/>
      <c r="BJ22" s="2786"/>
      <c r="BK22" s="2719"/>
      <c r="BL22" s="2786"/>
      <c r="BM22" s="2786"/>
      <c r="BN22" s="2805"/>
      <c r="BO22" s="2805"/>
      <c r="BP22" s="2805"/>
      <c r="BQ22" s="2805"/>
      <c r="BR22" s="2806"/>
    </row>
    <row r="23" spans="1:70" ht="51" customHeight="1" x14ac:dyDescent="0.2">
      <c r="A23" s="702"/>
      <c r="B23" s="570"/>
      <c r="C23" s="570"/>
      <c r="D23" s="703"/>
      <c r="E23" s="570"/>
      <c r="F23" s="704"/>
      <c r="G23" s="703"/>
      <c r="H23" s="570"/>
      <c r="I23" s="570"/>
      <c r="J23" s="2706"/>
      <c r="K23" s="2707"/>
      <c r="L23" s="2707"/>
      <c r="M23" s="2706"/>
      <c r="N23" s="2709"/>
      <c r="O23" s="2706"/>
      <c r="P23" s="2706"/>
      <c r="Q23" s="2707"/>
      <c r="R23" s="2784"/>
      <c r="S23" s="2785"/>
      <c r="T23" s="2790"/>
      <c r="U23" s="2807"/>
      <c r="V23" s="712" t="s">
        <v>546</v>
      </c>
      <c r="W23" s="713">
        <v>360000</v>
      </c>
      <c r="X23" s="713">
        <v>360000</v>
      </c>
      <c r="Y23" s="713">
        <v>360000</v>
      </c>
      <c r="Z23" s="709">
        <v>20</v>
      </c>
      <c r="AA23" s="710" t="s">
        <v>532</v>
      </c>
      <c r="AB23" s="2786"/>
      <c r="AC23" s="2793"/>
      <c r="AD23" s="2795"/>
      <c r="AE23" s="2795"/>
      <c r="AF23" s="2786"/>
      <c r="AG23" s="2786"/>
      <c r="AH23" s="2786"/>
      <c r="AI23" s="2786"/>
      <c r="AJ23" s="2786"/>
      <c r="AK23" s="2786"/>
      <c r="AL23" s="2786"/>
      <c r="AM23" s="2786"/>
      <c r="AN23" s="2786"/>
      <c r="AO23" s="2786"/>
      <c r="AP23" s="2786"/>
      <c r="AQ23" s="2786"/>
      <c r="AR23" s="2786"/>
      <c r="AS23" s="2786"/>
      <c r="AT23" s="2786"/>
      <c r="AU23" s="2786"/>
      <c r="AV23" s="2786"/>
      <c r="AW23" s="2786"/>
      <c r="AX23" s="2786"/>
      <c r="AY23" s="2786"/>
      <c r="AZ23" s="2786"/>
      <c r="BA23" s="2786"/>
      <c r="BB23" s="2786"/>
      <c r="BC23" s="2786"/>
      <c r="BD23" s="2786"/>
      <c r="BE23" s="2786"/>
      <c r="BF23" s="2786"/>
      <c r="BG23" s="2786"/>
      <c r="BH23" s="2786"/>
      <c r="BI23" s="2786"/>
      <c r="BJ23" s="2786"/>
      <c r="BK23" s="2719"/>
      <c r="BL23" s="2786"/>
      <c r="BM23" s="2786"/>
      <c r="BN23" s="2805"/>
      <c r="BO23" s="2805"/>
      <c r="BP23" s="2805"/>
      <c r="BQ23" s="2805"/>
      <c r="BR23" s="2806"/>
    </row>
    <row r="24" spans="1:70" ht="39" customHeight="1" x14ac:dyDescent="0.2">
      <c r="A24" s="702"/>
      <c r="B24" s="570"/>
      <c r="C24" s="570"/>
      <c r="D24" s="703"/>
      <c r="E24" s="570"/>
      <c r="F24" s="704"/>
      <c r="G24" s="703"/>
      <c r="H24" s="570"/>
      <c r="I24" s="570"/>
      <c r="J24" s="2706"/>
      <c r="K24" s="2707"/>
      <c r="L24" s="2707"/>
      <c r="M24" s="2706"/>
      <c r="N24" s="2709"/>
      <c r="O24" s="2706"/>
      <c r="P24" s="2706"/>
      <c r="Q24" s="2707"/>
      <c r="R24" s="2784"/>
      <c r="S24" s="2785"/>
      <c r="T24" s="2790"/>
      <c r="U24" s="2807"/>
      <c r="V24" s="712" t="s">
        <v>547</v>
      </c>
      <c r="W24" s="713">
        <v>360000</v>
      </c>
      <c r="X24" s="713">
        <v>360000</v>
      </c>
      <c r="Y24" s="713">
        <v>360000</v>
      </c>
      <c r="Z24" s="709">
        <v>20</v>
      </c>
      <c r="AA24" s="710" t="s">
        <v>532</v>
      </c>
      <c r="AB24" s="2786"/>
      <c r="AC24" s="2793"/>
      <c r="AD24" s="2795"/>
      <c r="AE24" s="2795"/>
      <c r="AF24" s="2786"/>
      <c r="AG24" s="2786"/>
      <c r="AH24" s="2786"/>
      <c r="AI24" s="2786"/>
      <c r="AJ24" s="2786"/>
      <c r="AK24" s="2786"/>
      <c r="AL24" s="2786"/>
      <c r="AM24" s="2786"/>
      <c r="AN24" s="2786"/>
      <c r="AO24" s="2786"/>
      <c r="AP24" s="2786"/>
      <c r="AQ24" s="2786"/>
      <c r="AR24" s="2786"/>
      <c r="AS24" s="2786"/>
      <c r="AT24" s="2786"/>
      <c r="AU24" s="2786"/>
      <c r="AV24" s="2786"/>
      <c r="AW24" s="2786"/>
      <c r="AX24" s="2786"/>
      <c r="AY24" s="2786"/>
      <c r="AZ24" s="2786"/>
      <c r="BA24" s="2786"/>
      <c r="BB24" s="2786"/>
      <c r="BC24" s="2786"/>
      <c r="BD24" s="2786"/>
      <c r="BE24" s="2786"/>
      <c r="BF24" s="2786"/>
      <c r="BG24" s="2786"/>
      <c r="BH24" s="2786"/>
      <c r="BI24" s="2786"/>
      <c r="BJ24" s="2786"/>
      <c r="BK24" s="2719"/>
      <c r="BL24" s="2786"/>
      <c r="BM24" s="2786"/>
      <c r="BN24" s="2805"/>
      <c r="BO24" s="2805"/>
      <c r="BP24" s="2805"/>
      <c r="BQ24" s="2805"/>
      <c r="BR24" s="2806"/>
    </row>
    <row r="25" spans="1:70" ht="39" customHeight="1" x14ac:dyDescent="0.2">
      <c r="A25" s="702"/>
      <c r="B25" s="570"/>
      <c r="C25" s="570"/>
      <c r="D25" s="703"/>
      <c r="E25" s="570"/>
      <c r="F25" s="704"/>
      <c r="G25" s="703"/>
      <c r="H25" s="570"/>
      <c r="I25" s="570"/>
      <c r="J25" s="2706"/>
      <c r="K25" s="2707"/>
      <c r="L25" s="2707"/>
      <c r="M25" s="2706"/>
      <c r="N25" s="2709"/>
      <c r="O25" s="2706"/>
      <c r="P25" s="2706"/>
      <c r="Q25" s="2707"/>
      <c r="R25" s="2784"/>
      <c r="S25" s="2785"/>
      <c r="T25" s="2790"/>
      <c r="U25" s="2807"/>
      <c r="V25" s="712" t="s">
        <v>548</v>
      </c>
      <c r="W25" s="713">
        <v>360000</v>
      </c>
      <c r="X25" s="713">
        <v>360000</v>
      </c>
      <c r="Y25" s="713">
        <v>360000</v>
      </c>
      <c r="Z25" s="709">
        <v>20</v>
      </c>
      <c r="AA25" s="710" t="s">
        <v>532</v>
      </c>
      <c r="AB25" s="2786"/>
      <c r="AC25" s="2793"/>
      <c r="AD25" s="2795"/>
      <c r="AE25" s="2795"/>
      <c r="AF25" s="2786"/>
      <c r="AG25" s="2786"/>
      <c r="AH25" s="2786"/>
      <c r="AI25" s="2786"/>
      <c r="AJ25" s="2786"/>
      <c r="AK25" s="2786"/>
      <c r="AL25" s="2786"/>
      <c r="AM25" s="2786"/>
      <c r="AN25" s="2786"/>
      <c r="AO25" s="2786"/>
      <c r="AP25" s="2786"/>
      <c r="AQ25" s="2786"/>
      <c r="AR25" s="2786"/>
      <c r="AS25" s="2786"/>
      <c r="AT25" s="2786"/>
      <c r="AU25" s="2786"/>
      <c r="AV25" s="2786"/>
      <c r="AW25" s="2786"/>
      <c r="AX25" s="2786"/>
      <c r="AY25" s="2786"/>
      <c r="AZ25" s="2786"/>
      <c r="BA25" s="2786"/>
      <c r="BB25" s="2786"/>
      <c r="BC25" s="2786"/>
      <c r="BD25" s="2786"/>
      <c r="BE25" s="2786"/>
      <c r="BF25" s="2786"/>
      <c r="BG25" s="2786"/>
      <c r="BH25" s="2786"/>
      <c r="BI25" s="2786"/>
      <c r="BJ25" s="2786"/>
      <c r="BK25" s="2719"/>
      <c r="BL25" s="2786"/>
      <c r="BM25" s="2786"/>
      <c r="BN25" s="2805"/>
      <c r="BO25" s="2805"/>
      <c r="BP25" s="2805"/>
      <c r="BQ25" s="2805"/>
      <c r="BR25" s="2806"/>
    </row>
    <row r="26" spans="1:70" ht="52.5" customHeight="1" x14ac:dyDescent="0.2">
      <c r="A26" s="702"/>
      <c r="B26" s="570"/>
      <c r="C26" s="570"/>
      <c r="D26" s="703"/>
      <c r="E26" s="570"/>
      <c r="F26" s="704"/>
      <c r="G26" s="703"/>
      <c r="H26" s="570"/>
      <c r="I26" s="570"/>
      <c r="J26" s="2706"/>
      <c r="K26" s="2707"/>
      <c r="L26" s="2707"/>
      <c r="M26" s="2706"/>
      <c r="N26" s="2709"/>
      <c r="O26" s="2706"/>
      <c r="P26" s="2706"/>
      <c r="Q26" s="2707"/>
      <c r="R26" s="2784"/>
      <c r="S26" s="2785"/>
      <c r="T26" s="2790"/>
      <c r="U26" s="2807"/>
      <c r="V26" s="712" t="s">
        <v>549</v>
      </c>
      <c r="W26" s="713">
        <v>360000</v>
      </c>
      <c r="X26" s="713">
        <v>360000</v>
      </c>
      <c r="Y26" s="713">
        <v>360000</v>
      </c>
      <c r="Z26" s="709">
        <v>20</v>
      </c>
      <c r="AA26" s="710" t="s">
        <v>532</v>
      </c>
      <c r="AB26" s="2786"/>
      <c r="AC26" s="2793"/>
      <c r="AD26" s="2795"/>
      <c r="AE26" s="2795"/>
      <c r="AF26" s="2786"/>
      <c r="AG26" s="2786"/>
      <c r="AH26" s="2786"/>
      <c r="AI26" s="2786"/>
      <c r="AJ26" s="2786"/>
      <c r="AK26" s="2786"/>
      <c r="AL26" s="2786"/>
      <c r="AM26" s="2786"/>
      <c r="AN26" s="2786"/>
      <c r="AO26" s="2786"/>
      <c r="AP26" s="2786"/>
      <c r="AQ26" s="2786"/>
      <c r="AR26" s="2786"/>
      <c r="AS26" s="2786"/>
      <c r="AT26" s="2786"/>
      <c r="AU26" s="2786"/>
      <c r="AV26" s="2786"/>
      <c r="AW26" s="2786"/>
      <c r="AX26" s="2786"/>
      <c r="AY26" s="2786"/>
      <c r="AZ26" s="2786"/>
      <c r="BA26" s="2786"/>
      <c r="BB26" s="2786"/>
      <c r="BC26" s="2786"/>
      <c r="BD26" s="2786"/>
      <c r="BE26" s="2786"/>
      <c r="BF26" s="2786"/>
      <c r="BG26" s="2786"/>
      <c r="BH26" s="2786"/>
      <c r="BI26" s="2786"/>
      <c r="BJ26" s="2786"/>
      <c r="BK26" s="2719"/>
      <c r="BL26" s="2786"/>
      <c r="BM26" s="2786"/>
      <c r="BN26" s="2805"/>
      <c r="BO26" s="2805"/>
      <c r="BP26" s="2805"/>
      <c r="BQ26" s="2805"/>
      <c r="BR26" s="2806"/>
    </row>
    <row r="27" spans="1:70" ht="43.5" customHeight="1" x14ac:dyDescent="0.2">
      <c r="A27" s="702"/>
      <c r="B27" s="570"/>
      <c r="C27" s="570"/>
      <c r="D27" s="703"/>
      <c r="E27" s="570"/>
      <c r="F27" s="704"/>
      <c r="G27" s="703"/>
      <c r="H27" s="570"/>
      <c r="I27" s="570"/>
      <c r="J27" s="2706"/>
      <c r="K27" s="2707"/>
      <c r="L27" s="2707"/>
      <c r="M27" s="2706"/>
      <c r="N27" s="2709"/>
      <c r="O27" s="2706"/>
      <c r="P27" s="2706"/>
      <c r="Q27" s="2707"/>
      <c r="R27" s="2784"/>
      <c r="S27" s="2785"/>
      <c r="T27" s="2790"/>
      <c r="U27" s="2807"/>
      <c r="V27" s="712" t="s">
        <v>550</v>
      </c>
      <c r="W27" s="713">
        <v>360000</v>
      </c>
      <c r="X27" s="713">
        <v>360000</v>
      </c>
      <c r="Y27" s="713">
        <v>360000</v>
      </c>
      <c r="Z27" s="709">
        <v>20</v>
      </c>
      <c r="AA27" s="710" t="s">
        <v>532</v>
      </c>
      <c r="AB27" s="2786"/>
      <c r="AC27" s="2793"/>
      <c r="AD27" s="2795"/>
      <c r="AE27" s="2795"/>
      <c r="AF27" s="2786"/>
      <c r="AG27" s="2786"/>
      <c r="AH27" s="2786"/>
      <c r="AI27" s="2786"/>
      <c r="AJ27" s="2786"/>
      <c r="AK27" s="2786"/>
      <c r="AL27" s="2786"/>
      <c r="AM27" s="2786"/>
      <c r="AN27" s="2786"/>
      <c r="AO27" s="2786"/>
      <c r="AP27" s="2786"/>
      <c r="AQ27" s="2786"/>
      <c r="AR27" s="2786"/>
      <c r="AS27" s="2786"/>
      <c r="AT27" s="2786"/>
      <c r="AU27" s="2786"/>
      <c r="AV27" s="2786"/>
      <c r="AW27" s="2786"/>
      <c r="AX27" s="2786"/>
      <c r="AY27" s="2786"/>
      <c r="AZ27" s="2786"/>
      <c r="BA27" s="2786"/>
      <c r="BB27" s="2786"/>
      <c r="BC27" s="2786"/>
      <c r="BD27" s="2786"/>
      <c r="BE27" s="2786"/>
      <c r="BF27" s="2786"/>
      <c r="BG27" s="2786"/>
      <c r="BH27" s="2786"/>
      <c r="BI27" s="2786"/>
      <c r="BJ27" s="2786"/>
      <c r="BK27" s="2719"/>
      <c r="BL27" s="2786"/>
      <c r="BM27" s="2786"/>
      <c r="BN27" s="2805"/>
      <c r="BO27" s="2805"/>
      <c r="BP27" s="2805"/>
      <c r="BQ27" s="2805"/>
      <c r="BR27" s="2806"/>
    </row>
    <row r="28" spans="1:70" ht="85.5" x14ac:dyDescent="0.2">
      <c r="A28" s="702"/>
      <c r="B28" s="570"/>
      <c r="C28" s="570"/>
      <c r="D28" s="703"/>
      <c r="E28" s="570"/>
      <c r="F28" s="704"/>
      <c r="G28" s="703"/>
      <c r="H28" s="570"/>
      <c r="I28" s="570"/>
      <c r="J28" s="2706"/>
      <c r="K28" s="2707"/>
      <c r="L28" s="2707"/>
      <c r="M28" s="2706"/>
      <c r="N28" s="2709"/>
      <c r="O28" s="2706"/>
      <c r="P28" s="2706"/>
      <c r="Q28" s="2707"/>
      <c r="R28" s="2784"/>
      <c r="S28" s="2785"/>
      <c r="T28" s="2790"/>
      <c r="U28" s="2807"/>
      <c r="V28" s="712" t="s">
        <v>551</v>
      </c>
      <c r="W28" s="713">
        <v>360000</v>
      </c>
      <c r="X28" s="713">
        <v>360000</v>
      </c>
      <c r="Y28" s="713">
        <v>360000</v>
      </c>
      <c r="Z28" s="709">
        <v>20</v>
      </c>
      <c r="AA28" s="710" t="s">
        <v>532</v>
      </c>
      <c r="AB28" s="2786"/>
      <c r="AC28" s="2793"/>
      <c r="AD28" s="2795"/>
      <c r="AE28" s="2795"/>
      <c r="AF28" s="2786"/>
      <c r="AG28" s="2786"/>
      <c r="AH28" s="2786"/>
      <c r="AI28" s="2786"/>
      <c r="AJ28" s="2786"/>
      <c r="AK28" s="2786"/>
      <c r="AL28" s="2786"/>
      <c r="AM28" s="2786"/>
      <c r="AN28" s="2786"/>
      <c r="AO28" s="2786"/>
      <c r="AP28" s="2786"/>
      <c r="AQ28" s="2786"/>
      <c r="AR28" s="2786"/>
      <c r="AS28" s="2786"/>
      <c r="AT28" s="2786"/>
      <c r="AU28" s="2786"/>
      <c r="AV28" s="2786"/>
      <c r="AW28" s="2786"/>
      <c r="AX28" s="2786"/>
      <c r="AY28" s="2786"/>
      <c r="AZ28" s="2786"/>
      <c r="BA28" s="2786"/>
      <c r="BB28" s="2786"/>
      <c r="BC28" s="2786"/>
      <c r="BD28" s="2786"/>
      <c r="BE28" s="2786"/>
      <c r="BF28" s="2786"/>
      <c r="BG28" s="2786"/>
      <c r="BH28" s="2786"/>
      <c r="BI28" s="2786"/>
      <c r="BJ28" s="2786"/>
      <c r="BK28" s="2719"/>
      <c r="BL28" s="2786"/>
      <c r="BM28" s="2786"/>
      <c r="BN28" s="2805"/>
      <c r="BO28" s="2805"/>
      <c r="BP28" s="2805"/>
      <c r="BQ28" s="2805"/>
      <c r="BR28" s="2806"/>
    </row>
    <row r="29" spans="1:70" ht="108" customHeight="1" x14ac:dyDescent="0.2">
      <c r="A29" s="702"/>
      <c r="B29" s="570"/>
      <c r="C29" s="570"/>
      <c r="D29" s="703"/>
      <c r="E29" s="570"/>
      <c r="F29" s="704"/>
      <c r="G29" s="703"/>
      <c r="H29" s="570"/>
      <c r="I29" s="570"/>
      <c r="J29" s="2706"/>
      <c r="K29" s="2707"/>
      <c r="L29" s="2707"/>
      <c r="M29" s="2706"/>
      <c r="N29" s="2709"/>
      <c r="O29" s="2706"/>
      <c r="P29" s="2706"/>
      <c r="Q29" s="2707"/>
      <c r="R29" s="2784"/>
      <c r="S29" s="2785"/>
      <c r="T29" s="2790"/>
      <c r="U29" s="2807"/>
      <c r="V29" s="712" t="s">
        <v>552</v>
      </c>
      <c r="W29" s="713">
        <v>360000</v>
      </c>
      <c r="X29" s="713">
        <v>360000</v>
      </c>
      <c r="Y29" s="713">
        <v>360000</v>
      </c>
      <c r="Z29" s="709">
        <v>20</v>
      </c>
      <c r="AA29" s="710" t="s">
        <v>532</v>
      </c>
      <c r="AB29" s="2786"/>
      <c r="AC29" s="2793"/>
      <c r="AD29" s="2795"/>
      <c r="AE29" s="2795"/>
      <c r="AF29" s="2786"/>
      <c r="AG29" s="2786"/>
      <c r="AH29" s="2786"/>
      <c r="AI29" s="2786"/>
      <c r="AJ29" s="2786"/>
      <c r="AK29" s="2786"/>
      <c r="AL29" s="2786"/>
      <c r="AM29" s="2786"/>
      <c r="AN29" s="2786"/>
      <c r="AO29" s="2786"/>
      <c r="AP29" s="2786"/>
      <c r="AQ29" s="2786"/>
      <c r="AR29" s="2786"/>
      <c r="AS29" s="2786"/>
      <c r="AT29" s="2786"/>
      <c r="AU29" s="2786"/>
      <c r="AV29" s="2786"/>
      <c r="AW29" s="2786"/>
      <c r="AX29" s="2786"/>
      <c r="AY29" s="2786"/>
      <c r="AZ29" s="2786"/>
      <c r="BA29" s="2786"/>
      <c r="BB29" s="2786"/>
      <c r="BC29" s="2786"/>
      <c r="BD29" s="2786"/>
      <c r="BE29" s="2786"/>
      <c r="BF29" s="2786"/>
      <c r="BG29" s="2786"/>
      <c r="BH29" s="2786"/>
      <c r="BI29" s="2786"/>
      <c r="BJ29" s="2786"/>
      <c r="BK29" s="2719"/>
      <c r="BL29" s="2786"/>
      <c r="BM29" s="2786"/>
      <c r="BN29" s="2805"/>
      <c r="BO29" s="2805"/>
      <c r="BP29" s="2805"/>
      <c r="BQ29" s="2805"/>
      <c r="BR29" s="2806"/>
    </row>
    <row r="30" spans="1:70" ht="56.25" customHeight="1" x14ac:dyDescent="0.2">
      <c r="A30" s="702"/>
      <c r="B30" s="570"/>
      <c r="C30" s="570"/>
      <c r="D30" s="703"/>
      <c r="E30" s="570"/>
      <c r="F30" s="704"/>
      <c r="G30" s="703"/>
      <c r="H30" s="570"/>
      <c r="I30" s="570"/>
      <c r="J30" s="2706"/>
      <c r="K30" s="2707"/>
      <c r="L30" s="2707"/>
      <c r="M30" s="2706"/>
      <c r="N30" s="2709"/>
      <c r="O30" s="2706"/>
      <c r="P30" s="2706"/>
      <c r="Q30" s="2707"/>
      <c r="R30" s="2784"/>
      <c r="S30" s="2785"/>
      <c r="T30" s="2790"/>
      <c r="U30" s="2807"/>
      <c r="V30" s="712" t="s">
        <v>553</v>
      </c>
      <c r="W30" s="714">
        <v>5400000</v>
      </c>
      <c r="X30" s="714">
        <f>4330000</f>
        <v>4330000</v>
      </c>
      <c r="Y30" s="714">
        <v>4330000</v>
      </c>
      <c r="Z30" s="709">
        <v>20</v>
      </c>
      <c r="AA30" s="710" t="s">
        <v>532</v>
      </c>
      <c r="AB30" s="2786"/>
      <c r="AC30" s="2793"/>
      <c r="AD30" s="2795"/>
      <c r="AE30" s="2795"/>
      <c r="AF30" s="2786"/>
      <c r="AG30" s="2786"/>
      <c r="AH30" s="2786"/>
      <c r="AI30" s="2786"/>
      <c r="AJ30" s="2786"/>
      <c r="AK30" s="2786"/>
      <c r="AL30" s="2786"/>
      <c r="AM30" s="2786"/>
      <c r="AN30" s="2786"/>
      <c r="AO30" s="2786"/>
      <c r="AP30" s="2786"/>
      <c r="AQ30" s="2786"/>
      <c r="AR30" s="2786"/>
      <c r="AS30" s="2786"/>
      <c r="AT30" s="2786"/>
      <c r="AU30" s="2786"/>
      <c r="AV30" s="2786"/>
      <c r="AW30" s="2786"/>
      <c r="AX30" s="2786"/>
      <c r="AY30" s="2786"/>
      <c r="AZ30" s="2786"/>
      <c r="BA30" s="2786"/>
      <c r="BB30" s="2786"/>
      <c r="BC30" s="2786"/>
      <c r="BD30" s="2786"/>
      <c r="BE30" s="2786"/>
      <c r="BF30" s="2786"/>
      <c r="BG30" s="2786"/>
      <c r="BH30" s="2786"/>
      <c r="BI30" s="2786"/>
      <c r="BJ30" s="2786"/>
      <c r="BK30" s="2719"/>
      <c r="BL30" s="2786"/>
      <c r="BM30" s="2786"/>
      <c r="BN30" s="2805"/>
      <c r="BO30" s="2805"/>
      <c r="BP30" s="2805"/>
      <c r="BQ30" s="2805"/>
      <c r="BR30" s="2806"/>
    </row>
    <row r="31" spans="1:70" ht="174" customHeight="1" x14ac:dyDescent="0.2">
      <c r="A31" s="702"/>
      <c r="B31" s="570"/>
      <c r="C31" s="570"/>
      <c r="D31" s="703"/>
      <c r="E31" s="570"/>
      <c r="F31" s="704"/>
      <c r="G31" s="703"/>
      <c r="H31" s="570"/>
      <c r="I31" s="570"/>
      <c r="J31" s="2706"/>
      <c r="K31" s="2707"/>
      <c r="L31" s="2707"/>
      <c r="M31" s="2706"/>
      <c r="N31" s="2709"/>
      <c r="O31" s="2706"/>
      <c r="P31" s="2706"/>
      <c r="Q31" s="2707"/>
      <c r="R31" s="2784"/>
      <c r="S31" s="2785"/>
      <c r="T31" s="2790"/>
      <c r="U31" s="2807"/>
      <c r="V31" s="712" t="s">
        <v>554</v>
      </c>
      <c r="W31" s="714">
        <v>3600000</v>
      </c>
      <c r="X31" s="714">
        <f>W31</f>
        <v>3600000</v>
      </c>
      <c r="Y31" s="714">
        <v>3600000</v>
      </c>
      <c r="Z31" s="709">
        <v>20</v>
      </c>
      <c r="AA31" s="710" t="s">
        <v>532</v>
      </c>
      <c r="AB31" s="2786"/>
      <c r="AC31" s="2793"/>
      <c r="AD31" s="2795"/>
      <c r="AE31" s="2795"/>
      <c r="AF31" s="2786"/>
      <c r="AG31" s="2786"/>
      <c r="AH31" s="2786"/>
      <c r="AI31" s="2786"/>
      <c r="AJ31" s="2786"/>
      <c r="AK31" s="2786"/>
      <c r="AL31" s="2786"/>
      <c r="AM31" s="2786"/>
      <c r="AN31" s="2786"/>
      <c r="AO31" s="2786"/>
      <c r="AP31" s="2786"/>
      <c r="AQ31" s="2786"/>
      <c r="AR31" s="2786"/>
      <c r="AS31" s="2786"/>
      <c r="AT31" s="2786"/>
      <c r="AU31" s="2786"/>
      <c r="AV31" s="2786"/>
      <c r="AW31" s="2786"/>
      <c r="AX31" s="2786"/>
      <c r="AY31" s="2786"/>
      <c r="AZ31" s="2786"/>
      <c r="BA31" s="2786"/>
      <c r="BB31" s="2786"/>
      <c r="BC31" s="2786"/>
      <c r="BD31" s="2786"/>
      <c r="BE31" s="2786"/>
      <c r="BF31" s="2786"/>
      <c r="BG31" s="2786"/>
      <c r="BH31" s="2786"/>
      <c r="BI31" s="2786"/>
      <c r="BJ31" s="2786"/>
      <c r="BK31" s="2719"/>
      <c r="BL31" s="2786"/>
      <c r="BM31" s="2786"/>
      <c r="BN31" s="2805"/>
      <c r="BO31" s="2805"/>
      <c r="BP31" s="2805"/>
      <c r="BQ31" s="2805"/>
      <c r="BR31" s="2806"/>
    </row>
    <row r="32" spans="1:70" ht="40.5" customHeight="1" x14ac:dyDescent="0.2">
      <c r="A32" s="702"/>
      <c r="B32" s="570"/>
      <c r="C32" s="570"/>
      <c r="D32" s="703"/>
      <c r="E32" s="570"/>
      <c r="F32" s="704"/>
      <c r="G32" s="703"/>
      <c r="H32" s="570"/>
      <c r="I32" s="570"/>
      <c r="J32" s="2706"/>
      <c r="K32" s="2707"/>
      <c r="L32" s="2707"/>
      <c r="M32" s="2706"/>
      <c r="N32" s="2709"/>
      <c r="O32" s="2706"/>
      <c r="P32" s="2706"/>
      <c r="Q32" s="2707"/>
      <c r="R32" s="2784"/>
      <c r="S32" s="2785"/>
      <c r="T32" s="2790"/>
      <c r="U32" s="2807"/>
      <c r="V32" s="712" t="s">
        <v>555</v>
      </c>
      <c r="W32" s="714">
        <v>1200000</v>
      </c>
      <c r="X32" s="714"/>
      <c r="Y32" s="714"/>
      <c r="Z32" s="709">
        <v>20</v>
      </c>
      <c r="AA32" s="710" t="s">
        <v>532</v>
      </c>
      <c r="AB32" s="2786"/>
      <c r="AC32" s="2793"/>
      <c r="AD32" s="2795"/>
      <c r="AE32" s="2795"/>
      <c r="AF32" s="2786"/>
      <c r="AG32" s="2786"/>
      <c r="AH32" s="2786"/>
      <c r="AI32" s="2786"/>
      <c r="AJ32" s="2786"/>
      <c r="AK32" s="2786"/>
      <c r="AL32" s="2786"/>
      <c r="AM32" s="2786"/>
      <c r="AN32" s="2786"/>
      <c r="AO32" s="2786"/>
      <c r="AP32" s="2786"/>
      <c r="AQ32" s="2786"/>
      <c r="AR32" s="2786"/>
      <c r="AS32" s="2786"/>
      <c r="AT32" s="2786"/>
      <c r="AU32" s="2786"/>
      <c r="AV32" s="2786"/>
      <c r="AW32" s="2786"/>
      <c r="AX32" s="2786"/>
      <c r="AY32" s="2786"/>
      <c r="AZ32" s="2786"/>
      <c r="BA32" s="2786"/>
      <c r="BB32" s="2786"/>
      <c r="BC32" s="2786"/>
      <c r="BD32" s="2786"/>
      <c r="BE32" s="2786"/>
      <c r="BF32" s="2786"/>
      <c r="BG32" s="2786"/>
      <c r="BH32" s="2786"/>
      <c r="BI32" s="2786"/>
      <c r="BJ32" s="2786"/>
      <c r="BK32" s="2719"/>
      <c r="BL32" s="2786"/>
      <c r="BM32" s="2786"/>
      <c r="BN32" s="2805"/>
      <c r="BO32" s="2805"/>
      <c r="BP32" s="2805"/>
      <c r="BQ32" s="2805"/>
      <c r="BR32" s="2806"/>
    </row>
    <row r="33" spans="1:70" ht="35.25" customHeight="1" x14ac:dyDescent="0.2">
      <c r="A33" s="702"/>
      <c r="B33" s="570"/>
      <c r="C33" s="570"/>
      <c r="D33" s="703"/>
      <c r="E33" s="570"/>
      <c r="F33" s="704"/>
      <c r="G33" s="715"/>
      <c r="H33" s="570"/>
      <c r="I33" s="570"/>
      <c r="J33" s="2706"/>
      <c r="K33" s="2707"/>
      <c r="L33" s="2707"/>
      <c r="M33" s="2706"/>
      <c r="N33" s="2710"/>
      <c r="O33" s="2706"/>
      <c r="P33" s="2706"/>
      <c r="Q33" s="2707"/>
      <c r="R33" s="2784"/>
      <c r="S33" s="2785"/>
      <c r="T33" s="2791"/>
      <c r="U33" s="2807"/>
      <c r="V33" s="712" t="s">
        <v>556</v>
      </c>
      <c r="W33" s="714">
        <v>40000</v>
      </c>
      <c r="X33" s="714"/>
      <c r="Y33" s="714"/>
      <c r="Z33" s="709">
        <v>20</v>
      </c>
      <c r="AA33" s="710" t="s">
        <v>532</v>
      </c>
      <c r="AB33" s="2786"/>
      <c r="AC33" s="2794"/>
      <c r="AD33" s="2795"/>
      <c r="AE33" s="2795"/>
      <c r="AF33" s="2786"/>
      <c r="AG33" s="2786"/>
      <c r="AH33" s="2786"/>
      <c r="AI33" s="2786"/>
      <c r="AJ33" s="2786"/>
      <c r="AK33" s="2786"/>
      <c r="AL33" s="2786"/>
      <c r="AM33" s="2786"/>
      <c r="AN33" s="2786"/>
      <c r="AO33" s="2786"/>
      <c r="AP33" s="2786"/>
      <c r="AQ33" s="2786"/>
      <c r="AR33" s="2786"/>
      <c r="AS33" s="2786"/>
      <c r="AT33" s="2786"/>
      <c r="AU33" s="2786"/>
      <c r="AV33" s="2786"/>
      <c r="AW33" s="2786"/>
      <c r="AX33" s="2786"/>
      <c r="AY33" s="2786"/>
      <c r="AZ33" s="2786"/>
      <c r="BA33" s="2786"/>
      <c r="BB33" s="2786"/>
      <c r="BC33" s="2786"/>
      <c r="BD33" s="2786"/>
      <c r="BE33" s="2786"/>
      <c r="BF33" s="2786"/>
      <c r="BG33" s="2786"/>
      <c r="BH33" s="2786"/>
      <c r="BI33" s="2786"/>
      <c r="BJ33" s="2786"/>
      <c r="BK33" s="2719"/>
      <c r="BL33" s="2786"/>
      <c r="BM33" s="2786"/>
      <c r="BN33" s="2805"/>
      <c r="BO33" s="2805"/>
      <c r="BP33" s="2805"/>
      <c r="BQ33" s="2805"/>
      <c r="BR33" s="2806"/>
    </row>
    <row r="34" spans="1:70" ht="24.75" customHeight="1" x14ac:dyDescent="0.2">
      <c r="A34" s="716"/>
      <c r="B34" s="717"/>
      <c r="C34" s="717"/>
      <c r="D34" s="718"/>
      <c r="E34" s="717"/>
      <c r="G34" s="691">
        <v>84</v>
      </c>
      <c r="H34" s="2796" t="s">
        <v>557</v>
      </c>
      <c r="I34" s="2796"/>
      <c r="J34" s="2796"/>
      <c r="K34" s="2796"/>
      <c r="L34" s="693"/>
      <c r="M34" s="694"/>
      <c r="N34" s="694"/>
      <c r="O34" s="694"/>
      <c r="P34" s="694"/>
      <c r="Q34" s="693"/>
      <c r="R34" s="695"/>
      <c r="S34" s="719"/>
      <c r="T34" s="720"/>
      <c r="U34" s="720"/>
      <c r="V34" s="721"/>
      <c r="W34" s="722"/>
      <c r="X34" s="722"/>
      <c r="Y34" s="722"/>
      <c r="Z34" s="723"/>
      <c r="AA34" s="724"/>
      <c r="AB34" s="725"/>
      <c r="AC34" s="725"/>
      <c r="AD34" s="726"/>
      <c r="AE34" s="726"/>
      <c r="AF34" s="725"/>
      <c r="AG34" s="725"/>
      <c r="AH34" s="725"/>
      <c r="AI34" s="725"/>
      <c r="AJ34" s="725"/>
      <c r="AK34" s="725"/>
      <c r="AL34" s="725"/>
      <c r="AM34" s="725"/>
      <c r="AN34" s="725"/>
      <c r="AO34" s="725"/>
      <c r="AP34" s="725"/>
      <c r="AQ34" s="725"/>
      <c r="AR34" s="725"/>
      <c r="AS34" s="725"/>
      <c r="AT34" s="725"/>
      <c r="AU34" s="725"/>
      <c r="AV34" s="725"/>
      <c r="AW34" s="725"/>
      <c r="AX34" s="725"/>
      <c r="AY34" s="725"/>
      <c r="AZ34" s="725"/>
      <c r="BA34" s="725"/>
      <c r="BB34" s="725"/>
      <c r="BC34" s="725"/>
      <c r="BD34" s="725"/>
      <c r="BE34" s="725"/>
      <c r="BF34" s="725"/>
      <c r="BG34" s="725"/>
      <c r="BH34" s="725"/>
      <c r="BI34" s="725"/>
      <c r="BJ34" s="725"/>
      <c r="BK34" s="725"/>
      <c r="BL34" s="725"/>
      <c r="BM34" s="725"/>
      <c r="BN34" s="727"/>
      <c r="BO34" s="727"/>
      <c r="BP34" s="728"/>
      <c r="BQ34" s="728"/>
      <c r="BR34" s="729"/>
    </row>
    <row r="35" spans="1:70" ht="48.75" customHeight="1" x14ac:dyDescent="0.2">
      <c r="A35" s="730"/>
      <c r="D35" s="731"/>
      <c r="G35" s="731"/>
      <c r="J35" s="2706">
        <v>248</v>
      </c>
      <c r="K35" s="2707" t="s">
        <v>558</v>
      </c>
      <c r="L35" s="2707" t="s">
        <v>559</v>
      </c>
      <c r="M35" s="2797">
        <v>12</v>
      </c>
      <c r="N35" s="2798">
        <v>12</v>
      </c>
      <c r="O35" s="2706" t="s">
        <v>560</v>
      </c>
      <c r="P35" s="2706" t="s">
        <v>561</v>
      </c>
      <c r="Q35" s="2707" t="s">
        <v>562</v>
      </c>
      <c r="R35" s="2802">
        <v>1</v>
      </c>
      <c r="S35" s="2803">
        <f>SUM(W35:W50)</f>
        <v>58500000</v>
      </c>
      <c r="T35" s="2804" t="s">
        <v>563</v>
      </c>
      <c r="U35" s="2789" t="s">
        <v>564</v>
      </c>
      <c r="V35" s="563" t="s">
        <v>565</v>
      </c>
      <c r="W35" s="708">
        <v>500000</v>
      </c>
      <c r="X35" s="708"/>
      <c r="Y35" s="708"/>
      <c r="Z35" s="709">
        <v>20</v>
      </c>
      <c r="AA35" s="710" t="s">
        <v>532</v>
      </c>
      <c r="AB35" s="2786">
        <v>294321</v>
      </c>
      <c r="AC35" s="2786"/>
      <c r="AD35" s="2795">
        <v>283947</v>
      </c>
      <c r="AE35" s="2795"/>
      <c r="AF35" s="2786">
        <v>135754</v>
      </c>
      <c r="AG35" s="2786"/>
      <c r="AH35" s="2786">
        <v>44640</v>
      </c>
      <c r="AI35" s="2786"/>
      <c r="AJ35" s="2786">
        <v>308178</v>
      </c>
      <c r="AK35" s="2786"/>
      <c r="AL35" s="2786">
        <v>89696</v>
      </c>
      <c r="AM35" s="2786"/>
      <c r="AN35" s="2786">
        <v>2145</v>
      </c>
      <c r="AO35" s="2786"/>
      <c r="AP35" s="2786">
        <v>12718</v>
      </c>
      <c r="AQ35" s="2786"/>
      <c r="AR35" s="2786">
        <v>26</v>
      </c>
      <c r="AS35" s="2786"/>
      <c r="AT35" s="2786">
        <v>37</v>
      </c>
      <c r="AU35" s="2786">
        <f>AT35</f>
        <v>37</v>
      </c>
      <c r="AV35" s="2786"/>
      <c r="AW35" s="2786"/>
      <c r="AX35" s="2786"/>
      <c r="AY35" s="2786"/>
      <c r="AZ35" s="2786">
        <v>54612</v>
      </c>
      <c r="BA35" s="2786"/>
      <c r="BB35" s="2786">
        <v>16982</v>
      </c>
      <c r="BC35" s="2786"/>
      <c r="BD35" s="2786">
        <v>1010</v>
      </c>
      <c r="BE35" s="2786"/>
      <c r="BF35" s="2786">
        <f>AB35+AD35</f>
        <v>578268</v>
      </c>
      <c r="BG35" s="2786"/>
      <c r="BH35" s="2786">
        <v>3</v>
      </c>
      <c r="BI35" s="2801">
        <f>SUM(X35:X50)</f>
        <v>40500000</v>
      </c>
      <c r="BJ35" s="2801">
        <f>SUM(Y35:Y50)</f>
        <v>0</v>
      </c>
      <c r="BK35" s="2719">
        <f>BJ35/BI35</f>
        <v>0</v>
      </c>
      <c r="BL35" s="2808" t="s">
        <v>566</v>
      </c>
      <c r="BM35" s="2808" t="s">
        <v>567</v>
      </c>
      <c r="BN35" s="2805">
        <v>43102</v>
      </c>
      <c r="BO35" s="2805">
        <v>43537</v>
      </c>
      <c r="BP35" s="2805">
        <v>43465</v>
      </c>
      <c r="BQ35" s="2805">
        <v>43830</v>
      </c>
      <c r="BR35" s="2806" t="s">
        <v>534</v>
      </c>
    </row>
    <row r="36" spans="1:70" ht="48.75" customHeight="1" x14ac:dyDescent="0.2">
      <c r="A36" s="730"/>
      <c r="D36" s="731"/>
      <c r="G36" s="731"/>
      <c r="J36" s="2706"/>
      <c r="K36" s="2707"/>
      <c r="L36" s="2707"/>
      <c r="M36" s="2797"/>
      <c r="N36" s="2799"/>
      <c r="O36" s="2706"/>
      <c r="P36" s="2706"/>
      <c r="Q36" s="2707"/>
      <c r="R36" s="2802"/>
      <c r="S36" s="2803"/>
      <c r="T36" s="2804"/>
      <c r="U36" s="2790"/>
      <c r="V36" s="563" t="s">
        <v>568</v>
      </c>
      <c r="W36" s="732">
        <v>500000</v>
      </c>
      <c r="X36" s="732"/>
      <c r="Y36" s="732"/>
      <c r="Z36" s="709">
        <v>88</v>
      </c>
      <c r="AA36" s="710" t="s">
        <v>131</v>
      </c>
      <c r="AB36" s="2786"/>
      <c r="AC36" s="2786"/>
      <c r="AD36" s="2795"/>
      <c r="AE36" s="2795"/>
      <c r="AF36" s="2786"/>
      <c r="AG36" s="2786"/>
      <c r="AH36" s="2786"/>
      <c r="AI36" s="2786"/>
      <c r="AJ36" s="2786"/>
      <c r="AK36" s="2786"/>
      <c r="AL36" s="2786"/>
      <c r="AM36" s="2786"/>
      <c r="AN36" s="2786"/>
      <c r="AO36" s="2786"/>
      <c r="AP36" s="2786"/>
      <c r="AQ36" s="2786"/>
      <c r="AR36" s="2786"/>
      <c r="AS36" s="2786"/>
      <c r="AT36" s="2786"/>
      <c r="AU36" s="2786"/>
      <c r="AV36" s="2786"/>
      <c r="AW36" s="2786"/>
      <c r="AX36" s="2786"/>
      <c r="AY36" s="2786"/>
      <c r="AZ36" s="2786"/>
      <c r="BA36" s="2786"/>
      <c r="BB36" s="2786"/>
      <c r="BC36" s="2786"/>
      <c r="BD36" s="2786"/>
      <c r="BE36" s="2786"/>
      <c r="BF36" s="2786"/>
      <c r="BG36" s="2786"/>
      <c r="BH36" s="2786"/>
      <c r="BI36" s="2786"/>
      <c r="BJ36" s="2786"/>
      <c r="BK36" s="2719"/>
      <c r="BL36" s="2786"/>
      <c r="BM36" s="2808"/>
      <c r="BN36" s="2805"/>
      <c r="BO36" s="2805"/>
      <c r="BP36" s="2805"/>
      <c r="BQ36" s="2805"/>
      <c r="BR36" s="2806"/>
    </row>
    <row r="37" spans="1:70" ht="48.75" customHeight="1" x14ac:dyDescent="0.2">
      <c r="A37" s="730"/>
      <c r="D37" s="731"/>
      <c r="G37" s="731"/>
      <c r="J37" s="2706"/>
      <c r="K37" s="2707"/>
      <c r="L37" s="2707"/>
      <c r="M37" s="2797"/>
      <c r="N37" s="2799"/>
      <c r="O37" s="2706"/>
      <c r="P37" s="2706"/>
      <c r="Q37" s="2707"/>
      <c r="R37" s="2802"/>
      <c r="S37" s="2803"/>
      <c r="T37" s="2804"/>
      <c r="U37" s="2790"/>
      <c r="V37" s="563" t="s">
        <v>569</v>
      </c>
      <c r="W37" s="732">
        <v>500000</v>
      </c>
      <c r="X37" s="732"/>
      <c r="Y37" s="732"/>
      <c r="Z37" s="709">
        <v>20</v>
      </c>
      <c r="AA37" s="710" t="s">
        <v>532</v>
      </c>
      <c r="AB37" s="2786"/>
      <c r="AC37" s="2786"/>
      <c r="AD37" s="2795"/>
      <c r="AE37" s="2795"/>
      <c r="AF37" s="2786"/>
      <c r="AG37" s="2786"/>
      <c r="AH37" s="2786"/>
      <c r="AI37" s="2786"/>
      <c r="AJ37" s="2786"/>
      <c r="AK37" s="2786"/>
      <c r="AL37" s="2786"/>
      <c r="AM37" s="2786"/>
      <c r="AN37" s="2786"/>
      <c r="AO37" s="2786"/>
      <c r="AP37" s="2786"/>
      <c r="AQ37" s="2786"/>
      <c r="AR37" s="2786"/>
      <c r="AS37" s="2786"/>
      <c r="AT37" s="2786"/>
      <c r="AU37" s="2786"/>
      <c r="AV37" s="2786"/>
      <c r="AW37" s="2786"/>
      <c r="AX37" s="2786"/>
      <c r="AY37" s="2786"/>
      <c r="AZ37" s="2786"/>
      <c r="BA37" s="2786"/>
      <c r="BB37" s="2786"/>
      <c r="BC37" s="2786"/>
      <c r="BD37" s="2786"/>
      <c r="BE37" s="2786"/>
      <c r="BF37" s="2786"/>
      <c r="BG37" s="2786"/>
      <c r="BH37" s="2786"/>
      <c r="BI37" s="2786"/>
      <c r="BJ37" s="2786"/>
      <c r="BK37" s="2719"/>
      <c r="BL37" s="2786"/>
      <c r="BM37" s="2808"/>
      <c r="BN37" s="2805"/>
      <c r="BO37" s="2805"/>
      <c r="BP37" s="2805"/>
      <c r="BQ37" s="2805"/>
      <c r="BR37" s="2806"/>
    </row>
    <row r="38" spans="1:70" ht="48.75" customHeight="1" x14ac:dyDescent="0.2">
      <c r="A38" s="730"/>
      <c r="D38" s="731"/>
      <c r="G38" s="731"/>
      <c r="J38" s="2706"/>
      <c r="K38" s="2707"/>
      <c r="L38" s="2707"/>
      <c r="M38" s="2797"/>
      <c r="N38" s="2799"/>
      <c r="O38" s="2706"/>
      <c r="P38" s="2706"/>
      <c r="Q38" s="2707"/>
      <c r="R38" s="2802"/>
      <c r="S38" s="2803"/>
      <c r="T38" s="2804"/>
      <c r="U38" s="2790"/>
      <c r="V38" s="563" t="s">
        <v>570</v>
      </c>
      <c r="W38" s="732">
        <v>1000000</v>
      </c>
      <c r="X38" s="732"/>
      <c r="Y38" s="732"/>
      <c r="Z38" s="709">
        <v>88</v>
      </c>
      <c r="AA38" s="710" t="s">
        <v>131</v>
      </c>
      <c r="AB38" s="2786"/>
      <c r="AC38" s="2786"/>
      <c r="AD38" s="2795"/>
      <c r="AE38" s="2795"/>
      <c r="AF38" s="2786"/>
      <c r="AG38" s="2786"/>
      <c r="AH38" s="2786"/>
      <c r="AI38" s="2786"/>
      <c r="AJ38" s="2786"/>
      <c r="AK38" s="2786"/>
      <c r="AL38" s="2786"/>
      <c r="AM38" s="2786"/>
      <c r="AN38" s="2786"/>
      <c r="AO38" s="2786"/>
      <c r="AP38" s="2786"/>
      <c r="AQ38" s="2786"/>
      <c r="AR38" s="2786"/>
      <c r="AS38" s="2786"/>
      <c r="AT38" s="2786"/>
      <c r="AU38" s="2786"/>
      <c r="AV38" s="2786"/>
      <c r="AW38" s="2786"/>
      <c r="AX38" s="2786"/>
      <c r="AY38" s="2786"/>
      <c r="AZ38" s="2786"/>
      <c r="BA38" s="2786"/>
      <c r="BB38" s="2786"/>
      <c r="BC38" s="2786"/>
      <c r="BD38" s="2786"/>
      <c r="BE38" s="2786"/>
      <c r="BF38" s="2786"/>
      <c r="BG38" s="2786"/>
      <c r="BH38" s="2786"/>
      <c r="BI38" s="2786"/>
      <c r="BJ38" s="2786"/>
      <c r="BK38" s="2719"/>
      <c r="BL38" s="2786"/>
      <c r="BM38" s="2808"/>
      <c r="BN38" s="2805"/>
      <c r="BO38" s="2805"/>
      <c r="BP38" s="2805"/>
      <c r="BQ38" s="2805"/>
      <c r="BR38" s="2806"/>
    </row>
    <row r="39" spans="1:70" ht="48.75" customHeight="1" x14ac:dyDescent="0.2">
      <c r="A39" s="730"/>
      <c r="D39" s="731"/>
      <c r="G39" s="731"/>
      <c r="J39" s="2706"/>
      <c r="K39" s="2707"/>
      <c r="L39" s="2707"/>
      <c r="M39" s="2797"/>
      <c r="N39" s="2799"/>
      <c r="O39" s="2706"/>
      <c r="P39" s="2706"/>
      <c r="Q39" s="2707"/>
      <c r="R39" s="2802"/>
      <c r="S39" s="2803"/>
      <c r="T39" s="2804"/>
      <c r="U39" s="2790"/>
      <c r="V39" s="563" t="s">
        <v>571</v>
      </c>
      <c r="W39" s="732">
        <v>1000000</v>
      </c>
      <c r="X39" s="732"/>
      <c r="Y39" s="732"/>
      <c r="Z39" s="709">
        <v>20</v>
      </c>
      <c r="AA39" s="710" t="s">
        <v>532</v>
      </c>
      <c r="AB39" s="2786"/>
      <c r="AC39" s="2786"/>
      <c r="AD39" s="2795"/>
      <c r="AE39" s="2795"/>
      <c r="AF39" s="2786"/>
      <c r="AG39" s="2786"/>
      <c r="AH39" s="2786"/>
      <c r="AI39" s="2786"/>
      <c r="AJ39" s="2786"/>
      <c r="AK39" s="2786"/>
      <c r="AL39" s="2786"/>
      <c r="AM39" s="2786"/>
      <c r="AN39" s="2786"/>
      <c r="AO39" s="2786"/>
      <c r="AP39" s="2786"/>
      <c r="AQ39" s="2786"/>
      <c r="AR39" s="2786"/>
      <c r="AS39" s="2786"/>
      <c r="AT39" s="2786"/>
      <c r="AU39" s="2786"/>
      <c r="AV39" s="2786"/>
      <c r="AW39" s="2786"/>
      <c r="AX39" s="2786"/>
      <c r="AY39" s="2786"/>
      <c r="AZ39" s="2786"/>
      <c r="BA39" s="2786"/>
      <c r="BB39" s="2786"/>
      <c r="BC39" s="2786"/>
      <c r="BD39" s="2786"/>
      <c r="BE39" s="2786"/>
      <c r="BF39" s="2786"/>
      <c r="BG39" s="2786"/>
      <c r="BH39" s="2786"/>
      <c r="BI39" s="2786"/>
      <c r="BJ39" s="2786"/>
      <c r="BK39" s="2719"/>
      <c r="BL39" s="2786"/>
      <c r="BM39" s="2808"/>
      <c r="BN39" s="2805"/>
      <c r="BO39" s="2805"/>
      <c r="BP39" s="2805"/>
      <c r="BQ39" s="2805"/>
      <c r="BR39" s="2806"/>
    </row>
    <row r="40" spans="1:70" ht="48.75" customHeight="1" x14ac:dyDescent="0.2">
      <c r="A40" s="730"/>
      <c r="D40" s="731"/>
      <c r="G40" s="731"/>
      <c r="J40" s="2706"/>
      <c r="K40" s="2707"/>
      <c r="L40" s="2707"/>
      <c r="M40" s="2797"/>
      <c r="N40" s="2799"/>
      <c r="O40" s="2706"/>
      <c r="P40" s="2706"/>
      <c r="Q40" s="2707"/>
      <c r="R40" s="2802"/>
      <c r="S40" s="2803"/>
      <c r="T40" s="2804"/>
      <c r="U40" s="2790"/>
      <c r="V40" s="563" t="s">
        <v>572</v>
      </c>
      <c r="W40" s="732">
        <v>1500000</v>
      </c>
      <c r="X40" s="732"/>
      <c r="Y40" s="732"/>
      <c r="Z40" s="709">
        <v>88</v>
      </c>
      <c r="AA40" s="710" t="s">
        <v>131</v>
      </c>
      <c r="AB40" s="2786"/>
      <c r="AC40" s="2786"/>
      <c r="AD40" s="2795"/>
      <c r="AE40" s="2795"/>
      <c r="AF40" s="2786"/>
      <c r="AG40" s="2786"/>
      <c r="AH40" s="2786"/>
      <c r="AI40" s="2786"/>
      <c r="AJ40" s="2786"/>
      <c r="AK40" s="2786"/>
      <c r="AL40" s="2786"/>
      <c r="AM40" s="2786"/>
      <c r="AN40" s="2786"/>
      <c r="AO40" s="2786"/>
      <c r="AP40" s="2786"/>
      <c r="AQ40" s="2786"/>
      <c r="AR40" s="2786"/>
      <c r="AS40" s="2786"/>
      <c r="AT40" s="2786"/>
      <c r="AU40" s="2786"/>
      <c r="AV40" s="2786"/>
      <c r="AW40" s="2786"/>
      <c r="AX40" s="2786"/>
      <c r="AY40" s="2786"/>
      <c r="AZ40" s="2786"/>
      <c r="BA40" s="2786"/>
      <c r="BB40" s="2786"/>
      <c r="BC40" s="2786"/>
      <c r="BD40" s="2786"/>
      <c r="BE40" s="2786"/>
      <c r="BF40" s="2786"/>
      <c r="BG40" s="2786"/>
      <c r="BH40" s="2786"/>
      <c r="BI40" s="2786"/>
      <c r="BJ40" s="2786"/>
      <c r="BK40" s="2719"/>
      <c r="BL40" s="2786"/>
      <c r="BM40" s="2808"/>
      <c r="BN40" s="2805"/>
      <c r="BO40" s="2805"/>
      <c r="BP40" s="2805"/>
      <c r="BQ40" s="2805"/>
      <c r="BR40" s="2806"/>
    </row>
    <row r="41" spans="1:70" ht="48.75" customHeight="1" x14ac:dyDescent="0.2">
      <c r="A41" s="730"/>
      <c r="D41" s="731"/>
      <c r="G41" s="731"/>
      <c r="J41" s="2706"/>
      <c r="K41" s="2707"/>
      <c r="L41" s="2707"/>
      <c r="M41" s="2797"/>
      <c r="N41" s="2799"/>
      <c r="O41" s="2706"/>
      <c r="P41" s="2706"/>
      <c r="Q41" s="2707"/>
      <c r="R41" s="2802"/>
      <c r="S41" s="2803"/>
      <c r="T41" s="2804"/>
      <c r="U41" s="2790"/>
      <c r="V41" s="563" t="s">
        <v>573</v>
      </c>
      <c r="W41" s="732">
        <v>500000</v>
      </c>
      <c r="X41" s="732"/>
      <c r="Y41" s="732"/>
      <c r="Z41" s="709">
        <v>20</v>
      </c>
      <c r="AA41" s="710" t="s">
        <v>532</v>
      </c>
      <c r="AB41" s="2786"/>
      <c r="AC41" s="2786"/>
      <c r="AD41" s="2795"/>
      <c r="AE41" s="2795"/>
      <c r="AF41" s="2786"/>
      <c r="AG41" s="2786"/>
      <c r="AH41" s="2786"/>
      <c r="AI41" s="2786"/>
      <c r="AJ41" s="2786"/>
      <c r="AK41" s="2786"/>
      <c r="AL41" s="2786"/>
      <c r="AM41" s="2786"/>
      <c r="AN41" s="2786"/>
      <c r="AO41" s="2786"/>
      <c r="AP41" s="2786"/>
      <c r="AQ41" s="2786"/>
      <c r="AR41" s="2786"/>
      <c r="AS41" s="2786"/>
      <c r="AT41" s="2786"/>
      <c r="AU41" s="2786"/>
      <c r="AV41" s="2786"/>
      <c r="AW41" s="2786"/>
      <c r="AX41" s="2786"/>
      <c r="AY41" s="2786"/>
      <c r="AZ41" s="2786"/>
      <c r="BA41" s="2786"/>
      <c r="BB41" s="2786"/>
      <c r="BC41" s="2786"/>
      <c r="BD41" s="2786"/>
      <c r="BE41" s="2786"/>
      <c r="BF41" s="2786"/>
      <c r="BG41" s="2786"/>
      <c r="BH41" s="2786"/>
      <c r="BI41" s="2786"/>
      <c r="BJ41" s="2786"/>
      <c r="BK41" s="2719"/>
      <c r="BL41" s="2786"/>
      <c r="BM41" s="2808"/>
      <c r="BN41" s="2805"/>
      <c r="BO41" s="2805"/>
      <c r="BP41" s="2805"/>
      <c r="BQ41" s="2805"/>
      <c r="BR41" s="2806"/>
    </row>
    <row r="42" spans="1:70" ht="48.75" customHeight="1" x14ac:dyDescent="0.2">
      <c r="A42" s="730"/>
      <c r="D42" s="731"/>
      <c r="G42" s="731"/>
      <c r="J42" s="2706"/>
      <c r="K42" s="2707"/>
      <c r="L42" s="2707"/>
      <c r="M42" s="2797"/>
      <c r="N42" s="2799"/>
      <c r="O42" s="2706"/>
      <c r="P42" s="2706"/>
      <c r="Q42" s="2707"/>
      <c r="R42" s="2802"/>
      <c r="S42" s="2803"/>
      <c r="T42" s="2804"/>
      <c r="U42" s="2790"/>
      <c r="V42" s="563" t="s">
        <v>574</v>
      </c>
      <c r="W42" s="732">
        <v>1000000</v>
      </c>
      <c r="X42" s="732"/>
      <c r="Y42" s="732"/>
      <c r="Z42" s="709">
        <v>88</v>
      </c>
      <c r="AA42" s="710" t="s">
        <v>131</v>
      </c>
      <c r="AB42" s="2786"/>
      <c r="AC42" s="2786"/>
      <c r="AD42" s="2795"/>
      <c r="AE42" s="2795"/>
      <c r="AF42" s="2786"/>
      <c r="AG42" s="2786"/>
      <c r="AH42" s="2786"/>
      <c r="AI42" s="2786"/>
      <c r="AJ42" s="2786"/>
      <c r="AK42" s="2786"/>
      <c r="AL42" s="2786"/>
      <c r="AM42" s="2786"/>
      <c r="AN42" s="2786"/>
      <c r="AO42" s="2786"/>
      <c r="AP42" s="2786"/>
      <c r="AQ42" s="2786"/>
      <c r="AR42" s="2786"/>
      <c r="AS42" s="2786"/>
      <c r="AT42" s="2786"/>
      <c r="AU42" s="2786"/>
      <c r="AV42" s="2786"/>
      <c r="AW42" s="2786"/>
      <c r="AX42" s="2786"/>
      <c r="AY42" s="2786"/>
      <c r="AZ42" s="2786"/>
      <c r="BA42" s="2786"/>
      <c r="BB42" s="2786"/>
      <c r="BC42" s="2786"/>
      <c r="BD42" s="2786"/>
      <c r="BE42" s="2786"/>
      <c r="BF42" s="2786"/>
      <c r="BG42" s="2786"/>
      <c r="BH42" s="2786"/>
      <c r="BI42" s="2786"/>
      <c r="BJ42" s="2786"/>
      <c r="BK42" s="2719"/>
      <c r="BL42" s="2786"/>
      <c r="BM42" s="2808"/>
      <c r="BN42" s="2805"/>
      <c r="BO42" s="2805"/>
      <c r="BP42" s="2805"/>
      <c r="BQ42" s="2805"/>
      <c r="BR42" s="2806"/>
    </row>
    <row r="43" spans="1:70" ht="48.75" customHeight="1" x14ac:dyDescent="0.2">
      <c r="A43" s="730"/>
      <c r="D43" s="731"/>
      <c r="G43" s="731"/>
      <c r="J43" s="2706"/>
      <c r="K43" s="2707"/>
      <c r="L43" s="2707"/>
      <c r="M43" s="2797"/>
      <c r="N43" s="2799"/>
      <c r="O43" s="2706"/>
      <c r="P43" s="2706"/>
      <c r="Q43" s="2707"/>
      <c r="R43" s="2802"/>
      <c r="S43" s="2803"/>
      <c r="T43" s="2804"/>
      <c r="U43" s="2790"/>
      <c r="V43" s="563" t="s">
        <v>575</v>
      </c>
      <c r="W43" s="732">
        <v>500000</v>
      </c>
      <c r="X43" s="732"/>
      <c r="Y43" s="732"/>
      <c r="Z43" s="709">
        <v>20</v>
      </c>
      <c r="AA43" s="710" t="s">
        <v>532</v>
      </c>
      <c r="AB43" s="2786"/>
      <c r="AC43" s="2786"/>
      <c r="AD43" s="2795"/>
      <c r="AE43" s="2795"/>
      <c r="AF43" s="2786"/>
      <c r="AG43" s="2786"/>
      <c r="AH43" s="2786"/>
      <c r="AI43" s="2786"/>
      <c r="AJ43" s="2786"/>
      <c r="AK43" s="2786"/>
      <c r="AL43" s="2786"/>
      <c r="AM43" s="2786"/>
      <c r="AN43" s="2786"/>
      <c r="AO43" s="2786"/>
      <c r="AP43" s="2786"/>
      <c r="AQ43" s="2786"/>
      <c r="AR43" s="2786"/>
      <c r="AS43" s="2786"/>
      <c r="AT43" s="2786"/>
      <c r="AU43" s="2786"/>
      <c r="AV43" s="2786"/>
      <c r="AW43" s="2786"/>
      <c r="AX43" s="2786"/>
      <c r="AY43" s="2786"/>
      <c r="AZ43" s="2786"/>
      <c r="BA43" s="2786"/>
      <c r="BB43" s="2786"/>
      <c r="BC43" s="2786"/>
      <c r="BD43" s="2786"/>
      <c r="BE43" s="2786"/>
      <c r="BF43" s="2786"/>
      <c r="BG43" s="2786"/>
      <c r="BH43" s="2786"/>
      <c r="BI43" s="2786"/>
      <c r="BJ43" s="2786"/>
      <c r="BK43" s="2719"/>
      <c r="BL43" s="2786"/>
      <c r="BM43" s="2808"/>
      <c r="BN43" s="2805"/>
      <c r="BO43" s="2805"/>
      <c r="BP43" s="2805"/>
      <c r="BQ43" s="2805"/>
      <c r="BR43" s="2806"/>
    </row>
    <row r="44" spans="1:70" ht="48.75" customHeight="1" x14ac:dyDescent="0.2">
      <c r="A44" s="730"/>
      <c r="D44" s="731"/>
      <c r="G44" s="731"/>
      <c r="J44" s="2706"/>
      <c r="K44" s="2707"/>
      <c r="L44" s="2707"/>
      <c r="M44" s="2797"/>
      <c r="N44" s="2799"/>
      <c r="O44" s="2706"/>
      <c r="P44" s="2706"/>
      <c r="Q44" s="2707"/>
      <c r="R44" s="2802"/>
      <c r="S44" s="2803"/>
      <c r="T44" s="2804"/>
      <c r="U44" s="2791"/>
      <c r="V44" s="563" t="s">
        <v>576</v>
      </c>
      <c r="W44" s="732">
        <v>500000</v>
      </c>
      <c r="X44" s="732"/>
      <c r="Y44" s="732"/>
      <c r="Z44" s="709">
        <v>88</v>
      </c>
      <c r="AA44" s="710" t="s">
        <v>131</v>
      </c>
      <c r="AB44" s="2786"/>
      <c r="AC44" s="2786"/>
      <c r="AD44" s="2795"/>
      <c r="AE44" s="2795"/>
      <c r="AF44" s="2786"/>
      <c r="AG44" s="2786"/>
      <c r="AH44" s="2786"/>
      <c r="AI44" s="2786"/>
      <c r="AJ44" s="2786"/>
      <c r="AK44" s="2786"/>
      <c r="AL44" s="2786"/>
      <c r="AM44" s="2786"/>
      <c r="AN44" s="2786"/>
      <c r="AO44" s="2786"/>
      <c r="AP44" s="2786"/>
      <c r="AQ44" s="2786"/>
      <c r="AR44" s="2786"/>
      <c r="AS44" s="2786"/>
      <c r="AT44" s="2786"/>
      <c r="AU44" s="2786"/>
      <c r="AV44" s="2786"/>
      <c r="AW44" s="2786"/>
      <c r="AX44" s="2786"/>
      <c r="AY44" s="2786"/>
      <c r="AZ44" s="2786"/>
      <c r="BA44" s="2786"/>
      <c r="BB44" s="2786"/>
      <c r="BC44" s="2786"/>
      <c r="BD44" s="2786"/>
      <c r="BE44" s="2786"/>
      <c r="BF44" s="2786"/>
      <c r="BG44" s="2786"/>
      <c r="BH44" s="2786"/>
      <c r="BI44" s="2786"/>
      <c r="BJ44" s="2786"/>
      <c r="BK44" s="2719"/>
      <c r="BL44" s="2786"/>
      <c r="BM44" s="2808"/>
      <c r="BN44" s="2805"/>
      <c r="BO44" s="2805"/>
      <c r="BP44" s="2805"/>
      <c r="BQ44" s="2805"/>
      <c r="BR44" s="2806"/>
    </row>
    <row r="45" spans="1:70" ht="78" customHeight="1" x14ac:dyDescent="0.2">
      <c r="A45" s="730"/>
      <c r="D45" s="731"/>
      <c r="G45" s="731"/>
      <c r="J45" s="2706"/>
      <c r="K45" s="2707"/>
      <c r="L45" s="2707"/>
      <c r="M45" s="2797"/>
      <c r="N45" s="2799"/>
      <c r="O45" s="2706"/>
      <c r="P45" s="2706"/>
      <c r="Q45" s="2707"/>
      <c r="R45" s="2802"/>
      <c r="S45" s="2803"/>
      <c r="T45" s="2804"/>
      <c r="U45" s="2789" t="s">
        <v>577</v>
      </c>
      <c r="V45" s="563" t="s">
        <v>578</v>
      </c>
      <c r="W45" s="732">
        <v>15000000</v>
      </c>
      <c r="X45" s="732">
        <v>15000000</v>
      </c>
      <c r="Y45" s="732"/>
      <c r="Z45" s="709">
        <v>20</v>
      </c>
      <c r="AA45" s="710" t="s">
        <v>532</v>
      </c>
      <c r="AB45" s="2786"/>
      <c r="AC45" s="2786"/>
      <c r="AD45" s="2795"/>
      <c r="AE45" s="2795"/>
      <c r="AF45" s="2786"/>
      <c r="AG45" s="2786"/>
      <c r="AH45" s="2786"/>
      <c r="AI45" s="2786"/>
      <c r="AJ45" s="2786"/>
      <c r="AK45" s="2786"/>
      <c r="AL45" s="2786"/>
      <c r="AM45" s="2786"/>
      <c r="AN45" s="2786"/>
      <c r="AO45" s="2786"/>
      <c r="AP45" s="2786"/>
      <c r="AQ45" s="2786"/>
      <c r="AR45" s="2786"/>
      <c r="AS45" s="2786"/>
      <c r="AT45" s="2786"/>
      <c r="AU45" s="2786"/>
      <c r="AV45" s="2786"/>
      <c r="AW45" s="2786"/>
      <c r="AX45" s="2786"/>
      <c r="AY45" s="2786"/>
      <c r="AZ45" s="2786"/>
      <c r="BA45" s="2786"/>
      <c r="BB45" s="2786"/>
      <c r="BC45" s="2786"/>
      <c r="BD45" s="2786"/>
      <c r="BE45" s="2786"/>
      <c r="BF45" s="2786"/>
      <c r="BG45" s="2786"/>
      <c r="BH45" s="2786"/>
      <c r="BI45" s="2786"/>
      <c r="BJ45" s="2786"/>
      <c r="BK45" s="2719"/>
      <c r="BL45" s="2786"/>
      <c r="BM45" s="2808"/>
      <c r="BN45" s="2805"/>
      <c r="BO45" s="2805"/>
      <c r="BP45" s="2805"/>
      <c r="BQ45" s="2805"/>
      <c r="BR45" s="2806"/>
    </row>
    <row r="46" spans="1:70" ht="56.25" customHeight="1" x14ac:dyDescent="0.2">
      <c r="A46" s="730"/>
      <c r="D46" s="731"/>
      <c r="G46" s="731"/>
      <c r="J46" s="2706"/>
      <c r="K46" s="2707"/>
      <c r="L46" s="2707"/>
      <c r="M46" s="2797"/>
      <c r="N46" s="2799"/>
      <c r="O46" s="2706"/>
      <c r="P46" s="2706"/>
      <c r="Q46" s="2707"/>
      <c r="R46" s="2802"/>
      <c r="S46" s="2803"/>
      <c r="T46" s="2804"/>
      <c r="U46" s="2791"/>
      <c r="V46" s="563" t="s">
        <v>579</v>
      </c>
      <c r="W46" s="732">
        <v>15000000</v>
      </c>
      <c r="X46" s="732">
        <v>15000000</v>
      </c>
      <c r="Y46" s="732"/>
      <c r="Z46" s="709">
        <v>88</v>
      </c>
      <c r="AA46" s="710" t="s">
        <v>131</v>
      </c>
      <c r="AB46" s="2786"/>
      <c r="AC46" s="2786"/>
      <c r="AD46" s="2795"/>
      <c r="AE46" s="2795"/>
      <c r="AF46" s="2786"/>
      <c r="AG46" s="2786"/>
      <c r="AH46" s="2786"/>
      <c r="AI46" s="2786"/>
      <c r="AJ46" s="2786"/>
      <c r="AK46" s="2786"/>
      <c r="AL46" s="2786"/>
      <c r="AM46" s="2786"/>
      <c r="AN46" s="2786"/>
      <c r="AO46" s="2786"/>
      <c r="AP46" s="2786"/>
      <c r="AQ46" s="2786"/>
      <c r="AR46" s="2786"/>
      <c r="AS46" s="2786"/>
      <c r="AT46" s="2786"/>
      <c r="AU46" s="2786"/>
      <c r="AV46" s="2786"/>
      <c r="AW46" s="2786"/>
      <c r="AX46" s="2786"/>
      <c r="AY46" s="2786"/>
      <c r="AZ46" s="2786"/>
      <c r="BA46" s="2786"/>
      <c r="BB46" s="2786"/>
      <c r="BC46" s="2786"/>
      <c r="BD46" s="2786"/>
      <c r="BE46" s="2786"/>
      <c r="BF46" s="2786"/>
      <c r="BG46" s="2786"/>
      <c r="BH46" s="2786"/>
      <c r="BI46" s="2786"/>
      <c r="BJ46" s="2786"/>
      <c r="BK46" s="2719"/>
      <c r="BL46" s="2786"/>
      <c r="BM46" s="2808"/>
      <c r="BN46" s="2805"/>
      <c r="BO46" s="2805"/>
      <c r="BP46" s="2805"/>
      <c r="BQ46" s="2805"/>
      <c r="BR46" s="2806"/>
    </row>
    <row r="47" spans="1:70" ht="42" customHeight="1" x14ac:dyDescent="0.2">
      <c r="A47" s="730"/>
      <c r="D47" s="731"/>
      <c r="G47" s="731"/>
      <c r="J47" s="2706"/>
      <c r="K47" s="2707"/>
      <c r="L47" s="2707"/>
      <c r="M47" s="2797"/>
      <c r="N47" s="2799"/>
      <c r="O47" s="2706"/>
      <c r="P47" s="2706"/>
      <c r="Q47" s="2707"/>
      <c r="R47" s="2802"/>
      <c r="S47" s="2803"/>
      <c r="T47" s="2804"/>
      <c r="U47" s="2707" t="s">
        <v>580</v>
      </c>
      <c r="V47" s="563" t="s">
        <v>581</v>
      </c>
      <c r="W47" s="732">
        <v>3500000</v>
      </c>
      <c r="X47" s="732">
        <f>W47</f>
        <v>3500000</v>
      </c>
      <c r="Y47" s="732"/>
      <c r="Z47" s="709">
        <v>20</v>
      </c>
      <c r="AA47" s="710" t="s">
        <v>532</v>
      </c>
      <c r="AB47" s="2786"/>
      <c r="AC47" s="2786"/>
      <c r="AD47" s="2795"/>
      <c r="AE47" s="2795"/>
      <c r="AF47" s="2786"/>
      <c r="AG47" s="2786"/>
      <c r="AH47" s="2786"/>
      <c r="AI47" s="2786"/>
      <c r="AJ47" s="2786"/>
      <c r="AK47" s="2786"/>
      <c r="AL47" s="2786"/>
      <c r="AM47" s="2786"/>
      <c r="AN47" s="2786"/>
      <c r="AO47" s="2786"/>
      <c r="AP47" s="2786"/>
      <c r="AQ47" s="2786"/>
      <c r="AR47" s="2786"/>
      <c r="AS47" s="2786"/>
      <c r="AT47" s="2786"/>
      <c r="AU47" s="2786"/>
      <c r="AV47" s="2786"/>
      <c r="AW47" s="2786"/>
      <c r="AX47" s="2786"/>
      <c r="AY47" s="2786"/>
      <c r="AZ47" s="2786"/>
      <c r="BA47" s="2786"/>
      <c r="BB47" s="2786"/>
      <c r="BC47" s="2786"/>
      <c r="BD47" s="2786"/>
      <c r="BE47" s="2786"/>
      <c r="BF47" s="2786"/>
      <c r="BG47" s="2786"/>
      <c r="BH47" s="2786"/>
      <c r="BI47" s="2786"/>
      <c r="BJ47" s="2786"/>
      <c r="BK47" s="2719"/>
      <c r="BL47" s="2786"/>
      <c r="BM47" s="2808"/>
      <c r="BN47" s="2805"/>
      <c r="BO47" s="2805"/>
      <c r="BP47" s="2805"/>
      <c r="BQ47" s="2805"/>
      <c r="BR47" s="2806"/>
    </row>
    <row r="48" spans="1:70" ht="33.75" customHeight="1" x14ac:dyDescent="0.2">
      <c r="A48" s="730"/>
      <c r="D48" s="731"/>
      <c r="G48" s="731"/>
      <c r="J48" s="2706"/>
      <c r="K48" s="2707"/>
      <c r="L48" s="2707"/>
      <c r="M48" s="2797"/>
      <c r="N48" s="2799"/>
      <c r="O48" s="2706"/>
      <c r="P48" s="2706"/>
      <c r="Q48" s="2707"/>
      <c r="R48" s="2802"/>
      <c r="S48" s="2803"/>
      <c r="T48" s="2804"/>
      <c r="U48" s="2707"/>
      <c r="V48" s="563" t="s">
        <v>582</v>
      </c>
      <c r="W48" s="732">
        <v>3500000</v>
      </c>
      <c r="X48" s="732"/>
      <c r="Y48" s="732"/>
      <c r="Z48" s="709">
        <v>88</v>
      </c>
      <c r="AA48" s="710" t="s">
        <v>131</v>
      </c>
      <c r="AB48" s="2786"/>
      <c r="AC48" s="2786"/>
      <c r="AD48" s="2795"/>
      <c r="AE48" s="2795"/>
      <c r="AF48" s="2786"/>
      <c r="AG48" s="2786"/>
      <c r="AH48" s="2786"/>
      <c r="AI48" s="2786"/>
      <c r="AJ48" s="2786"/>
      <c r="AK48" s="2786"/>
      <c r="AL48" s="2786"/>
      <c r="AM48" s="2786"/>
      <c r="AN48" s="2786"/>
      <c r="AO48" s="2786"/>
      <c r="AP48" s="2786"/>
      <c r="AQ48" s="2786"/>
      <c r="AR48" s="2786"/>
      <c r="AS48" s="2786"/>
      <c r="AT48" s="2786"/>
      <c r="AU48" s="2786"/>
      <c r="AV48" s="2786"/>
      <c r="AW48" s="2786"/>
      <c r="AX48" s="2786"/>
      <c r="AY48" s="2786"/>
      <c r="AZ48" s="2786"/>
      <c r="BA48" s="2786"/>
      <c r="BB48" s="2786"/>
      <c r="BC48" s="2786"/>
      <c r="BD48" s="2786"/>
      <c r="BE48" s="2786"/>
      <c r="BF48" s="2786"/>
      <c r="BG48" s="2786"/>
      <c r="BH48" s="2786"/>
      <c r="BI48" s="2786"/>
      <c r="BJ48" s="2786"/>
      <c r="BK48" s="2719"/>
      <c r="BL48" s="2786"/>
      <c r="BM48" s="2808"/>
      <c r="BN48" s="2805"/>
      <c r="BO48" s="2805"/>
      <c r="BP48" s="2805"/>
      <c r="BQ48" s="2805"/>
      <c r="BR48" s="2806"/>
    </row>
    <row r="49" spans="1:70" ht="26.25" customHeight="1" x14ac:dyDescent="0.2">
      <c r="A49" s="730"/>
      <c r="D49" s="731"/>
      <c r="G49" s="731"/>
      <c r="J49" s="2706"/>
      <c r="K49" s="2707"/>
      <c r="L49" s="2707"/>
      <c r="M49" s="2797"/>
      <c r="N49" s="2799"/>
      <c r="O49" s="2706"/>
      <c r="P49" s="2706"/>
      <c r="Q49" s="2707"/>
      <c r="R49" s="2802"/>
      <c r="S49" s="2803"/>
      <c r="T49" s="2804"/>
      <c r="U49" s="2707"/>
      <c r="V49" s="563" t="s">
        <v>583</v>
      </c>
      <c r="W49" s="733">
        <v>7000000</v>
      </c>
      <c r="X49" s="733">
        <f>W49</f>
        <v>7000000</v>
      </c>
      <c r="Y49" s="733"/>
      <c r="Z49" s="734">
        <v>20</v>
      </c>
      <c r="AA49" s="735" t="s">
        <v>532</v>
      </c>
      <c r="AB49" s="2786"/>
      <c r="AC49" s="2786"/>
      <c r="AD49" s="2795"/>
      <c r="AE49" s="2795"/>
      <c r="AF49" s="2786"/>
      <c r="AG49" s="2786"/>
      <c r="AH49" s="2786"/>
      <c r="AI49" s="2786"/>
      <c r="AJ49" s="2786"/>
      <c r="AK49" s="2786"/>
      <c r="AL49" s="2786"/>
      <c r="AM49" s="2786"/>
      <c r="AN49" s="2786"/>
      <c r="AO49" s="2786"/>
      <c r="AP49" s="2786"/>
      <c r="AQ49" s="2786"/>
      <c r="AR49" s="2786"/>
      <c r="AS49" s="2786"/>
      <c r="AT49" s="2786"/>
      <c r="AU49" s="2786"/>
      <c r="AV49" s="2786"/>
      <c r="AW49" s="2786"/>
      <c r="AX49" s="2786"/>
      <c r="AY49" s="2786"/>
      <c r="AZ49" s="2786"/>
      <c r="BA49" s="2786"/>
      <c r="BB49" s="2786"/>
      <c r="BC49" s="2786"/>
      <c r="BD49" s="2786"/>
      <c r="BE49" s="2786"/>
      <c r="BF49" s="2786"/>
      <c r="BG49" s="2786"/>
      <c r="BH49" s="2786"/>
      <c r="BI49" s="2786"/>
      <c r="BJ49" s="2786"/>
      <c r="BK49" s="2719"/>
      <c r="BL49" s="2786"/>
      <c r="BM49" s="2808"/>
      <c r="BN49" s="2805"/>
      <c r="BO49" s="2805"/>
      <c r="BP49" s="2805"/>
      <c r="BQ49" s="2805"/>
      <c r="BR49" s="2806"/>
    </row>
    <row r="50" spans="1:70" ht="30.75" customHeight="1" x14ac:dyDescent="0.2">
      <c r="A50" s="730"/>
      <c r="D50" s="731"/>
      <c r="G50" s="736"/>
      <c r="J50" s="2706"/>
      <c r="K50" s="2707"/>
      <c r="L50" s="2707"/>
      <c r="M50" s="2797"/>
      <c r="N50" s="2800"/>
      <c r="O50" s="2706"/>
      <c r="P50" s="2706"/>
      <c r="Q50" s="2707"/>
      <c r="R50" s="2802"/>
      <c r="S50" s="2803"/>
      <c r="T50" s="2804"/>
      <c r="U50" s="2707"/>
      <c r="V50" s="737" t="s">
        <v>584</v>
      </c>
      <c r="W50" s="732">
        <v>7000000</v>
      </c>
      <c r="X50" s="732"/>
      <c r="Y50" s="732"/>
      <c r="Z50" s="738">
        <v>88</v>
      </c>
      <c r="AA50" s="739" t="s">
        <v>131</v>
      </c>
      <c r="AB50" s="2809"/>
      <c r="AC50" s="2809"/>
      <c r="AD50" s="2795"/>
      <c r="AE50" s="2795"/>
      <c r="AF50" s="2786"/>
      <c r="AG50" s="2786"/>
      <c r="AH50" s="2786"/>
      <c r="AI50" s="2786"/>
      <c r="AJ50" s="2786"/>
      <c r="AK50" s="2786"/>
      <c r="AL50" s="2786"/>
      <c r="AM50" s="2786"/>
      <c r="AN50" s="2786"/>
      <c r="AO50" s="2786"/>
      <c r="AP50" s="2786"/>
      <c r="AQ50" s="2786"/>
      <c r="AR50" s="2786"/>
      <c r="AS50" s="2786"/>
      <c r="AT50" s="2786"/>
      <c r="AU50" s="2786"/>
      <c r="AV50" s="2786"/>
      <c r="AW50" s="2786"/>
      <c r="AX50" s="2786"/>
      <c r="AY50" s="2786"/>
      <c r="AZ50" s="2786"/>
      <c r="BA50" s="2786"/>
      <c r="BB50" s="2786"/>
      <c r="BC50" s="2786"/>
      <c r="BD50" s="2786"/>
      <c r="BE50" s="2786"/>
      <c r="BF50" s="2786"/>
      <c r="BG50" s="2786"/>
      <c r="BH50" s="2786"/>
      <c r="BI50" s="2786"/>
      <c r="BJ50" s="2786"/>
      <c r="BK50" s="2719"/>
      <c r="BL50" s="2786"/>
      <c r="BM50" s="2808"/>
      <c r="BN50" s="2805"/>
      <c r="BO50" s="2805"/>
      <c r="BP50" s="2805"/>
      <c r="BQ50" s="2805"/>
      <c r="BR50" s="2806"/>
    </row>
    <row r="51" spans="1:70" ht="30" customHeight="1" x14ac:dyDescent="0.2">
      <c r="A51" s="716"/>
      <c r="B51" s="717"/>
      <c r="C51" s="717"/>
      <c r="D51" s="740">
        <v>27</v>
      </c>
      <c r="E51" s="2810" t="s">
        <v>585</v>
      </c>
      <c r="F51" s="2810"/>
      <c r="G51" s="2810"/>
      <c r="H51" s="2810"/>
      <c r="I51" s="2810"/>
      <c r="J51" s="2810"/>
      <c r="K51" s="2810"/>
      <c r="L51" s="741"/>
      <c r="M51" s="742"/>
      <c r="N51" s="742"/>
      <c r="O51" s="742"/>
      <c r="P51" s="742"/>
      <c r="Q51" s="741"/>
      <c r="R51" s="743"/>
      <c r="S51" s="744"/>
      <c r="T51" s="745"/>
      <c r="U51" s="745"/>
      <c r="V51" s="746"/>
      <c r="W51" s="747"/>
      <c r="X51" s="747"/>
      <c r="Y51" s="747"/>
      <c r="Z51" s="748"/>
      <c r="AA51" s="749"/>
      <c r="AB51" s="750"/>
      <c r="AC51" s="750"/>
      <c r="AD51" s="751"/>
      <c r="AE51" s="751"/>
      <c r="AF51" s="750"/>
      <c r="AG51" s="750"/>
      <c r="AH51" s="750"/>
      <c r="AI51" s="750"/>
      <c r="AJ51" s="750"/>
      <c r="AK51" s="750"/>
      <c r="AL51" s="750"/>
      <c r="AM51" s="750"/>
      <c r="AN51" s="750"/>
      <c r="AO51" s="750"/>
      <c r="AP51" s="750"/>
      <c r="AQ51" s="750"/>
      <c r="AR51" s="750"/>
      <c r="AS51" s="750"/>
      <c r="AT51" s="750"/>
      <c r="AU51" s="750"/>
      <c r="AV51" s="750"/>
      <c r="AW51" s="750"/>
      <c r="AX51" s="750"/>
      <c r="AY51" s="750"/>
      <c r="AZ51" s="750"/>
      <c r="BA51" s="750"/>
      <c r="BB51" s="750"/>
      <c r="BC51" s="750"/>
      <c r="BD51" s="750"/>
      <c r="BE51" s="750"/>
      <c r="BF51" s="750"/>
      <c r="BG51" s="750"/>
      <c r="BH51" s="750"/>
      <c r="BI51" s="750"/>
      <c r="BJ51" s="750"/>
      <c r="BK51" s="750"/>
      <c r="BL51" s="750"/>
      <c r="BM51" s="750"/>
      <c r="BN51" s="752"/>
      <c r="BO51" s="752"/>
      <c r="BP51" s="753"/>
      <c r="BQ51" s="753"/>
      <c r="BR51" s="754"/>
    </row>
    <row r="52" spans="1:70" ht="28.5" customHeight="1" x14ac:dyDescent="0.2">
      <c r="A52" s="716"/>
      <c r="B52" s="717"/>
      <c r="C52" s="755"/>
      <c r="D52" s="718"/>
      <c r="E52" s="717"/>
      <c r="F52" s="755"/>
      <c r="G52" s="691">
        <v>85</v>
      </c>
      <c r="H52" s="2796" t="s">
        <v>586</v>
      </c>
      <c r="I52" s="2796"/>
      <c r="J52" s="2796"/>
      <c r="K52" s="2796"/>
      <c r="L52" s="693"/>
      <c r="M52" s="694"/>
      <c r="N52" s="694"/>
      <c r="O52" s="694"/>
      <c r="P52" s="694"/>
      <c r="Q52" s="693"/>
      <c r="R52" s="695"/>
      <c r="S52" s="756"/>
      <c r="T52" s="720"/>
      <c r="U52" s="720"/>
      <c r="V52" s="721"/>
      <c r="W52" s="698"/>
      <c r="X52" s="698"/>
      <c r="Y52" s="698"/>
      <c r="Z52" s="723"/>
      <c r="AA52" s="724"/>
      <c r="AB52" s="725"/>
      <c r="AC52" s="725"/>
      <c r="AD52" s="726"/>
      <c r="AE52" s="726"/>
      <c r="AF52" s="725"/>
      <c r="AG52" s="725"/>
      <c r="AH52" s="725"/>
      <c r="AI52" s="725"/>
      <c r="AJ52" s="725"/>
      <c r="AK52" s="725"/>
      <c r="AL52" s="725"/>
      <c r="AM52" s="725"/>
      <c r="AN52" s="725"/>
      <c r="AO52" s="725"/>
      <c r="AP52" s="725"/>
      <c r="AQ52" s="725"/>
      <c r="AR52" s="725"/>
      <c r="AS52" s="725"/>
      <c r="AT52" s="725"/>
      <c r="AU52" s="725"/>
      <c r="AV52" s="725"/>
      <c r="AW52" s="725"/>
      <c r="AX52" s="725"/>
      <c r="AY52" s="725"/>
      <c r="AZ52" s="725"/>
      <c r="BA52" s="725"/>
      <c r="BB52" s="725"/>
      <c r="BC52" s="725"/>
      <c r="BD52" s="725"/>
      <c r="BE52" s="725"/>
      <c r="BF52" s="725"/>
      <c r="BG52" s="725"/>
      <c r="BH52" s="725"/>
      <c r="BI52" s="725"/>
      <c r="BJ52" s="725"/>
      <c r="BK52" s="725"/>
      <c r="BL52" s="725"/>
      <c r="BM52" s="725"/>
      <c r="BN52" s="727"/>
      <c r="BO52" s="727"/>
      <c r="BP52" s="728"/>
      <c r="BQ52" s="728"/>
      <c r="BR52" s="729"/>
    </row>
    <row r="53" spans="1:70" ht="90.75" customHeight="1" x14ac:dyDescent="0.2">
      <c r="A53" s="757"/>
      <c r="B53" s="758"/>
      <c r="C53" s="759"/>
      <c r="D53" s="760"/>
      <c r="E53" s="758"/>
      <c r="F53" s="758"/>
      <c r="G53" s="761"/>
      <c r="H53" s="758"/>
      <c r="I53" s="758"/>
      <c r="J53" s="2706">
        <v>249</v>
      </c>
      <c r="K53" s="2707" t="s">
        <v>587</v>
      </c>
      <c r="L53" s="2804" t="s">
        <v>588</v>
      </c>
      <c r="M53" s="2797">
        <v>1</v>
      </c>
      <c r="N53" s="2798">
        <v>0.5</v>
      </c>
      <c r="O53" s="2706" t="s">
        <v>589</v>
      </c>
      <c r="P53" s="2706" t="s">
        <v>590</v>
      </c>
      <c r="Q53" s="2707" t="s">
        <v>591</v>
      </c>
      <c r="R53" s="2802">
        <v>1</v>
      </c>
      <c r="S53" s="2803">
        <f>SUM(W53:W63)</f>
        <v>120000000</v>
      </c>
      <c r="T53" s="2707" t="s">
        <v>592</v>
      </c>
      <c r="U53" s="2707" t="s">
        <v>593</v>
      </c>
      <c r="V53" s="762" t="s">
        <v>594</v>
      </c>
      <c r="W53" s="708">
        <v>7354100</v>
      </c>
      <c r="X53" s="708"/>
      <c r="Y53" s="708"/>
      <c r="Z53" s="709">
        <v>20</v>
      </c>
      <c r="AA53" s="763" t="s">
        <v>86</v>
      </c>
      <c r="AB53" s="2812">
        <v>294321</v>
      </c>
      <c r="AC53" s="2812"/>
      <c r="AD53" s="2813">
        <v>283947</v>
      </c>
      <c r="AE53" s="2813"/>
      <c r="AF53" s="2811">
        <v>135754</v>
      </c>
      <c r="AG53" s="2811"/>
      <c r="AH53" s="2811">
        <v>44640</v>
      </c>
      <c r="AI53" s="2811"/>
      <c r="AJ53" s="2811">
        <v>308178</v>
      </c>
      <c r="AK53" s="2811"/>
      <c r="AL53" s="2811">
        <v>89696</v>
      </c>
      <c r="AM53" s="2811"/>
      <c r="AN53" s="2811">
        <v>2145</v>
      </c>
      <c r="AO53" s="2811"/>
      <c r="AP53" s="2811">
        <v>12718</v>
      </c>
      <c r="AQ53" s="2811"/>
      <c r="AR53" s="2811">
        <v>26</v>
      </c>
      <c r="AS53" s="2811"/>
      <c r="AT53" s="2811">
        <v>37</v>
      </c>
      <c r="AU53" s="2811"/>
      <c r="AV53" s="2811"/>
      <c r="AW53" s="2811"/>
      <c r="AX53" s="2811"/>
      <c r="AY53" s="2811"/>
      <c r="AZ53" s="2786">
        <v>54612</v>
      </c>
      <c r="BA53" s="2786"/>
      <c r="BB53" s="2786">
        <v>16982</v>
      </c>
      <c r="BC53" s="2786"/>
      <c r="BD53" s="2811">
        <v>1010</v>
      </c>
      <c r="BE53" s="2811"/>
      <c r="BF53" s="2811">
        <f>AB53+AD53</f>
        <v>578268</v>
      </c>
      <c r="BG53" s="2811">
        <f>BF53</f>
        <v>578268</v>
      </c>
      <c r="BH53" s="2811">
        <v>3</v>
      </c>
      <c r="BI53" s="2818">
        <f>SUM(X53:X63)</f>
        <v>33025650</v>
      </c>
      <c r="BJ53" s="2818">
        <f>SUM(Y53:Y63)</f>
        <v>6000000</v>
      </c>
      <c r="BK53" s="2719">
        <f>BJ53/BI53</f>
        <v>0.18167696926479873</v>
      </c>
      <c r="BL53" s="2806" t="s">
        <v>595</v>
      </c>
      <c r="BM53" s="2806" t="s">
        <v>596</v>
      </c>
      <c r="BN53" s="2805">
        <v>43102</v>
      </c>
      <c r="BO53" s="2805">
        <v>43537</v>
      </c>
      <c r="BP53" s="2805">
        <v>43465</v>
      </c>
      <c r="BQ53" s="2805">
        <v>43830</v>
      </c>
      <c r="BR53" s="2706" t="s">
        <v>534</v>
      </c>
    </row>
    <row r="54" spans="1:70" ht="158.25" customHeight="1" x14ac:dyDescent="0.2">
      <c r="A54" s="757"/>
      <c r="B54" s="758"/>
      <c r="C54" s="759"/>
      <c r="D54" s="760"/>
      <c r="E54" s="758"/>
      <c r="F54" s="758"/>
      <c r="G54" s="760"/>
      <c r="H54" s="758"/>
      <c r="I54" s="758"/>
      <c r="J54" s="2706"/>
      <c r="K54" s="2707"/>
      <c r="L54" s="2804"/>
      <c r="M54" s="2797"/>
      <c r="N54" s="2799"/>
      <c r="O54" s="2706"/>
      <c r="P54" s="2706"/>
      <c r="Q54" s="2707"/>
      <c r="R54" s="2802"/>
      <c r="S54" s="2803"/>
      <c r="T54" s="2707"/>
      <c r="U54" s="2707"/>
      <c r="V54" s="762" t="s">
        <v>597</v>
      </c>
      <c r="W54" s="708">
        <v>11613500</v>
      </c>
      <c r="X54" s="708"/>
      <c r="Y54" s="708"/>
      <c r="Z54" s="709">
        <v>20</v>
      </c>
      <c r="AA54" s="763" t="s">
        <v>86</v>
      </c>
      <c r="AB54" s="2812"/>
      <c r="AC54" s="2812"/>
      <c r="AD54" s="2813"/>
      <c r="AE54" s="2813"/>
      <c r="AF54" s="2811"/>
      <c r="AG54" s="2811"/>
      <c r="AH54" s="2811"/>
      <c r="AI54" s="2811"/>
      <c r="AJ54" s="2811"/>
      <c r="AK54" s="2811"/>
      <c r="AL54" s="2811"/>
      <c r="AM54" s="2811"/>
      <c r="AN54" s="2811"/>
      <c r="AO54" s="2811"/>
      <c r="AP54" s="2811"/>
      <c r="AQ54" s="2811"/>
      <c r="AR54" s="2811"/>
      <c r="AS54" s="2811"/>
      <c r="AT54" s="2811"/>
      <c r="AU54" s="2811"/>
      <c r="AV54" s="2811"/>
      <c r="AW54" s="2811"/>
      <c r="AX54" s="2811"/>
      <c r="AY54" s="2811"/>
      <c r="AZ54" s="2786"/>
      <c r="BA54" s="2786"/>
      <c r="BB54" s="2786"/>
      <c r="BC54" s="2786"/>
      <c r="BD54" s="2811"/>
      <c r="BE54" s="2811"/>
      <c r="BF54" s="2811"/>
      <c r="BG54" s="2811"/>
      <c r="BH54" s="2811"/>
      <c r="BI54" s="2818"/>
      <c r="BJ54" s="2818"/>
      <c r="BK54" s="2719"/>
      <c r="BL54" s="2806"/>
      <c r="BM54" s="2811"/>
      <c r="BN54" s="2805"/>
      <c r="BO54" s="2805"/>
      <c r="BP54" s="2805"/>
      <c r="BQ54" s="2805"/>
      <c r="BR54" s="2706"/>
    </row>
    <row r="55" spans="1:70" ht="183" customHeight="1" x14ac:dyDescent="0.2">
      <c r="A55" s="757"/>
      <c r="B55" s="758"/>
      <c r="C55" s="759"/>
      <c r="D55" s="760"/>
      <c r="E55" s="758"/>
      <c r="F55" s="758"/>
      <c r="G55" s="760"/>
      <c r="H55" s="758"/>
      <c r="I55" s="758"/>
      <c r="J55" s="2706"/>
      <c r="K55" s="2707"/>
      <c r="L55" s="2804"/>
      <c r="M55" s="2797"/>
      <c r="N55" s="2799"/>
      <c r="O55" s="2706"/>
      <c r="P55" s="2706"/>
      <c r="Q55" s="2707"/>
      <c r="R55" s="2802"/>
      <c r="S55" s="2803"/>
      <c r="T55" s="2707"/>
      <c r="U55" s="2707"/>
      <c r="V55" s="762" t="s">
        <v>598</v>
      </c>
      <c r="W55" s="708">
        <v>17700000</v>
      </c>
      <c r="X55" s="708"/>
      <c r="Y55" s="708"/>
      <c r="Z55" s="709">
        <v>20</v>
      </c>
      <c r="AA55" s="763" t="s">
        <v>86</v>
      </c>
      <c r="AB55" s="2812"/>
      <c r="AC55" s="2812"/>
      <c r="AD55" s="2813"/>
      <c r="AE55" s="2813"/>
      <c r="AF55" s="2811"/>
      <c r="AG55" s="2811"/>
      <c r="AH55" s="2811"/>
      <c r="AI55" s="2811"/>
      <c r="AJ55" s="2811"/>
      <c r="AK55" s="2811"/>
      <c r="AL55" s="2811"/>
      <c r="AM55" s="2811"/>
      <c r="AN55" s="2811"/>
      <c r="AO55" s="2811"/>
      <c r="AP55" s="2811"/>
      <c r="AQ55" s="2811"/>
      <c r="AR55" s="2811"/>
      <c r="AS55" s="2811"/>
      <c r="AT55" s="2811"/>
      <c r="AU55" s="2811"/>
      <c r="AV55" s="2811"/>
      <c r="AW55" s="2811"/>
      <c r="AX55" s="2811"/>
      <c r="AY55" s="2811"/>
      <c r="AZ55" s="2786"/>
      <c r="BA55" s="2786"/>
      <c r="BB55" s="2786"/>
      <c r="BC55" s="2786"/>
      <c r="BD55" s="2811"/>
      <c r="BE55" s="2811"/>
      <c r="BF55" s="2811"/>
      <c r="BG55" s="2811"/>
      <c r="BH55" s="2811"/>
      <c r="BI55" s="2818"/>
      <c r="BJ55" s="2818"/>
      <c r="BK55" s="2719"/>
      <c r="BL55" s="2806"/>
      <c r="BM55" s="2811"/>
      <c r="BN55" s="2805"/>
      <c r="BO55" s="2805"/>
      <c r="BP55" s="2805"/>
      <c r="BQ55" s="2805"/>
      <c r="BR55" s="2706"/>
    </row>
    <row r="56" spans="1:70" ht="114.75" customHeight="1" x14ac:dyDescent="0.2">
      <c r="A56" s="757"/>
      <c r="B56" s="758"/>
      <c r="C56" s="759"/>
      <c r="D56" s="760"/>
      <c r="E56" s="758"/>
      <c r="F56" s="758"/>
      <c r="G56" s="760"/>
      <c r="H56" s="758"/>
      <c r="I56" s="758"/>
      <c r="J56" s="2706"/>
      <c r="K56" s="2707"/>
      <c r="L56" s="2804"/>
      <c r="M56" s="2797"/>
      <c r="N56" s="2799"/>
      <c r="O56" s="2706"/>
      <c r="P56" s="2706"/>
      <c r="Q56" s="2707"/>
      <c r="R56" s="2802"/>
      <c r="S56" s="2803"/>
      <c r="T56" s="2707"/>
      <c r="U56" s="2707"/>
      <c r="V56" s="762" t="s">
        <v>599</v>
      </c>
      <c r="W56" s="708">
        <v>10000000</v>
      </c>
      <c r="X56" s="708"/>
      <c r="Y56" s="708"/>
      <c r="Z56" s="709">
        <v>20</v>
      </c>
      <c r="AA56" s="763" t="s">
        <v>86</v>
      </c>
      <c r="AB56" s="2812"/>
      <c r="AC56" s="2812"/>
      <c r="AD56" s="2813"/>
      <c r="AE56" s="2813"/>
      <c r="AF56" s="2811"/>
      <c r="AG56" s="2811"/>
      <c r="AH56" s="2811"/>
      <c r="AI56" s="2811"/>
      <c r="AJ56" s="2811"/>
      <c r="AK56" s="2811"/>
      <c r="AL56" s="2811"/>
      <c r="AM56" s="2811"/>
      <c r="AN56" s="2811"/>
      <c r="AO56" s="2811"/>
      <c r="AP56" s="2811"/>
      <c r="AQ56" s="2811"/>
      <c r="AR56" s="2811"/>
      <c r="AS56" s="2811"/>
      <c r="AT56" s="2811"/>
      <c r="AU56" s="2811"/>
      <c r="AV56" s="2811"/>
      <c r="AW56" s="2811"/>
      <c r="AX56" s="2811"/>
      <c r="AY56" s="2811"/>
      <c r="AZ56" s="2786"/>
      <c r="BA56" s="2786"/>
      <c r="BB56" s="2786"/>
      <c r="BC56" s="2786"/>
      <c r="BD56" s="2811"/>
      <c r="BE56" s="2811"/>
      <c r="BF56" s="2811"/>
      <c r="BG56" s="2811"/>
      <c r="BH56" s="2811"/>
      <c r="BI56" s="2818"/>
      <c r="BJ56" s="2818"/>
      <c r="BK56" s="2719"/>
      <c r="BL56" s="2806"/>
      <c r="BM56" s="2811"/>
      <c r="BN56" s="2805"/>
      <c r="BO56" s="2805"/>
      <c r="BP56" s="2805"/>
      <c r="BQ56" s="2805"/>
      <c r="BR56" s="2706"/>
    </row>
    <row r="57" spans="1:70" ht="42.75" customHeight="1" x14ac:dyDescent="0.2">
      <c r="A57" s="757"/>
      <c r="B57" s="758"/>
      <c r="C57" s="759"/>
      <c r="D57" s="760"/>
      <c r="E57" s="758"/>
      <c r="F57" s="758"/>
      <c r="G57" s="760"/>
      <c r="H57" s="758"/>
      <c r="I57" s="758"/>
      <c r="J57" s="2706"/>
      <c r="K57" s="2707"/>
      <c r="L57" s="2804"/>
      <c r="M57" s="2797"/>
      <c r="N57" s="2799"/>
      <c r="O57" s="2706"/>
      <c r="P57" s="2706"/>
      <c r="Q57" s="2707"/>
      <c r="R57" s="2802"/>
      <c r="S57" s="2803"/>
      <c r="T57" s="2707"/>
      <c r="U57" s="2789" t="s">
        <v>600</v>
      </c>
      <c r="V57" s="762" t="s">
        <v>601</v>
      </c>
      <c r="W57" s="708">
        <f>17718900-7000000</f>
        <v>10718900</v>
      </c>
      <c r="X57" s="708">
        <v>10718900</v>
      </c>
      <c r="Y57" s="708"/>
      <c r="Z57" s="709">
        <v>20</v>
      </c>
      <c r="AA57" s="763" t="s">
        <v>86</v>
      </c>
      <c r="AB57" s="2812"/>
      <c r="AC57" s="2812"/>
      <c r="AD57" s="2813"/>
      <c r="AE57" s="2813"/>
      <c r="AF57" s="2811"/>
      <c r="AG57" s="2811"/>
      <c r="AH57" s="2811"/>
      <c r="AI57" s="2811"/>
      <c r="AJ57" s="2811"/>
      <c r="AK57" s="2811"/>
      <c r="AL57" s="2811"/>
      <c r="AM57" s="2811"/>
      <c r="AN57" s="2811"/>
      <c r="AO57" s="2811"/>
      <c r="AP57" s="2811"/>
      <c r="AQ57" s="2811"/>
      <c r="AR57" s="2811"/>
      <c r="AS57" s="2811"/>
      <c r="AT57" s="2811"/>
      <c r="AU57" s="2811"/>
      <c r="AV57" s="2811"/>
      <c r="AW57" s="2811"/>
      <c r="AX57" s="2811"/>
      <c r="AY57" s="2811"/>
      <c r="AZ57" s="2786"/>
      <c r="BA57" s="2786"/>
      <c r="BB57" s="2786"/>
      <c r="BC57" s="2786"/>
      <c r="BD57" s="2811"/>
      <c r="BE57" s="2811"/>
      <c r="BF57" s="2811"/>
      <c r="BG57" s="2811"/>
      <c r="BH57" s="2811"/>
      <c r="BI57" s="2818"/>
      <c r="BJ57" s="2818"/>
      <c r="BK57" s="2719"/>
      <c r="BL57" s="2806"/>
      <c r="BM57" s="2811"/>
      <c r="BN57" s="2805"/>
      <c r="BO57" s="2805"/>
      <c r="BP57" s="2805"/>
      <c r="BQ57" s="2805"/>
      <c r="BR57" s="2706"/>
    </row>
    <row r="58" spans="1:70" ht="28.5" customHeight="1" x14ac:dyDescent="0.2">
      <c r="A58" s="757"/>
      <c r="B58" s="758"/>
      <c r="C58" s="759"/>
      <c r="D58" s="760"/>
      <c r="E58" s="758"/>
      <c r="F58" s="758"/>
      <c r="G58" s="760"/>
      <c r="H58" s="758"/>
      <c r="I58" s="758"/>
      <c r="J58" s="2706"/>
      <c r="K58" s="2707"/>
      <c r="L58" s="2804"/>
      <c r="M58" s="2797"/>
      <c r="N58" s="2799"/>
      <c r="O58" s="2706"/>
      <c r="P58" s="2706"/>
      <c r="Q58" s="2707"/>
      <c r="R58" s="2802"/>
      <c r="S58" s="2803"/>
      <c r="T58" s="2707"/>
      <c r="U58" s="2790"/>
      <c r="V58" s="762" t="s">
        <v>602</v>
      </c>
      <c r="W58" s="732">
        <f>0+12000000</f>
        <v>12000000</v>
      </c>
      <c r="X58" s="732">
        <v>12000000</v>
      </c>
      <c r="Y58" s="732">
        <v>6000000</v>
      </c>
      <c r="Z58" s="709">
        <v>20</v>
      </c>
      <c r="AA58" s="763" t="s">
        <v>86</v>
      </c>
      <c r="AB58" s="2812"/>
      <c r="AC58" s="2812"/>
      <c r="AD58" s="2813"/>
      <c r="AE58" s="2813"/>
      <c r="AF58" s="2811"/>
      <c r="AG58" s="2811"/>
      <c r="AH58" s="2811"/>
      <c r="AI58" s="2811"/>
      <c r="AJ58" s="2811"/>
      <c r="AK58" s="2811"/>
      <c r="AL58" s="2811"/>
      <c r="AM58" s="2811"/>
      <c r="AN58" s="2811"/>
      <c r="AO58" s="2811"/>
      <c r="AP58" s="2811"/>
      <c r="AQ58" s="2811"/>
      <c r="AR58" s="2811"/>
      <c r="AS58" s="2811"/>
      <c r="AT58" s="2811"/>
      <c r="AU58" s="2811"/>
      <c r="AV58" s="2811"/>
      <c r="AW58" s="2811"/>
      <c r="AX58" s="2811"/>
      <c r="AY58" s="2811"/>
      <c r="AZ58" s="2786"/>
      <c r="BA58" s="2786"/>
      <c r="BB58" s="2786"/>
      <c r="BC58" s="2786"/>
      <c r="BD58" s="2811"/>
      <c r="BE58" s="2811"/>
      <c r="BF58" s="2811"/>
      <c r="BG58" s="2811"/>
      <c r="BH58" s="2811"/>
      <c r="BI58" s="2818"/>
      <c r="BJ58" s="2818"/>
      <c r="BK58" s="2719"/>
      <c r="BL58" s="2806"/>
      <c r="BM58" s="2811"/>
      <c r="BN58" s="2805"/>
      <c r="BO58" s="2805"/>
      <c r="BP58" s="2805"/>
      <c r="BQ58" s="2805"/>
      <c r="BR58" s="2706"/>
    </row>
    <row r="59" spans="1:70" ht="36.75" customHeight="1" x14ac:dyDescent="0.2">
      <c r="A59" s="757"/>
      <c r="B59" s="758"/>
      <c r="C59" s="759"/>
      <c r="D59" s="760"/>
      <c r="E59" s="758"/>
      <c r="F59" s="758"/>
      <c r="G59" s="760"/>
      <c r="H59" s="758"/>
      <c r="I59" s="758"/>
      <c r="J59" s="2706"/>
      <c r="K59" s="2707"/>
      <c r="L59" s="2804"/>
      <c r="M59" s="2797"/>
      <c r="N59" s="2799"/>
      <c r="O59" s="2706"/>
      <c r="P59" s="2706"/>
      <c r="Q59" s="2707"/>
      <c r="R59" s="2802"/>
      <c r="S59" s="2803"/>
      <c r="T59" s="2707"/>
      <c r="U59" s="2790"/>
      <c r="V59" s="707" t="s">
        <v>603</v>
      </c>
      <c r="W59" s="732">
        <f>15613500-5306750</f>
        <v>10306750</v>
      </c>
      <c r="X59" s="732">
        <v>10306750</v>
      </c>
      <c r="Y59" s="732"/>
      <c r="Z59" s="709">
        <v>20</v>
      </c>
      <c r="AA59" s="763" t="s">
        <v>86</v>
      </c>
      <c r="AB59" s="2812"/>
      <c r="AC59" s="2812"/>
      <c r="AD59" s="2813"/>
      <c r="AE59" s="2813"/>
      <c r="AF59" s="2811"/>
      <c r="AG59" s="2811"/>
      <c r="AH59" s="2811"/>
      <c r="AI59" s="2811"/>
      <c r="AJ59" s="2811"/>
      <c r="AK59" s="2811"/>
      <c r="AL59" s="2811"/>
      <c r="AM59" s="2811"/>
      <c r="AN59" s="2811"/>
      <c r="AO59" s="2811"/>
      <c r="AP59" s="2811"/>
      <c r="AQ59" s="2811"/>
      <c r="AR59" s="2811"/>
      <c r="AS59" s="2811"/>
      <c r="AT59" s="2811"/>
      <c r="AU59" s="2811"/>
      <c r="AV59" s="2811"/>
      <c r="AW59" s="2811"/>
      <c r="AX59" s="2811"/>
      <c r="AY59" s="2811"/>
      <c r="AZ59" s="2786"/>
      <c r="BA59" s="2786"/>
      <c r="BB59" s="2786"/>
      <c r="BC59" s="2786"/>
      <c r="BD59" s="2811"/>
      <c r="BE59" s="2811"/>
      <c r="BF59" s="2811"/>
      <c r="BG59" s="2811"/>
      <c r="BH59" s="2811"/>
      <c r="BI59" s="2818"/>
      <c r="BJ59" s="2818"/>
      <c r="BK59" s="2719"/>
      <c r="BL59" s="2806"/>
      <c r="BM59" s="2811"/>
      <c r="BN59" s="2805"/>
      <c r="BO59" s="2805"/>
      <c r="BP59" s="2805"/>
      <c r="BQ59" s="2805"/>
      <c r="BR59" s="2706"/>
    </row>
    <row r="60" spans="1:70" ht="25.5" customHeight="1" x14ac:dyDescent="0.2">
      <c r="A60" s="757"/>
      <c r="B60" s="758"/>
      <c r="C60" s="759"/>
      <c r="D60" s="760"/>
      <c r="E60" s="758"/>
      <c r="F60" s="758"/>
      <c r="G60" s="760"/>
      <c r="H60" s="758"/>
      <c r="I60" s="758"/>
      <c r="J60" s="2706"/>
      <c r="K60" s="2707"/>
      <c r="L60" s="2804"/>
      <c r="M60" s="2797"/>
      <c r="N60" s="2799"/>
      <c r="O60" s="2706"/>
      <c r="P60" s="2706"/>
      <c r="Q60" s="2707"/>
      <c r="R60" s="2802"/>
      <c r="S60" s="2803"/>
      <c r="T60" s="2707"/>
      <c r="U60" s="2790"/>
      <c r="V60" s="707" t="s">
        <v>604</v>
      </c>
      <c r="W60" s="732">
        <f>0+4000000+5806750</f>
        <v>9806750</v>
      </c>
      <c r="X60" s="732"/>
      <c r="Y60" s="732"/>
      <c r="Z60" s="709">
        <v>20</v>
      </c>
      <c r="AA60" s="763" t="s">
        <v>86</v>
      </c>
      <c r="AB60" s="2812"/>
      <c r="AC60" s="2812"/>
      <c r="AD60" s="2813"/>
      <c r="AE60" s="2813"/>
      <c r="AF60" s="2811"/>
      <c r="AG60" s="2811"/>
      <c r="AH60" s="2811"/>
      <c r="AI60" s="2811"/>
      <c r="AJ60" s="2811"/>
      <c r="AK60" s="2811"/>
      <c r="AL60" s="2811"/>
      <c r="AM60" s="2811"/>
      <c r="AN60" s="2811"/>
      <c r="AO60" s="2811"/>
      <c r="AP60" s="2811"/>
      <c r="AQ60" s="2811"/>
      <c r="AR60" s="2811"/>
      <c r="AS60" s="2811"/>
      <c r="AT60" s="2811"/>
      <c r="AU60" s="2811"/>
      <c r="AV60" s="2811"/>
      <c r="AW60" s="2811"/>
      <c r="AX60" s="2811"/>
      <c r="AY60" s="2811"/>
      <c r="AZ60" s="2786"/>
      <c r="BA60" s="2786"/>
      <c r="BB60" s="2786"/>
      <c r="BC60" s="2786"/>
      <c r="BD60" s="2811"/>
      <c r="BE60" s="2811"/>
      <c r="BF60" s="2811"/>
      <c r="BG60" s="2811"/>
      <c r="BH60" s="2811"/>
      <c r="BI60" s="2818"/>
      <c r="BJ60" s="2818"/>
      <c r="BK60" s="2719"/>
      <c r="BL60" s="2806"/>
      <c r="BM60" s="2811"/>
      <c r="BN60" s="2805"/>
      <c r="BO60" s="2805"/>
      <c r="BP60" s="2805"/>
      <c r="BQ60" s="2805"/>
      <c r="BR60" s="2706"/>
    </row>
    <row r="61" spans="1:70" ht="27.75" customHeight="1" x14ac:dyDescent="0.2">
      <c r="A61" s="757"/>
      <c r="B61" s="758"/>
      <c r="C61" s="759"/>
      <c r="D61" s="760"/>
      <c r="E61" s="758"/>
      <c r="F61" s="758"/>
      <c r="G61" s="760"/>
      <c r="H61" s="758"/>
      <c r="I61" s="758"/>
      <c r="J61" s="2706"/>
      <c r="K61" s="2707"/>
      <c r="L61" s="2804"/>
      <c r="M61" s="2797"/>
      <c r="N61" s="2799"/>
      <c r="O61" s="2706"/>
      <c r="P61" s="2706"/>
      <c r="Q61" s="2707"/>
      <c r="R61" s="2802"/>
      <c r="S61" s="2803"/>
      <c r="T61" s="2707"/>
      <c r="U61" s="2790"/>
      <c r="V61" s="707" t="s">
        <v>605</v>
      </c>
      <c r="W61" s="732">
        <f>0+500000</f>
        <v>500000</v>
      </c>
      <c r="X61" s="732"/>
      <c r="Y61" s="732"/>
      <c r="Z61" s="709">
        <v>20</v>
      </c>
      <c r="AA61" s="763" t="s">
        <v>86</v>
      </c>
      <c r="AB61" s="2812"/>
      <c r="AC61" s="2812"/>
      <c r="AD61" s="2813"/>
      <c r="AE61" s="2813"/>
      <c r="AF61" s="2811"/>
      <c r="AG61" s="2811"/>
      <c r="AH61" s="2811"/>
      <c r="AI61" s="2811"/>
      <c r="AJ61" s="2811"/>
      <c r="AK61" s="2811"/>
      <c r="AL61" s="2811"/>
      <c r="AM61" s="2811"/>
      <c r="AN61" s="2811"/>
      <c r="AO61" s="2811"/>
      <c r="AP61" s="2811"/>
      <c r="AQ61" s="2811"/>
      <c r="AR61" s="2811"/>
      <c r="AS61" s="2811"/>
      <c r="AT61" s="2811"/>
      <c r="AU61" s="2811"/>
      <c r="AV61" s="2811"/>
      <c r="AW61" s="2811"/>
      <c r="AX61" s="2811"/>
      <c r="AY61" s="2811"/>
      <c r="AZ61" s="2786"/>
      <c r="BA61" s="2786"/>
      <c r="BB61" s="2786"/>
      <c r="BC61" s="2786"/>
      <c r="BD61" s="2811"/>
      <c r="BE61" s="2811"/>
      <c r="BF61" s="2811"/>
      <c r="BG61" s="2811"/>
      <c r="BH61" s="2811"/>
      <c r="BI61" s="2818"/>
      <c r="BJ61" s="2818"/>
      <c r="BK61" s="2719"/>
      <c r="BL61" s="2806"/>
      <c r="BM61" s="2811"/>
      <c r="BN61" s="2805"/>
      <c r="BO61" s="2805"/>
      <c r="BP61" s="2805"/>
      <c r="BQ61" s="2805"/>
      <c r="BR61" s="2706"/>
    </row>
    <row r="62" spans="1:70" ht="49.5" customHeight="1" x14ac:dyDescent="0.2">
      <c r="A62" s="757"/>
      <c r="B62" s="758"/>
      <c r="C62" s="759"/>
      <c r="D62" s="760"/>
      <c r="E62" s="758"/>
      <c r="F62" s="758"/>
      <c r="G62" s="760"/>
      <c r="H62" s="758"/>
      <c r="I62" s="758"/>
      <c r="J62" s="2706"/>
      <c r="K62" s="2707"/>
      <c r="L62" s="2804"/>
      <c r="M62" s="2797"/>
      <c r="N62" s="2799"/>
      <c r="O62" s="2706"/>
      <c r="P62" s="2706"/>
      <c r="Q62" s="2707"/>
      <c r="R62" s="2802"/>
      <c r="S62" s="2803"/>
      <c r="T62" s="2707"/>
      <c r="U62" s="2707" t="s">
        <v>606</v>
      </c>
      <c r="V62" s="764" t="s">
        <v>607</v>
      </c>
      <c r="W62" s="732">
        <f>20000000-5000000</f>
        <v>15000000</v>
      </c>
      <c r="X62" s="732"/>
      <c r="Y62" s="732"/>
      <c r="Z62" s="709">
        <v>20</v>
      </c>
      <c r="AA62" s="763" t="s">
        <v>86</v>
      </c>
      <c r="AB62" s="2812"/>
      <c r="AC62" s="2812"/>
      <c r="AD62" s="2813"/>
      <c r="AE62" s="2813"/>
      <c r="AF62" s="2811"/>
      <c r="AG62" s="2811"/>
      <c r="AH62" s="2811"/>
      <c r="AI62" s="2811"/>
      <c r="AJ62" s="2811"/>
      <c r="AK62" s="2811"/>
      <c r="AL62" s="2811"/>
      <c r="AM62" s="2811"/>
      <c r="AN62" s="2811"/>
      <c r="AO62" s="2811"/>
      <c r="AP62" s="2811"/>
      <c r="AQ62" s="2811"/>
      <c r="AR62" s="2811"/>
      <c r="AS62" s="2811"/>
      <c r="AT62" s="2811"/>
      <c r="AU62" s="2811"/>
      <c r="AV62" s="2811"/>
      <c r="AW62" s="2811"/>
      <c r="AX62" s="2811"/>
      <c r="AY62" s="2811"/>
      <c r="AZ62" s="2786"/>
      <c r="BA62" s="2786"/>
      <c r="BB62" s="2786"/>
      <c r="BC62" s="2786"/>
      <c r="BD62" s="2811"/>
      <c r="BE62" s="2811"/>
      <c r="BF62" s="2811"/>
      <c r="BG62" s="2811"/>
      <c r="BH62" s="2811"/>
      <c r="BI62" s="2818"/>
      <c r="BJ62" s="2818"/>
      <c r="BK62" s="2719"/>
      <c r="BL62" s="2806"/>
      <c r="BM62" s="2811"/>
      <c r="BN62" s="2805"/>
      <c r="BO62" s="2805"/>
      <c r="BP62" s="2805"/>
      <c r="BQ62" s="2805"/>
      <c r="BR62" s="2706"/>
    </row>
    <row r="63" spans="1:70" ht="46.5" customHeight="1" x14ac:dyDescent="0.2">
      <c r="A63" s="757"/>
      <c r="B63" s="758"/>
      <c r="C63" s="759"/>
      <c r="D63" s="760"/>
      <c r="E63" s="758"/>
      <c r="F63" s="758"/>
      <c r="G63" s="760"/>
      <c r="H63" s="758"/>
      <c r="I63" s="758"/>
      <c r="J63" s="2706"/>
      <c r="K63" s="2707"/>
      <c r="L63" s="2804"/>
      <c r="M63" s="2797"/>
      <c r="N63" s="2800"/>
      <c r="O63" s="2706"/>
      <c r="P63" s="2706"/>
      <c r="Q63" s="2707"/>
      <c r="R63" s="2802"/>
      <c r="S63" s="2803"/>
      <c r="T63" s="2707"/>
      <c r="U63" s="2707"/>
      <c r="V63" s="764" t="s">
        <v>608</v>
      </c>
      <c r="W63" s="732">
        <f>20000000-5000000</f>
        <v>15000000</v>
      </c>
      <c r="X63" s="732"/>
      <c r="Y63" s="732"/>
      <c r="Z63" s="709">
        <v>20</v>
      </c>
      <c r="AA63" s="763" t="s">
        <v>86</v>
      </c>
      <c r="AB63" s="2812"/>
      <c r="AC63" s="2812"/>
      <c r="AD63" s="2813"/>
      <c r="AE63" s="2813"/>
      <c r="AF63" s="2811"/>
      <c r="AG63" s="2811"/>
      <c r="AH63" s="2811"/>
      <c r="AI63" s="2811"/>
      <c r="AJ63" s="2811"/>
      <c r="AK63" s="2811"/>
      <c r="AL63" s="2811"/>
      <c r="AM63" s="2811"/>
      <c r="AN63" s="2811"/>
      <c r="AO63" s="2811"/>
      <c r="AP63" s="2811"/>
      <c r="AQ63" s="2811"/>
      <c r="AR63" s="2811"/>
      <c r="AS63" s="2811"/>
      <c r="AT63" s="2811"/>
      <c r="AU63" s="2811"/>
      <c r="AV63" s="2811"/>
      <c r="AW63" s="2811"/>
      <c r="AX63" s="2811"/>
      <c r="AY63" s="2811"/>
      <c r="AZ63" s="2786"/>
      <c r="BA63" s="2786"/>
      <c r="BB63" s="2786"/>
      <c r="BC63" s="2786"/>
      <c r="BD63" s="2811"/>
      <c r="BE63" s="2811"/>
      <c r="BF63" s="2811"/>
      <c r="BG63" s="2811"/>
      <c r="BH63" s="2811"/>
      <c r="BI63" s="2818"/>
      <c r="BJ63" s="2818"/>
      <c r="BK63" s="2719"/>
      <c r="BL63" s="2806"/>
      <c r="BM63" s="2811"/>
      <c r="BN63" s="2805"/>
      <c r="BO63" s="2805"/>
      <c r="BP63" s="2805"/>
      <c r="BQ63" s="2805"/>
      <c r="BR63" s="2706"/>
    </row>
    <row r="64" spans="1:70" ht="30" customHeight="1" x14ac:dyDescent="0.2">
      <c r="A64" s="716"/>
      <c r="B64" s="717"/>
      <c r="C64" s="755"/>
      <c r="D64" s="765">
        <v>28</v>
      </c>
      <c r="E64" s="766"/>
      <c r="F64" s="2814" t="s">
        <v>89</v>
      </c>
      <c r="G64" s="2814"/>
      <c r="H64" s="2814"/>
      <c r="I64" s="2814"/>
      <c r="J64" s="2814"/>
      <c r="K64" s="2814"/>
      <c r="L64" s="767"/>
      <c r="M64" s="768"/>
      <c r="N64" s="768"/>
      <c r="O64" s="768"/>
      <c r="P64" s="768"/>
      <c r="Q64" s="767"/>
      <c r="R64" s="769"/>
      <c r="S64" s="770"/>
      <c r="T64" s="771"/>
      <c r="U64" s="771"/>
      <c r="V64" s="772"/>
      <c r="W64" s="773"/>
      <c r="X64" s="773"/>
      <c r="Y64" s="773"/>
      <c r="Z64" s="774"/>
      <c r="AA64" s="775"/>
      <c r="AB64" s="776"/>
      <c r="AC64" s="776"/>
      <c r="AD64" s="777"/>
      <c r="AE64" s="777"/>
      <c r="AF64" s="776"/>
      <c r="AG64" s="776"/>
      <c r="AH64" s="776"/>
      <c r="AI64" s="776"/>
      <c r="AJ64" s="776"/>
      <c r="AK64" s="776"/>
      <c r="AL64" s="776"/>
      <c r="AM64" s="776"/>
      <c r="AN64" s="776"/>
      <c r="AO64" s="776"/>
      <c r="AP64" s="776"/>
      <c r="AQ64" s="776"/>
      <c r="AR64" s="776"/>
      <c r="AS64" s="776"/>
      <c r="AT64" s="776"/>
      <c r="AU64" s="776"/>
      <c r="AV64" s="776"/>
      <c r="AW64" s="776"/>
      <c r="AX64" s="776"/>
      <c r="AY64" s="776"/>
      <c r="AZ64" s="776"/>
      <c r="BA64" s="776"/>
      <c r="BB64" s="776"/>
      <c r="BC64" s="776"/>
      <c r="BD64" s="776"/>
      <c r="BE64" s="776"/>
      <c r="BF64" s="776"/>
      <c r="BG64" s="776"/>
      <c r="BH64" s="776"/>
      <c r="BI64" s="776"/>
      <c r="BJ64" s="776"/>
      <c r="BK64" s="776"/>
      <c r="BL64" s="776"/>
      <c r="BM64" s="776"/>
      <c r="BN64" s="778"/>
      <c r="BO64" s="778"/>
      <c r="BP64" s="779"/>
      <c r="BQ64" s="779"/>
      <c r="BR64" s="780"/>
    </row>
    <row r="65" spans="1:70" ht="23.25" customHeight="1" x14ac:dyDescent="0.2">
      <c r="A65" s="716"/>
      <c r="B65" s="717"/>
      <c r="C65" s="717"/>
      <c r="D65" s="781"/>
      <c r="E65" s="782"/>
      <c r="F65" s="783"/>
      <c r="G65" s="691">
        <v>87</v>
      </c>
      <c r="H65" s="692" t="s">
        <v>609</v>
      </c>
      <c r="I65" s="692"/>
      <c r="J65" s="692"/>
      <c r="K65" s="692"/>
      <c r="L65" s="693"/>
      <c r="M65" s="694"/>
      <c r="N65" s="784"/>
      <c r="O65" s="784"/>
      <c r="P65" s="784"/>
      <c r="Q65" s="693"/>
      <c r="R65" s="695"/>
      <c r="S65" s="756"/>
      <c r="T65" s="720"/>
      <c r="U65" s="720"/>
      <c r="V65" s="721"/>
      <c r="W65" s="698"/>
      <c r="X65" s="785"/>
      <c r="Y65" s="785"/>
      <c r="Z65" s="786"/>
      <c r="AA65" s="787"/>
      <c r="AB65" s="725"/>
      <c r="AC65" s="725"/>
      <c r="AD65" s="726"/>
      <c r="AE65" s="726"/>
      <c r="AF65" s="725"/>
      <c r="AG65" s="788"/>
      <c r="AH65" s="788"/>
      <c r="AI65" s="788"/>
      <c r="AJ65" s="788"/>
      <c r="AK65" s="788"/>
      <c r="AL65" s="788"/>
      <c r="AM65" s="788"/>
      <c r="AN65" s="788"/>
      <c r="AO65" s="788"/>
      <c r="AP65" s="788"/>
      <c r="AQ65" s="788"/>
      <c r="AR65" s="725"/>
      <c r="AS65" s="725"/>
      <c r="AT65" s="725"/>
      <c r="AU65" s="725"/>
      <c r="AV65" s="725"/>
      <c r="AW65" s="725"/>
      <c r="AX65" s="725"/>
      <c r="AY65" s="725"/>
      <c r="AZ65" s="725"/>
      <c r="BA65" s="725"/>
      <c r="BB65" s="725"/>
      <c r="BC65" s="725"/>
      <c r="BD65" s="725"/>
      <c r="BE65" s="725"/>
      <c r="BF65" s="725"/>
      <c r="BG65" s="725"/>
      <c r="BH65" s="725"/>
      <c r="BI65" s="725"/>
      <c r="BJ65" s="725"/>
      <c r="BK65" s="725"/>
      <c r="BL65" s="725"/>
      <c r="BM65" s="725"/>
      <c r="BN65" s="727"/>
      <c r="BO65" s="727"/>
      <c r="BP65" s="728"/>
      <c r="BQ65" s="728"/>
      <c r="BR65" s="729"/>
    </row>
    <row r="66" spans="1:70" ht="37.5" customHeight="1" x14ac:dyDescent="0.2">
      <c r="A66" s="730"/>
      <c r="D66" s="731"/>
      <c r="G66" s="789"/>
      <c r="H66" s="790"/>
      <c r="I66" s="790"/>
      <c r="J66" s="2806">
        <v>257</v>
      </c>
      <c r="K66" s="2707" t="s">
        <v>610</v>
      </c>
      <c r="L66" s="2707" t="s">
        <v>173</v>
      </c>
      <c r="M66" s="2815">
        <v>1</v>
      </c>
      <c r="N66" s="2816">
        <v>0.6</v>
      </c>
      <c r="O66" s="2708" t="s">
        <v>611</v>
      </c>
      <c r="P66" s="2708" t="s">
        <v>612</v>
      </c>
      <c r="Q66" s="2819" t="s">
        <v>613</v>
      </c>
      <c r="R66" s="2802">
        <f>SUM(W66:W74)/S66</f>
        <v>0.5551270815074496</v>
      </c>
      <c r="S66" s="2821">
        <f>SUM(W66:W81)</f>
        <v>399350000</v>
      </c>
      <c r="T66" s="2789" t="s">
        <v>614</v>
      </c>
      <c r="U66" s="2707" t="s">
        <v>615</v>
      </c>
      <c r="V66" s="791" t="s">
        <v>616</v>
      </c>
      <c r="W66" s="732">
        <f>23200000-1208000</f>
        <v>21992000</v>
      </c>
      <c r="X66" s="733">
        <v>21992000</v>
      </c>
      <c r="Y66" s="733">
        <v>17084000</v>
      </c>
      <c r="Z66" s="792">
        <v>20</v>
      </c>
      <c r="AA66" s="735" t="s">
        <v>617</v>
      </c>
      <c r="AB66" s="2824">
        <v>294321</v>
      </c>
      <c r="AC66" s="2824"/>
      <c r="AD66" s="2828">
        <v>283947</v>
      </c>
      <c r="AE66" s="2828"/>
      <c r="AF66" s="2831">
        <v>135754</v>
      </c>
      <c r="AG66" s="2831"/>
      <c r="AH66" s="2837">
        <v>44640</v>
      </c>
      <c r="AI66" s="2837"/>
      <c r="AJ66" s="2837">
        <v>308178</v>
      </c>
      <c r="AK66" s="2837"/>
      <c r="AL66" s="2837">
        <v>89696</v>
      </c>
      <c r="AM66" s="2837"/>
      <c r="AN66" s="2837">
        <v>2145</v>
      </c>
      <c r="AO66" s="2837"/>
      <c r="AP66" s="2837">
        <v>12718</v>
      </c>
      <c r="AQ66" s="2837"/>
      <c r="AR66" s="2828">
        <v>26</v>
      </c>
      <c r="AS66" s="2828"/>
      <c r="AT66" s="2828">
        <v>37</v>
      </c>
      <c r="AU66" s="2828"/>
      <c r="AV66" s="2828"/>
      <c r="AW66" s="2828"/>
      <c r="AX66" s="2828"/>
      <c r="AY66" s="2828"/>
      <c r="AZ66" s="2786">
        <v>54612</v>
      </c>
      <c r="BA66" s="2786">
        <f>AZ66</f>
        <v>54612</v>
      </c>
      <c r="BB66" s="2828">
        <v>16982</v>
      </c>
      <c r="BC66" s="2828">
        <f>BB66</f>
        <v>16982</v>
      </c>
      <c r="BD66" s="2828">
        <v>1010</v>
      </c>
      <c r="BE66" s="2828">
        <f>BD66</f>
        <v>1010</v>
      </c>
      <c r="BF66" s="2828">
        <f>AB66+AD66</f>
        <v>578268</v>
      </c>
      <c r="BG66" s="2828">
        <f>BF66</f>
        <v>578268</v>
      </c>
      <c r="BH66" s="2828">
        <v>17</v>
      </c>
      <c r="BI66" s="2854">
        <f>SUM(X66:X81)</f>
        <v>271253273</v>
      </c>
      <c r="BJ66" s="2854">
        <f>SUM(Y66:Y81)</f>
        <v>125484600</v>
      </c>
      <c r="BK66" s="2851">
        <f>BJ66/BI66</f>
        <v>0.46261045484232738</v>
      </c>
      <c r="BL66" s="2828" t="s">
        <v>618</v>
      </c>
      <c r="BM66" s="2828" t="s">
        <v>619</v>
      </c>
      <c r="BN66" s="2838">
        <v>43102</v>
      </c>
      <c r="BO66" s="2838">
        <v>43482</v>
      </c>
      <c r="BP66" s="2838">
        <v>43465</v>
      </c>
      <c r="BQ66" s="2838">
        <v>43830</v>
      </c>
      <c r="BR66" s="2841" t="s">
        <v>534</v>
      </c>
    </row>
    <row r="67" spans="1:70" ht="39.75" customHeight="1" x14ac:dyDescent="0.2">
      <c r="A67" s="730"/>
      <c r="D67" s="731"/>
      <c r="G67" s="731"/>
      <c r="J67" s="2806"/>
      <c r="K67" s="2707"/>
      <c r="L67" s="2707"/>
      <c r="M67" s="2815"/>
      <c r="N67" s="2817"/>
      <c r="O67" s="2709"/>
      <c r="P67" s="2709"/>
      <c r="Q67" s="2820"/>
      <c r="R67" s="2802"/>
      <c r="S67" s="2822"/>
      <c r="T67" s="2790"/>
      <c r="U67" s="2707"/>
      <c r="V67" s="791" t="s">
        <v>620</v>
      </c>
      <c r="W67" s="732">
        <f>68400000-68400000</f>
        <v>0</v>
      </c>
      <c r="X67" s="733"/>
      <c r="Y67" s="733"/>
      <c r="Z67" s="792">
        <v>20</v>
      </c>
      <c r="AA67" s="735" t="s">
        <v>617</v>
      </c>
      <c r="AB67" s="2825"/>
      <c r="AC67" s="2825"/>
      <c r="AD67" s="2829"/>
      <c r="AE67" s="2829"/>
      <c r="AF67" s="2832"/>
      <c r="AG67" s="2832"/>
      <c r="AH67" s="2837"/>
      <c r="AI67" s="2837"/>
      <c r="AJ67" s="2837"/>
      <c r="AK67" s="2837"/>
      <c r="AL67" s="2837"/>
      <c r="AM67" s="2837"/>
      <c r="AN67" s="2837"/>
      <c r="AO67" s="2837"/>
      <c r="AP67" s="2837"/>
      <c r="AQ67" s="2837"/>
      <c r="AR67" s="2829"/>
      <c r="AS67" s="2829"/>
      <c r="AT67" s="2829"/>
      <c r="AU67" s="2829"/>
      <c r="AV67" s="2829"/>
      <c r="AW67" s="2829"/>
      <c r="AX67" s="2829"/>
      <c r="AY67" s="2829"/>
      <c r="AZ67" s="2786"/>
      <c r="BA67" s="2786"/>
      <c r="BB67" s="2829"/>
      <c r="BC67" s="2829"/>
      <c r="BD67" s="2829"/>
      <c r="BE67" s="2829"/>
      <c r="BF67" s="2829"/>
      <c r="BG67" s="2829"/>
      <c r="BH67" s="2829"/>
      <c r="BI67" s="2855"/>
      <c r="BJ67" s="2855"/>
      <c r="BK67" s="2852"/>
      <c r="BL67" s="2829"/>
      <c r="BM67" s="2829"/>
      <c r="BN67" s="2839"/>
      <c r="BO67" s="2839"/>
      <c r="BP67" s="2839"/>
      <c r="BQ67" s="2839"/>
      <c r="BR67" s="2842"/>
    </row>
    <row r="68" spans="1:70" ht="32.25" customHeight="1" x14ac:dyDescent="0.2">
      <c r="A68" s="730"/>
      <c r="D68" s="731"/>
      <c r="G68" s="731"/>
      <c r="J68" s="2806"/>
      <c r="K68" s="2707"/>
      <c r="L68" s="2707"/>
      <c r="M68" s="2815"/>
      <c r="N68" s="2817"/>
      <c r="O68" s="2709"/>
      <c r="P68" s="2709"/>
      <c r="Q68" s="2820"/>
      <c r="R68" s="2802"/>
      <c r="S68" s="2822"/>
      <c r="T68" s="2790"/>
      <c r="U68" s="2707"/>
      <c r="V68" s="2844" t="s">
        <v>621</v>
      </c>
      <c r="W68" s="732">
        <f>0+69608000</f>
        <v>69608000</v>
      </c>
      <c r="X68" s="733">
        <v>68844556</v>
      </c>
      <c r="Y68" s="733">
        <v>57609000</v>
      </c>
      <c r="Z68" s="792">
        <v>20</v>
      </c>
      <c r="AA68" s="735" t="s">
        <v>617</v>
      </c>
      <c r="AB68" s="2825"/>
      <c r="AC68" s="2825"/>
      <c r="AD68" s="2829"/>
      <c r="AE68" s="2829"/>
      <c r="AF68" s="2832"/>
      <c r="AG68" s="2832"/>
      <c r="AH68" s="2837"/>
      <c r="AI68" s="2837"/>
      <c r="AJ68" s="2837"/>
      <c r="AK68" s="2837"/>
      <c r="AL68" s="2837"/>
      <c r="AM68" s="2837"/>
      <c r="AN68" s="2837"/>
      <c r="AO68" s="2837"/>
      <c r="AP68" s="2837"/>
      <c r="AQ68" s="2837"/>
      <c r="AR68" s="2829"/>
      <c r="AS68" s="2829"/>
      <c r="AT68" s="2829"/>
      <c r="AU68" s="2829"/>
      <c r="AV68" s="2829"/>
      <c r="AW68" s="2829"/>
      <c r="AX68" s="2829"/>
      <c r="AY68" s="2829"/>
      <c r="AZ68" s="2786"/>
      <c r="BA68" s="2786"/>
      <c r="BB68" s="2829"/>
      <c r="BC68" s="2829"/>
      <c r="BD68" s="2829"/>
      <c r="BE68" s="2829"/>
      <c r="BF68" s="2829"/>
      <c r="BG68" s="2829"/>
      <c r="BH68" s="2829"/>
      <c r="BI68" s="2855"/>
      <c r="BJ68" s="2855"/>
      <c r="BK68" s="2852"/>
      <c r="BL68" s="2829"/>
      <c r="BM68" s="2829"/>
      <c r="BN68" s="2839"/>
      <c r="BO68" s="2839"/>
      <c r="BP68" s="2839"/>
      <c r="BQ68" s="2839"/>
      <c r="BR68" s="2842"/>
    </row>
    <row r="69" spans="1:70" ht="30.75" customHeight="1" x14ac:dyDescent="0.2">
      <c r="A69" s="730"/>
      <c r="D69" s="731"/>
      <c r="G69" s="731"/>
      <c r="J69" s="2806"/>
      <c r="K69" s="2707"/>
      <c r="L69" s="2707"/>
      <c r="M69" s="2815"/>
      <c r="N69" s="2817"/>
      <c r="O69" s="2709"/>
      <c r="P69" s="2709"/>
      <c r="Q69" s="2820"/>
      <c r="R69" s="2802"/>
      <c r="S69" s="2822"/>
      <c r="T69" s="2790"/>
      <c r="U69" s="2707"/>
      <c r="V69" s="2845"/>
      <c r="W69" s="733">
        <f>0+25833800+21050000</f>
        <v>46883800</v>
      </c>
      <c r="X69" s="733">
        <v>44385200</v>
      </c>
      <c r="Y69" s="733">
        <v>0</v>
      </c>
      <c r="Z69" s="792">
        <v>88</v>
      </c>
      <c r="AA69" s="735" t="s">
        <v>622</v>
      </c>
      <c r="AB69" s="2825"/>
      <c r="AC69" s="2825"/>
      <c r="AD69" s="2829"/>
      <c r="AE69" s="2829"/>
      <c r="AF69" s="2832"/>
      <c r="AG69" s="2832"/>
      <c r="AH69" s="2837"/>
      <c r="AI69" s="2837"/>
      <c r="AJ69" s="2837"/>
      <c r="AK69" s="2837"/>
      <c r="AL69" s="2837"/>
      <c r="AM69" s="2837"/>
      <c r="AN69" s="2837"/>
      <c r="AO69" s="2837"/>
      <c r="AP69" s="2837"/>
      <c r="AQ69" s="2837"/>
      <c r="AR69" s="2829"/>
      <c r="AS69" s="2829"/>
      <c r="AT69" s="2829"/>
      <c r="AU69" s="2829"/>
      <c r="AV69" s="2829"/>
      <c r="AW69" s="2829"/>
      <c r="AX69" s="2829"/>
      <c r="AY69" s="2829"/>
      <c r="AZ69" s="2786"/>
      <c r="BA69" s="2786"/>
      <c r="BB69" s="2829"/>
      <c r="BC69" s="2829"/>
      <c r="BD69" s="2829"/>
      <c r="BE69" s="2829"/>
      <c r="BF69" s="2829"/>
      <c r="BG69" s="2829"/>
      <c r="BH69" s="2829"/>
      <c r="BI69" s="2855"/>
      <c r="BJ69" s="2855"/>
      <c r="BK69" s="2852"/>
      <c r="BL69" s="2829"/>
      <c r="BM69" s="2829"/>
      <c r="BN69" s="2839"/>
      <c r="BO69" s="2839"/>
      <c r="BP69" s="2839"/>
      <c r="BQ69" s="2839"/>
      <c r="BR69" s="2842"/>
    </row>
    <row r="70" spans="1:70" ht="27.75" customHeight="1" x14ac:dyDescent="0.2">
      <c r="A70" s="730"/>
      <c r="D70" s="731"/>
      <c r="G70" s="731"/>
      <c r="J70" s="2806"/>
      <c r="K70" s="2707"/>
      <c r="L70" s="2707"/>
      <c r="M70" s="2815"/>
      <c r="N70" s="2817"/>
      <c r="O70" s="2709"/>
      <c r="P70" s="2709"/>
      <c r="Q70" s="2820"/>
      <c r="R70" s="2802"/>
      <c r="S70" s="2822"/>
      <c r="T70" s="2790"/>
      <c r="U70" s="2823"/>
      <c r="V70" s="2846" t="s">
        <v>623</v>
      </c>
      <c r="W70" s="794">
        <f>68400000-6360000</f>
        <v>62040000</v>
      </c>
      <c r="X70" s="794">
        <v>47743600</v>
      </c>
      <c r="Y70" s="794">
        <v>14751600</v>
      </c>
      <c r="Z70" s="792">
        <v>20</v>
      </c>
      <c r="AA70" s="735" t="s">
        <v>617</v>
      </c>
      <c r="AB70" s="2825"/>
      <c r="AC70" s="2825"/>
      <c r="AD70" s="2829"/>
      <c r="AE70" s="2829"/>
      <c r="AF70" s="2832"/>
      <c r="AG70" s="2832"/>
      <c r="AH70" s="2837"/>
      <c r="AI70" s="2837"/>
      <c r="AJ70" s="2837"/>
      <c r="AK70" s="2837"/>
      <c r="AL70" s="2837"/>
      <c r="AM70" s="2837"/>
      <c r="AN70" s="2837"/>
      <c r="AO70" s="2837"/>
      <c r="AP70" s="2837"/>
      <c r="AQ70" s="2837"/>
      <c r="AR70" s="2829"/>
      <c r="AS70" s="2829"/>
      <c r="AT70" s="2829"/>
      <c r="AU70" s="2829"/>
      <c r="AV70" s="2829"/>
      <c r="AW70" s="2829"/>
      <c r="AX70" s="2829"/>
      <c r="AY70" s="2829"/>
      <c r="AZ70" s="2786"/>
      <c r="BA70" s="2786"/>
      <c r="BB70" s="2829"/>
      <c r="BC70" s="2829"/>
      <c r="BD70" s="2829"/>
      <c r="BE70" s="2829"/>
      <c r="BF70" s="2829"/>
      <c r="BG70" s="2829"/>
      <c r="BH70" s="2829"/>
      <c r="BI70" s="2855"/>
      <c r="BJ70" s="2855"/>
      <c r="BK70" s="2852"/>
      <c r="BL70" s="2829"/>
      <c r="BM70" s="2829"/>
      <c r="BN70" s="2839"/>
      <c r="BO70" s="2839"/>
      <c r="BP70" s="2839"/>
      <c r="BQ70" s="2839"/>
      <c r="BR70" s="2842"/>
    </row>
    <row r="71" spans="1:70" ht="32.25" customHeight="1" x14ac:dyDescent="0.2">
      <c r="A71" s="730"/>
      <c r="D71" s="731"/>
      <c r="G71" s="731"/>
      <c r="J71" s="2806"/>
      <c r="K71" s="2707"/>
      <c r="L71" s="2707"/>
      <c r="M71" s="2815"/>
      <c r="N71" s="2817"/>
      <c r="O71" s="2709"/>
      <c r="P71" s="2709"/>
      <c r="Q71" s="2820"/>
      <c r="R71" s="2802"/>
      <c r="S71" s="2822"/>
      <c r="T71" s="2790"/>
      <c r="U71" s="2823"/>
      <c r="V71" s="2846"/>
      <c r="W71" s="795">
        <f>0+4584800</f>
        <v>4584800</v>
      </c>
      <c r="X71" s="795">
        <v>4584800</v>
      </c>
      <c r="Y71" s="795">
        <v>0</v>
      </c>
      <c r="Z71" s="796">
        <v>88</v>
      </c>
      <c r="AA71" s="797" t="s">
        <v>622</v>
      </c>
      <c r="AB71" s="2826"/>
      <c r="AC71" s="2826"/>
      <c r="AD71" s="2829"/>
      <c r="AE71" s="2829"/>
      <c r="AF71" s="2832"/>
      <c r="AG71" s="2832"/>
      <c r="AH71" s="2837"/>
      <c r="AI71" s="2837"/>
      <c r="AJ71" s="2837"/>
      <c r="AK71" s="2837"/>
      <c r="AL71" s="2837"/>
      <c r="AM71" s="2837"/>
      <c r="AN71" s="2837"/>
      <c r="AO71" s="2837"/>
      <c r="AP71" s="2837"/>
      <c r="AQ71" s="2837"/>
      <c r="AR71" s="2829"/>
      <c r="AS71" s="2829"/>
      <c r="AT71" s="2829"/>
      <c r="AU71" s="2829"/>
      <c r="AV71" s="2829"/>
      <c r="AW71" s="2829"/>
      <c r="AX71" s="2829"/>
      <c r="AY71" s="2829"/>
      <c r="AZ71" s="2786"/>
      <c r="BA71" s="2786"/>
      <c r="BB71" s="2829"/>
      <c r="BC71" s="2829"/>
      <c r="BD71" s="2829"/>
      <c r="BE71" s="2829"/>
      <c r="BF71" s="2829"/>
      <c r="BG71" s="2829"/>
      <c r="BH71" s="2829"/>
      <c r="BI71" s="2855"/>
      <c r="BJ71" s="2855"/>
      <c r="BK71" s="2852"/>
      <c r="BL71" s="2829"/>
      <c r="BM71" s="2829"/>
      <c r="BN71" s="2839"/>
      <c r="BO71" s="2839"/>
      <c r="BP71" s="2839"/>
      <c r="BQ71" s="2839"/>
      <c r="BR71" s="2842"/>
    </row>
    <row r="72" spans="1:70" ht="24" customHeight="1" x14ac:dyDescent="0.2">
      <c r="A72" s="730"/>
      <c r="D72" s="731"/>
      <c r="G72" s="731"/>
      <c r="J72" s="2806"/>
      <c r="K72" s="2707"/>
      <c r="L72" s="2707"/>
      <c r="M72" s="2815"/>
      <c r="N72" s="2817"/>
      <c r="O72" s="2709"/>
      <c r="P72" s="2709"/>
      <c r="Q72" s="2820"/>
      <c r="R72" s="2802"/>
      <c r="S72" s="2822"/>
      <c r="T72" s="2790"/>
      <c r="U72" s="2823"/>
      <c r="V72" s="798" t="s">
        <v>624</v>
      </c>
      <c r="W72" s="799">
        <f>0+6360000</f>
        <v>6360000</v>
      </c>
      <c r="X72" s="800">
        <v>6360000</v>
      </c>
      <c r="Y72" s="801">
        <v>0</v>
      </c>
      <c r="Z72" s="802">
        <v>20</v>
      </c>
      <c r="AA72" s="803" t="s">
        <v>617</v>
      </c>
      <c r="AB72" s="2826"/>
      <c r="AC72" s="2826"/>
      <c r="AD72" s="2829"/>
      <c r="AE72" s="2829"/>
      <c r="AF72" s="2832"/>
      <c r="AG72" s="2832"/>
      <c r="AH72" s="2837"/>
      <c r="AI72" s="2837"/>
      <c r="AJ72" s="2837"/>
      <c r="AK72" s="2837"/>
      <c r="AL72" s="2837"/>
      <c r="AM72" s="2837"/>
      <c r="AN72" s="2837"/>
      <c r="AO72" s="2837"/>
      <c r="AP72" s="2837"/>
      <c r="AQ72" s="2837"/>
      <c r="AR72" s="2829"/>
      <c r="AS72" s="2829"/>
      <c r="AT72" s="2829"/>
      <c r="AU72" s="2829"/>
      <c r="AV72" s="2829"/>
      <c r="AW72" s="2829"/>
      <c r="AX72" s="2829"/>
      <c r="AY72" s="2829"/>
      <c r="AZ72" s="2786"/>
      <c r="BA72" s="2786"/>
      <c r="BB72" s="2829"/>
      <c r="BC72" s="2829"/>
      <c r="BD72" s="2829"/>
      <c r="BE72" s="2829"/>
      <c r="BF72" s="2829"/>
      <c r="BG72" s="2829"/>
      <c r="BH72" s="2829"/>
      <c r="BI72" s="2855"/>
      <c r="BJ72" s="2855"/>
      <c r="BK72" s="2852"/>
      <c r="BL72" s="2829"/>
      <c r="BM72" s="2829"/>
      <c r="BN72" s="2839"/>
      <c r="BO72" s="2839"/>
      <c r="BP72" s="2839"/>
      <c r="BQ72" s="2839"/>
      <c r="BR72" s="2842"/>
    </row>
    <row r="73" spans="1:70" ht="30.75" customHeight="1" x14ac:dyDescent="0.2">
      <c r="A73" s="730"/>
      <c r="D73" s="731"/>
      <c r="G73" s="731"/>
      <c r="J73" s="2806"/>
      <c r="K73" s="2707"/>
      <c r="L73" s="2707"/>
      <c r="M73" s="2815"/>
      <c r="N73" s="2817"/>
      <c r="O73" s="2709"/>
      <c r="P73" s="2709"/>
      <c r="Q73" s="2820"/>
      <c r="R73" s="2802"/>
      <c r="S73" s="2822"/>
      <c r="T73" s="2790"/>
      <c r="U73" s="2823"/>
      <c r="V73" s="804" t="s">
        <v>625</v>
      </c>
      <c r="W73" s="805">
        <f>0+3000000</f>
        <v>3000000</v>
      </c>
      <c r="X73" s="806"/>
      <c r="Y73" s="806"/>
      <c r="Z73" s="796">
        <v>88</v>
      </c>
      <c r="AA73" s="797" t="s">
        <v>622</v>
      </c>
      <c r="AB73" s="2826"/>
      <c r="AC73" s="2826"/>
      <c r="AD73" s="2829"/>
      <c r="AE73" s="2829"/>
      <c r="AF73" s="2832"/>
      <c r="AG73" s="2832"/>
      <c r="AH73" s="2837"/>
      <c r="AI73" s="2837"/>
      <c r="AJ73" s="2837"/>
      <c r="AK73" s="2837"/>
      <c r="AL73" s="2837"/>
      <c r="AM73" s="2837"/>
      <c r="AN73" s="2837"/>
      <c r="AO73" s="2837"/>
      <c r="AP73" s="2837"/>
      <c r="AQ73" s="2837"/>
      <c r="AR73" s="2829"/>
      <c r="AS73" s="2829"/>
      <c r="AT73" s="2829"/>
      <c r="AU73" s="2829"/>
      <c r="AV73" s="2829"/>
      <c r="AW73" s="2829"/>
      <c r="AX73" s="2829"/>
      <c r="AY73" s="2829"/>
      <c r="AZ73" s="2786"/>
      <c r="BA73" s="2786"/>
      <c r="BB73" s="2829"/>
      <c r="BC73" s="2829"/>
      <c r="BD73" s="2829"/>
      <c r="BE73" s="2829"/>
      <c r="BF73" s="2829"/>
      <c r="BG73" s="2829"/>
      <c r="BH73" s="2829"/>
      <c r="BI73" s="2855"/>
      <c r="BJ73" s="2855"/>
      <c r="BK73" s="2852"/>
      <c r="BL73" s="2829"/>
      <c r="BM73" s="2829"/>
      <c r="BN73" s="2839"/>
      <c r="BO73" s="2839"/>
      <c r="BP73" s="2839"/>
      <c r="BQ73" s="2839"/>
      <c r="BR73" s="2842"/>
    </row>
    <row r="74" spans="1:70" ht="30.75" customHeight="1" x14ac:dyDescent="0.2">
      <c r="A74" s="730"/>
      <c r="D74" s="731"/>
      <c r="G74" s="731"/>
      <c r="I74" s="807"/>
      <c r="J74" s="2806"/>
      <c r="K74" s="2707"/>
      <c r="L74" s="2707"/>
      <c r="M74" s="2815"/>
      <c r="N74" s="2817"/>
      <c r="O74" s="2709"/>
      <c r="P74" s="2709"/>
      <c r="Q74" s="2820"/>
      <c r="R74" s="2802"/>
      <c r="S74" s="2822"/>
      <c r="T74" s="2790"/>
      <c r="U74" s="2823"/>
      <c r="V74" s="808" t="s">
        <v>626</v>
      </c>
      <c r="W74" s="809">
        <f>0+7221400</f>
        <v>7221400</v>
      </c>
      <c r="X74" s="810"/>
      <c r="Y74" s="810"/>
      <c r="Z74" s="796">
        <v>88</v>
      </c>
      <c r="AA74" s="797" t="s">
        <v>622</v>
      </c>
      <c r="AB74" s="2826"/>
      <c r="AC74" s="2826"/>
      <c r="AD74" s="2829"/>
      <c r="AE74" s="2829"/>
      <c r="AF74" s="2832"/>
      <c r="AG74" s="2832"/>
      <c r="AH74" s="2837"/>
      <c r="AI74" s="2837"/>
      <c r="AJ74" s="2837"/>
      <c r="AK74" s="2837"/>
      <c r="AL74" s="2837"/>
      <c r="AM74" s="2837"/>
      <c r="AN74" s="2837"/>
      <c r="AO74" s="2837"/>
      <c r="AP74" s="2837"/>
      <c r="AQ74" s="2837"/>
      <c r="AR74" s="2829"/>
      <c r="AS74" s="2829"/>
      <c r="AT74" s="2829"/>
      <c r="AU74" s="2829"/>
      <c r="AV74" s="2829"/>
      <c r="AW74" s="2829"/>
      <c r="AX74" s="2829"/>
      <c r="AY74" s="2829"/>
      <c r="AZ74" s="2786"/>
      <c r="BA74" s="2786"/>
      <c r="BB74" s="2829"/>
      <c r="BC74" s="2829"/>
      <c r="BD74" s="2829"/>
      <c r="BE74" s="2829"/>
      <c r="BF74" s="2829"/>
      <c r="BG74" s="2829"/>
      <c r="BH74" s="2829"/>
      <c r="BI74" s="2855"/>
      <c r="BJ74" s="2855"/>
      <c r="BK74" s="2852"/>
      <c r="BL74" s="2829"/>
      <c r="BM74" s="2829"/>
      <c r="BN74" s="2839"/>
      <c r="BO74" s="2839"/>
      <c r="BP74" s="2839"/>
      <c r="BQ74" s="2839"/>
      <c r="BR74" s="2842"/>
    </row>
    <row r="75" spans="1:70" ht="82.5" customHeight="1" x14ac:dyDescent="0.2">
      <c r="A75" s="730"/>
      <c r="D75" s="731"/>
      <c r="G75" s="731"/>
      <c r="I75" s="807"/>
      <c r="J75" s="792">
        <v>258</v>
      </c>
      <c r="K75" s="558" t="s">
        <v>627</v>
      </c>
      <c r="L75" s="558" t="s">
        <v>628</v>
      </c>
      <c r="M75" s="734">
        <v>1</v>
      </c>
      <c r="N75" s="811">
        <v>0.6</v>
      </c>
      <c r="O75" s="2709"/>
      <c r="P75" s="2709"/>
      <c r="Q75" s="2820"/>
      <c r="R75" s="812">
        <f>(W75)/S66</f>
        <v>7.4621259546763491E-2</v>
      </c>
      <c r="S75" s="2822"/>
      <c r="T75" s="2790"/>
      <c r="U75" s="558" t="s">
        <v>629</v>
      </c>
      <c r="V75" s="813" t="s">
        <v>630</v>
      </c>
      <c r="W75" s="814">
        <v>29800000</v>
      </c>
      <c r="X75" s="815">
        <v>22330672</v>
      </c>
      <c r="Y75" s="815">
        <v>10600000</v>
      </c>
      <c r="Z75" s="816" t="s">
        <v>356</v>
      </c>
      <c r="AA75" s="817" t="s">
        <v>617</v>
      </c>
      <c r="AB75" s="2825"/>
      <c r="AC75" s="2825"/>
      <c r="AD75" s="2829"/>
      <c r="AE75" s="2829"/>
      <c r="AF75" s="2832"/>
      <c r="AG75" s="2832"/>
      <c r="AH75" s="2837"/>
      <c r="AI75" s="2837"/>
      <c r="AJ75" s="2837"/>
      <c r="AK75" s="2837"/>
      <c r="AL75" s="2837"/>
      <c r="AM75" s="2837"/>
      <c r="AN75" s="2837"/>
      <c r="AO75" s="2837"/>
      <c r="AP75" s="2837"/>
      <c r="AQ75" s="2837"/>
      <c r="AR75" s="2829"/>
      <c r="AS75" s="2829"/>
      <c r="AT75" s="2829"/>
      <c r="AU75" s="2829"/>
      <c r="AV75" s="2829"/>
      <c r="AW75" s="2829"/>
      <c r="AX75" s="2829"/>
      <c r="AY75" s="2829"/>
      <c r="AZ75" s="2786"/>
      <c r="BA75" s="2786"/>
      <c r="BB75" s="2829"/>
      <c r="BC75" s="2829"/>
      <c r="BD75" s="2829"/>
      <c r="BE75" s="2829"/>
      <c r="BF75" s="2829"/>
      <c r="BG75" s="2829"/>
      <c r="BH75" s="2829"/>
      <c r="BI75" s="2855"/>
      <c r="BJ75" s="2855"/>
      <c r="BK75" s="2852"/>
      <c r="BL75" s="2829"/>
      <c r="BM75" s="2829"/>
      <c r="BN75" s="2839"/>
      <c r="BO75" s="2839"/>
      <c r="BP75" s="2839"/>
      <c r="BQ75" s="2839"/>
      <c r="BR75" s="2842"/>
    </row>
    <row r="76" spans="1:70" ht="61.5" customHeight="1" x14ac:dyDescent="0.2">
      <c r="A76" s="730"/>
      <c r="D76" s="731"/>
      <c r="G76" s="731"/>
      <c r="J76" s="565">
        <v>259</v>
      </c>
      <c r="K76" s="563" t="s">
        <v>631</v>
      </c>
      <c r="L76" s="563" t="s">
        <v>632</v>
      </c>
      <c r="M76" s="818">
        <v>1</v>
      </c>
      <c r="N76" s="811">
        <v>0.6</v>
      </c>
      <c r="O76" s="2709"/>
      <c r="P76" s="2709"/>
      <c r="Q76" s="2820"/>
      <c r="R76" s="819">
        <f>W76/S66</f>
        <v>2.1284587454613747E-2</v>
      </c>
      <c r="S76" s="2822"/>
      <c r="T76" s="2790"/>
      <c r="U76" s="563" t="s">
        <v>633</v>
      </c>
      <c r="V76" s="707" t="s">
        <v>634</v>
      </c>
      <c r="W76" s="708">
        <v>8500000</v>
      </c>
      <c r="X76" s="820">
        <v>5545778</v>
      </c>
      <c r="Y76" s="820">
        <v>0</v>
      </c>
      <c r="Z76" s="792">
        <v>20</v>
      </c>
      <c r="AA76" s="735" t="s">
        <v>617</v>
      </c>
      <c r="AB76" s="2825"/>
      <c r="AC76" s="2825"/>
      <c r="AD76" s="2829"/>
      <c r="AE76" s="2829"/>
      <c r="AF76" s="2832"/>
      <c r="AG76" s="2832"/>
      <c r="AH76" s="2837"/>
      <c r="AI76" s="2837"/>
      <c r="AJ76" s="2837"/>
      <c r="AK76" s="2837"/>
      <c r="AL76" s="2837"/>
      <c r="AM76" s="2837"/>
      <c r="AN76" s="2837"/>
      <c r="AO76" s="2837"/>
      <c r="AP76" s="2837"/>
      <c r="AQ76" s="2837"/>
      <c r="AR76" s="2829"/>
      <c r="AS76" s="2829"/>
      <c r="AT76" s="2829"/>
      <c r="AU76" s="2829"/>
      <c r="AV76" s="2829"/>
      <c r="AW76" s="2829"/>
      <c r="AX76" s="2829"/>
      <c r="AY76" s="2829"/>
      <c r="AZ76" s="2786"/>
      <c r="BA76" s="2786"/>
      <c r="BB76" s="2829"/>
      <c r="BC76" s="2829"/>
      <c r="BD76" s="2829"/>
      <c r="BE76" s="2829"/>
      <c r="BF76" s="2829"/>
      <c r="BG76" s="2829"/>
      <c r="BH76" s="2829"/>
      <c r="BI76" s="2855"/>
      <c r="BJ76" s="2855"/>
      <c r="BK76" s="2852"/>
      <c r="BL76" s="2829"/>
      <c r="BM76" s="2829"/>
      <c r="BN76" s="2839"/>
      <c r="BO76" s="2839"/>
      <c r="BP76" s="2839"/>
      <c r="BQ76" s="2839"/>
      <c r="BR76" s="2842"/>
    </row>
    <row r="77" spans="1:70" ht="50.25" customHeight="1" x14ac:dyDescent="0.2">
      <c r="A77" s="730"/>
      <c r="D77" s="731"/>
      <c r="G77" s="731"/>
      <c r="J77" s="565">
        <v>263</v>
      </c>
      <c r="K77" s="563" t="s">
        <v>635</v>
      </c>
      <c r="L77" s="563" t="s">
        <v>636</v>
      </c>
      <c r="M77" s="818">
        <v>1</v>
      </c>
      <c r="N77" s="709"/>
      <c r="O77" s="2709"/>
      <c r="P77" s="2709"/>
      <c r="Q77" s="2820"/>
      <c r="R77" s="819">
        <f>W77/S66</f>
        <v>0.20032552898459999</v>
      </c>
      <c r="S77" s="2822"/>
      <c r="T77" s="2790"/>
      <c r="U77" s="563" t="s">
        <v>637</v>
      </c>
      <c r="V77" s="821" t="s">
        <v>638</v>
      </c>
      <c r="W77" s="708">
        <v>80000000</v>
      </c>
      <c r="X77" s="820"/>
      <c r="Y77" s="820"/>
      <c r="Z77" s="792">
        <v>20</v>
      </c>
      <c r="AA77" s="735" t="s">
        <v>617</v>
      </c>
      <c r="AB77" s="2825"/>
      <c r="AC77" s="2825"/>
      <c r="AD77" s="2829"/>
      <c r="AE77" s="2829"/>
      <c r="AF77" s="2832"/>
      <c r="AG77" s="2832"/>
      <c r="AH77" s="2837"/>
      <c r="AI77" s="2837"/>
      <c r="AJ77" s="2837"/>
      <c r="AK77" s="2837"/>
      <c r="AL77" s="2837"/>
      <c r="AM77" s="2837"/>
      <c r="AN77" s="2837"/>
      <c r="AO77" s="2837"/>
      <c r="AP77" s="2837"/>
      <c r="AQ77" s="2837"/>
      <c r="AR77" s="2829"/>
      <c r="AS77" s="2829"/>
      <c r="AT77" s="2829"/>
      <c r="AU77" s="2829"/>
      <c r="AV77" s="2829"/>
      <c r="AW77" s="2829"/>
      <c r="AX77" s="2829"/>
      <c r="AY77" s="2829"/>
      <c r="AZ77" s="2786"/>
      <c r="BA77" s="2786"/>
      <c r="BB77" s="2829"/>
      <c r="BC77" s="2829"/>
      <c r="BD77" s="2829"/>
      <c r="BE77" s="2829"/>
      <c r="BF77" s="2829"/>
      <c r="BG77" s="2829"/>
      <c r="BH77" s="2829"/>
      <c r="BI77" s="2855"/>
      <c r="BJ77" s="2855"/>
      <c r="BK77" s="2852"/>
      <c r="BL77" s="2829"/>
      <c r="BM77" s="2829"/>
      <c r="BN77" s="2839"/>
      <c r="BO77" s="2839"/>
      <c r="BP77" s="2839"/>
      <c r="BQ77" s="2839"/>
      <c r="BR77" s="2842"/>
    </row>
    <row r="78" spans="1:70" ht="27.75" customHeight="1" x14ac:dyDescent="0.2">
      <c r="A78" s="730"/>
      <c r="D78" s="731"/>
      <c r="G78" s="731"/>
      <c r="J78" s="2841">
        <v>261</v>
      </c>
      <c r="K78" s="2789" t="s">
        <v>639</v>
      </c>
      <c r="L78" s="2789" t="s">
        <v>640</v>
      </c>
      <c r="M78" s="2847">
        <v>2</v>
      </c>
      <c r="N78" s="2811">
        <v>2</v>
      </c>
      <c r="O78" s="2709"/>
      <c r="P78" s="2709"/>
      <c r="Q78" s="2820"/>
      <c r="R78" s="2849">
        <f>SUM(W78:W81)/S66</f>
        <v>0.14864154250657319</v>
      </c>
      <c r="S78" s="2822"/>
      <c r="T78" s="2790"/>
      <c r="U78" s="2789" t="s">
        <v>641</v>
      </c>
      <c r="V78" s="2834" t="s">
        <v>642</v>
      </c>
      <c r="W78" s="822">
        <v>26400000</v>
      </c>
      <c r="X78" s="708">
        <f>18200000</f>
        <v>18200000</v>
      </c>
      <c r="Y78" s="708">
        <v>13960000</v>
      </c>
      <c r="Z78" s="823">
        <v>20</v>
      </c>
      <c r="AA78" s="735" t="s">
        <v>617</v>
      </c>
      <c r="AB78" s="2825"/>
      <c r="AC78" s="2825"/>
      <c r="AD78" s="2829"/>
      <c r="AE78" s="2829"/>
      <c r="AF78" s="2832"/>
      <c r="AG78" s="2832"/>
      <c r="AH78" s="2837"/>
      <c r="AI78" s="2837"/>
      <c r="AJ78" s="2837"/>
      <c r="AK78" s="2837"/>
      <c r="AL78" s="2837"/>
      <c r="AM78" s="2837"/>
      <c r="AN78" s="2837"/>
      <c r="AO78" s="2837"/>
      <c r="AP78" s="2837"/>
      <c r="AQ78" s="2837"/>
      <c r="AR78" s="2829"/>
      <c r="AS78" s="2829"/>
      <c r="AT78" s="2829"/>
      <c r="AU78" s="2829"/>
      <c r="AV78" s="2829"/>
      <c r="AW78" s="2829"/>
      <c r="AX78" s="2829"/>
      <c r="AY78" s="2829"/>
      <c r="AZ78" s="2786"/>
      <c r="BA78" s="2786"/>
      <c r="BB78" s="2829"/>
      <c r="BC78" s="2829"/>
      <c r="BD78" s="2829"/>
      <c r="BE78" s="2829"/>
      <c r="BF78" s="2829"/>
      <c r="BG78" s="2829"/>
      <c r="BH78" s="2829"/>
      <c r="BI78" s="2855"/>
      <c r="BJ78" s="2855"/>
      <c r="BK78" s="2852"/>
      <c r="BL78" s="2829"/>
      <c r="BM78" s="2829"/>
      <c r="BN78" s="2839"/>
      <c r="BO78" s="2839"/>
      <c r="BP78" s="2839"/>
      <c r="BQ78" s="2839"/>
      <c r="BR78" s="2842"/>
    </row>
    <row r="79" spans="1:70" ht="29.25" customHeight="1" x14ac:dyDescent="0.2">
      <c r="A79" s="730"/>
      <c r="D79" s="731"/>
      <c r="G79" s="731"/>
      <c r="J79" s="2842"/>
      <c r="K79" s="2790"/>
      <c r="L79" s="2790"/>
      <c r="M79" s="2848"/>
      <c r="N79" s="2811"/>
      <c r="O79" s="2709"/>
      <c r="P79" s="2709"/>
      <c r="Q79" s="2820"/>
      <c r="R79" s="2850"/>
      <c r="S79" s="2822"/>
      <c r="T79" s="2790"/>
      <c r="U79" s="2790"/>
      <c r="V79" s="2835"/>
      <c r="W79" s="825">
        <f>0+8760000</f>
        <v>8760000</v>
      </c>
      <c r="X79" s="732">
        <f>W79</f>
        <v>8760000</v>
      </c>
      <c r="Y79" s="732"/>
      <c r="Z79" s="826">
        <v>88</v>
      </c>
      <c r="AA79" s="797" t="s">
        <v>622</v>
      </c>
      <c r="AB79" s="2825"/>
      <c r="AC79" s="2825"/>
      <c r="AD79" s="2829"/>
      <c r="AE79" s="2829"/>
      <c r="AF79" s="2832"/>
      <c r="AG79" s="2832"/>
      <c r="AH79" s="2837"/>
      <c r="AI79" s="2837"/>
      <c r="AJ79" s="2837"/>
      <c r="AK79" s="2837"/>
      <c r="AL79" s="2837"/>
      <c r="AM79" s="2837"/>
      <c r="AN79" s="2837"/>
      <c r="AO79" s="2837"/>
      <c r="AP79" s="2837"/>
      <c r="AQ79" s="2837"/>
      <c r="AR79" s="2829"/>
      <c r="AS79" s="2829"/>
      <c r="AT79" s="2829"/>
      <c r="AU79" s="2829"/>
      <c r="AV79" s="2829"/>
      <c r="AW79" s="2829"/>
      <c r="AX79" s="2829"/>
      <c r="AY79" s="2829"/>
      <c r="AZ79" s="2786"/>
      <c r="BA79" s="2786"/>
      <c r="BB79" s="2829"/>
      <c r="BC79" s="2829"/>
      <c r="BD79" s="2829"/>
      <c r="BE79" s="2829"/>
      <c r="BF79" s="2829"/>
      <c r="BG79" s="2829"/>
      <c r="BH79" s="2829"/>
      <c r="BI79" s="2855"/>
      <c r="BJ79" s="2855"/>
      <c r="BK79" s="2852"/>
      <c r="BL79" s="2829"/>
      <c r="BM79" s="2829"/>
      <c r="BN79" s="2839"/>
      <c r="BO79" s="2839"/>
      <c r="BP79" s="2839"/>
      <c r="BQ79" s="2839"/>
      <c r="BR79" s="2842"/>
    </row>
    <row r="80" spans="1:70" ht="24" customHeight="1" x14ac:dyDescent="0.2">
      <c r="A80" s="730"/>
      <c r="D80" s="731"/>
      <c r="G80" s="731"/>
      <c r="J80" s="2842"/>
      <c r="K80" s="2790"/>
      <c r="L80" s="2790"/>
      <c r="M80" s="2848"/>
      <c r="N80" s="2811"/>
      <c r="O80" s="2709"/>
      <c r="P80" s="2709"/>
      <c r="Q80" s="2820"/>
      <c r="R80" s="2850"/>
      <c r="S80" s="2822"/>
      <c r="T80" s="2790"/>
      <c r="U80" s="2790"/>
      <c r="V80" s="2834" t="s">
        <v>643</v>
      </c>
      <c r="W80" s="827">
        <v>13600000</v>
      </c>
      <c r="X80" s="827">
        <f>3000000+10600000</f>
        <v>13600000</v>
      </c>
      <c r="Y80" s="827">
        <f>3000000+8480000</f>
        <v>11480000</v>
      </c>
      <c r="Z80" s="792">
        <v>20</v>
      </c>
      <c r="AA80" s="735" t="s">
        <v>617</v>
      </c>
      <c r="AB80" s="2825"/>
      <c r="AC80" s="2825"/>
      <c r="AD80" s="2829"/>
      <c r="AE80" s="2829"/>
      <c r="AF80" s="2832"/>
      <c r="AG80" s="2832"/>
      <c r="AH80" s="2837"/>
      <c r="AI80" s="2837"/>
      <c r="AJ80" s="2837"/>
      <c r="AK80" s="2837"/>
      <c r="AL80" s="2837"/>
      <c r="AM80" s="2837"/>
      <c r="AN80" s="2837"/>
      <c r="AO80" s="2837"/>
      <c r="AP80" s="2837"/>
      <c r="AQ80" s="2837"/>
      <c r="AR80" s="2829"/>
      <c r="AS80" s="2829"/>
      <c r="AT80" s="2829"/>
      <c r="AU80" s="2829"/>
      <c r="AV80" s="2829"/>
      <c r="AW80" s="2829"/>
      <c r="AX80" s="2829"/>
      <c r="AY80" s="2829"/>
      <c r="AZ80" s="2786"/>
      <c r="BA80" s="2786"/>
      <c r="BB80" s="2829"/>
      <c r="BC80" s="2829"/>
      <c r="BD80" s="2829"/>
      <c r="BE80" s="2829"/>
      <c r="BF80" s="2829"/>
      <c r="BG80" s="2829"/>
      <c r="BH80" s="2829"/>
      <c r="BI80" s="2855"/>
      <c r="BJ80" s="2855"/>
      <c r="BK80" s="2852"/>
      <c r="BL80" s="2829"/>
      <c r="BM80" s="2829"/>
      <c r="BN80" s="2839"/>
      <c r="BO80" s="2839"/>
      <c r="BP80" s="2839"/>
      <c r="BQ80" s="2839"/>
      <c r="BR80" s="2842"/>
    </row>
    <row r="81" spans="1:70" ht="35.25" customHeight="1" x14ac:dyDescent="0.2">
      <c r="A81" s="730"/>
      <c r="D81" s="731"/>
      <c r="G81" s="731"/>
      <c r="J81" s="2842"/>
      <c r="K81" s="2790"/>
      <c r="L81" s="2790"/>
      <c r="M81" s="2848"/>
      <c r="N81" s="2811"/>
      <c r="O81" s="2709"/>
      <c r="P81" s="2709"/>
      <c r="Q81" s="2820"/>
      <c r="R81" s="2850"/>
      <c r="S81" s="2822"/>
      <c r="T81" s="2791"/>
      <c r="U81" s="2791"/>
      <c r="V81" s="2836"/>
      <c r="W81" s="828">
        <f>0+10600000</f>
        <v>10600000</v>
      </c>
      <c r="X81" s="828">
        <v>8906667</v>
      </c>
      <c r="Y81" s="829"/>
      <c r="Z81" s="796">
        <v>88</v>
      </c>
      <c r="AA81" s="797" t="s">
        <v>622</v>
      </c>
      <c r="AB81" s="2827"/>
      <c r="AC81" s="2827"/>
      <c r="AD81" s="2830"/>
      <c r="AE81" s="2830"/>
      <c r="AF81" s="2833"/>
      <c r="AG81" s="2833"/>
      <c r="AH81" s="2837"/>
      <c r="AI81" s="2837"/>
      <c r="AJ81" s="2837"/>
      <c r="AK81" s="2837"/>
      <c r="AL81" s="2837"/>
      <c r="AM81" s="2837"/>
      <c r="AN81" s="2837"/>
      <c r="AO81" s="2837"/>
      <c r="AP81" s="2837"/>
      <c r="AQ81" s="2837"/>
      <c r="AR81" s="2830"/>
      <c r="AS81" s="2830"/>
      <c r="AT81" s="2830"/>
      <c r="AU81" s="2830"/>
      <c r="AV81" s="2830"/>
      <c r="AW81" s="2830"/>
      <c r="AX81" s="2830"/>
      <c r="AY81" s="2830"/>
      <c r="AZ81" s="2786"/>
      <c r="BA81" s="2786"/>
      <c r="BB81" s="2830"/>
      <c r="BC81" s="2830"/>
      <c r="BD81" s="2830"/>
      <c r="BE81" s="2830"/>
      <c r="BF81" s="2830"/>
      <c r="BG81" s="2830"/>
      <c r="BH81" s="2830"/>
      <c r="BI81" s="2856"/>
      <c r="BJ81" s="2856"/>
      <c r="BK81" s="2853"/>
      <c r="BL81" s="2830"/>
      <c r="BM81" s="2830"/>
      <c r="BN81" s="2840"/>
      <c r="BO81" s="2840"/>
      <c r="BP81" s="2840"/>
      <c r="BQ81" s="2840"/>
      <c r="BR81" s="2843"/>
    </row>
    <row r="82" spans="1:70" ht="51" customHeight="1" x14ac:dyDescent="0.2">
      <c r="A82" s="702"/>
      <c r="D82" s="703"/>
      <c r="E82" s="2867"/>
      <c r="F82" s="2867"/>
      <c r="G82" s="2868"/>
      <c r="H82" s="2867"/>
      <c r="I82" s="2867"/>
      <c r="J82" s="2861">
        <v>262</v>
      </c>
      <c r="K82" s="2863" t="s">
        <v>644</v>
      </c>
      <c r="L82" s="2863" t="s">
        <v>645</v>
      </c>
      <c r="M82" s="2857">
        <v>1</v>
      </c>
      <c r="N82" s="2706">
        <v>0.42</v>
      </c>
      <c r="O82" s="2859" t="s">
        <v>646</v>
      </c>
      <c r="P82" s="2861" t="s">
        <v>647</v>
      </c>
      <c r="Q82" s="2863" t="s">
        <v>648</v>
      </c>
      <c r="R82" s="2865">
        <v>1</v>
      </c>
      <c r="S82" s="2870">
        <f>SUM(W82:W91)</f>
        <v>82600000</v>
      </c>
      <c r="T82" s="2872" t="s">
        <v>649</v>
      </c>
      <c r="U82" s="2873" t="s">
        <v>650</v>
      </c>
      <c r="V82" s="2876" t="s">
        <v>651</v>
      </c>
      <c r="W82" s="830">
        <v>6000000</v>
      </c>
      <c r="X82" s="831">
        <v>6000000</v>
      </c>
      <c r="Y82" s="831">
        <v>6000000</v>
      </c>
      <c r="Z82" s="816" t="s">
        <v>356</v>
      </c>
      <c r="AA82" s="832" t="s">
        <v>652</v>
      </c>
      <c r="AB82" s="2811">
        <v>294321</v>
      </c>
      <c r="AC82" s="2811"/>
      <c r="AD82" s="2813">
        <v>283947</v>
      </c>
      <c r="AE82" s="2813"/>
      <c r="AF82" s="2811">
        <v>135754</v>
      </c>
      <c r="AG82" s="2811"/>
      <c r="AH82" s="2869">
        <v>44640</v>
      </c>
      <c r="AI82" s="2869"/>
      <c r="AJ82" s="2869">
        <v>308178</v>
      </c>
      <c r="AK82" s="2869"/>
      <c r="AL82" s="2869">
        <v>89696</v>
      </c>
      <c r="AM82" s="2869"/>
      <c r="AN82" s="2869">
        <v>2145</v>
      </c>
      <c r="AO82" s="2869"/>
      <c r="AP82" s="2869">
        <v>12718</v>
      </c>
      <c r="AQ82" s="2869"/>
      <c r="AR82" s="2811">
        <v>26</v>
      </c>
      <c r="AS82" s="2811"/>
      <c r="AT82" s="2878">
        <v>37</v>
      </c>
      <c r="AU82" s="2878"/>
      <c r="AV82" s="2811"/>
      <c r="AW82" s="2811"/>
      <c r="AX82" s="2811"/>
      <c r="AY82" s="2811"/>
      <c r="AZ82" s="2811">
        <v>54612</v>
      </c>
      <c r="BA82" s="2811"/>
      <c r="BB82" s="2811">
        <v>16982</v>
      </c>
      <c r="BC82" s="2811"/>
      <c r="BD82" s="2811">
        <v>1010</v>
      </c>
      <c r="BE82" s="2811"/>
      <c r="BF82" s="2811">
        <f>AB82+AD82</f>
        <v>578268</v>
      </c>
      <c r="BG82" s="2811"/>
      <c r="BH82" s="2811">
        <v>1</v>
      </c>
      <c r="BI82" s="2818">
        <f>SUM(X82:X91)</f>
        <v>17915000</v>
      </c>
      <c r="BJ82" s="2818">
        <f>SUM(Y82:Y91)</f>
        <v>17915000</v>
      </c>
      <c r="BK82" s="2719">
        <f>BI82/BJ82</f>
        <v>1</v>
      </c>
      <c r="BL82" s="2811" t="s">
        <v>653</v>
      </c>
      <c r="BM82" s="2806" t="s">
        <v>654</v>
      </c>
      <c r="BN82" s="2805">
        <v>43102</v>
      </c>
      <c r="BO82" s="2805">
        <v>43488</v>
      </c>
      <c r="BP82" s="2805">
        <v>43465</v>
      </c>
      <c r="BQ82" s="2805">
        <v>43830</v>
      </c>
      <c r="BR82" s="2806" t="s">
        <v>655</v>
      </c>
    </row>
    <row r="83" spans="1:70" ht="51" customHeight="1" x14ac:dyDescent="0.2">
      <c r="A83" s="702"/>
      <c r="D83" s="703"/>
      <c r="E83" s="2867"/>
      <c r="F83" s="2867"/>
      <c r="G83" s="2868"/>
      <c r="H83" s="2867"/>
      <c r="I83" s="2867"/>
      <c r="J83" s="2861"/>
      <c r="K83" s="2863"/>
      <c r="L83" s="2863"/>
      <c r="M83" s="2857"/>
      <c r="N83" s="2706"/>
      <c r="O83" s="2859"/>
      <c r="P83" s="2861"/>
      <c r="Q83" s="2863"/>
      <c r="R83" s="2865"/>
      <c r="S83" s="2870"/>
      <c r="T83" s="2872"/>
      <c r="U83" s="2874"/>
      <c r="V83" s="2877"/>
      <c r="W83" s="825">
        <f>0+4500000</f>
        <v>4500000</v>
      </c>
      <c r="X83" s="833"/>
      <c r="Y83" s="833"/>
      <c r="Z83" s="834">
        <v>88</v>
      </c>
      <c r="AA83" s="835" t="s">
        <v>656</v>
      </c>
      <c r="AB83" s="2811"/>
      <c r="AC83" s="2811"/>
      <c r="AD83" s="2813"/>
      <c r="AE83" s="2813"/>
      <c r="AF83" s="2811"/>
      <c r="AG83" s="2811"/>
      <c r="AH83" s="2869"/>
      <c r="AI83" s="2869"/>
      <c r="AJ83" s="2869"/>
      <c r="AK83" s="2869"/>
      <c r="AL83" s="2869"/>
      <c r="AM83" s="2869"/>
      <c r="AN83" s="2869"/>
      <c r="AO83" s="2869"/>
      <c r="AP83" s="2869"/>
      <c r="AQ83" s="2869"/>
      <c r="AR83" s="2811"/>
      <c r="AS83" s="2811"/>
      <c r="AT83" s="2878"/>
      <c r="AU83" s="2878"/>
      <c r="AV83" s="2811"/>
      <c r="AW83" s="2811"/>
      <c r="AX83" s="2811"/>
      <c r="AY83" s="2811"/>
      <c r="AZ83" s="2811"/>
      <c r="BA83" s="2811"/>
      <c r="BB83" s="2811"/>
      <c r="BC83" s="2811"/>
      <c r="BD83" s="2811"/>
      <c r="BE83" s="2811"/>
      <c r="BF83" s="2811"/>
      <c r="BG83" s="2811"/>
      <c r="BH83" s="2811"/>
      <c r="BI83" s="2818"/>
      <c r="BJ83" s="2818"/>
      <c r="BK83" s="2719"/>
      <c r="BL83" s="2811"/>
      <c r="BM83" s="2811"/>
      <c r="BN83" s="2805"/>
      <c r="BO83" s="2805"/>
      <c r="BP83" s="2805"/>
      <c r="BQ83" s="2805"/>
      <c r="BR83" s="2806"/>
    </row>
    <row r="84" spans="1:70" ht="39.75" customHeight="1" x14ac:dyDescent="0.2">
      <c r="A84" s="702"/>
      <c r="D84" s="703"/>
      <c r="E84" s="2867"/>
      <c r="F84" s="2867"/>
      <c r="G84" s="2868"/>
      <c r="H84" s="2867"/>
      <c r="I84" s="2867"/>
      <c r="J84" s="2861"/>
      <c r="K84" s="2863"/>
      <c r="L84" s="2863"/>
      <c r="M84" s="2857"/>
      <c r="N84" s="2706"/>
      <c r="O84" s="2859"/>
      <c r="P84" s="2861"/>
      <c r="Q84" s="2863"/>
      <c r="R84" s="2865"/>
      <c r="S84" s="2870"/>
      <c r="T84" s="2872"/>
      <c r="U84" s="2874"/>
      <c r="V84" s="2882" t="s">
        <v>657</v>
      </c>
      <c r="W84" s="825">
        <v>3600000</v>
      </c>
      <c r="X84" s="833">
        <v>3600000</v>
      </c>
      <c r="Y84" s="833">
        <v>3600000</v>
      </c>
      <c r="Z84" s="834" t="s">
        <v>356</v>
      </c>
      <c r="AA84" s="836" t="s">
        <v>652</v>
      </c>
      <c r="AB84" s="2811"/>
      <c r="AC84" s="2811"/>
      <c r="AD84" s="2813"/>
      <c r="AE84" s="2813"/>
      <c r="AF84" s="2811"/>
      <c r="AG84" s="2811"/>
      <c r="AH84" s="2869"/>
      <c r="AI84" s="2869"/>
      <c r="AJ84" s="2869"/>
      <c r="AK84" s="2869"/>
      <c r="AL84" s="2869"/>
      <c r="AM84" s="2869"/>
      <c r="AN84" s="2869"/>
      <c r="AO84" s="2869"/>
      <c r="AP84" s="2869"/>
      <c r="AQ84" s="2869"/>
      <c r="AR84" s="2811"/>
      <c r="AS84" s="2811"/>
      <c r="AT84" s="2878"/>
      <c r="AU84" s="2878"/>
      <c r="AV84" s="2811"/>
      <c r="AW84" s="2811"/>
      <c r="AX84" s="2811"/>
      <c r="AY84" s="2811"/>
      <c r="AZ84" s="2811"/>
      <c r="BA84" s="2811"/>
      <c r="BB84" s="2811"/>
      <c r="BC84" s="2811"/>
      <c r="BD84" s="2811"/>
      <c r="BE84" s="2811"/>
      <c r="BF84" s="2811"/>
      <c r="BG84" s="2811"/>
      <c r="BH84" s="2811"/>
      <c r="BI84" s="2818"/>
      <c r="BJ84" s="2818"/>
      <c r="BK84" s="2719"/>
      <c r="BL84" s="2811"/>
      <c r="BM84" s="2811"/>
      <c r="BN84" s="2805"/>
      <c r="BO84" s="2805"/>
      <c r="BP84" s="2805"/>
      <c r="BQ84" s="2805"/>
      <c r="BR84" s="2806"/>
    </row>
    <row r="85" spans="1:70" ht="36" customHeight="1" x14ac:dyDescent="0.2">
      <c r="A85" s="702"/>
      <c r="D85" s="703"/>
      <c r="E85" s="2867"/>
      <c r="F85" s="2867"/>
      <c r="G85" s="2868"/>
      <c r="H85" s="2867"/>
      <c r="I85" s="2867"/>
      <c r="J85" s="2861"/>
      <c r="K85" s="2863"/>
      <c r="L85" s="2863"/>
      <c r="M85" s="2857"/>
      <c r="N85" s="2706"/>
      <c r="O85" s="2859"/>
      <c r="P85" s="2861"/>
      <c r="Q85" s="2863"/>
      <c r="R85" s="2865"/>
      <c r="S85" s="2870"/>
      <c r="T85" s="2872"/>
      <c r="U85" s="2874"/>
      <c r="V85" s="2883"/>
      <c r="W85" s="825">
        <f>0+9300000</f>
        <v>9300000</v>
      </c>
      <c r="X85" s="833"/>
      <c r="Y85" s="833"/>
      <c r="Z85" s="834">
        <v>88</v>
      </c>
      <c r="AA85" s="835" t="s">
        <v>658</v>
      </c>
      <c r="AB85" s="2811"/>
      <c r="AC85" s="2811"/>
      <c r="AD85" s="2813"/>
      <c r="AE85" s="2813"/>
      <c r="AF85" s="2811"/>
      <c r="AG85" s="2811"/>
      <c r="AH85" s="2869"/>
      <c r="AI85" s="2869"/>
      <c r="AJ85" s="2869"/>
      <c r="AK85" s="2869"/>
      <c r="AL85" s="2869"/>
      <c r="AM85" s="2869"/>
      <c r="AN85" s="2869"/>
      <c r="AO85" s="2869"/>
      <c r="AP85" s="2869"/>
      <c r="AQ85" s="2869"/>
      <c r="AR85" s="2811"/>
      <c r="AS85" s="2811"/>
      <c r="AT85" s="2878"/>
      <c r="AU85" s="2878"/>
      <c r="AV85" s="2811"/>
      <c r="AW85" s="2811"/>
      <c r="AX85" s="2811"/>
      <c r="AY85" s="2811"/>
      <c r="AZ85" s="2811"/>
      <c r="BA85" s="2811"/>
      <c r="BB85" s="2811"/>
      <c r="BC85" s="2811"/>
      <c r="BD85" s="2811"/>
      <c r="BE85" s="2811"/>
      <c r="BF85" s="2811"/>
      <c r="BG85" s="2811"/>
      <c r="BH85" s="2811"/>
      <c r="BI85" s="2818"/>
      <c r="BJ85" s="2818"/>
      <c r="BK85" s="2719"/>
      <c r="BL85" s="2811"/>
      <c r="BM85" s="2811"/>
      <c r="BN85" s="2805"/>
      <c r="BO85" s="2805"/>
      <c r="BP85" s="2805"/>
      <c r="BQ85" s="2805"/>
      <c r="BR85" s="2806"/>
    </row>
    <row r="86" spans="1:70" ht="42.75" customHeight="1" x14ac:dyDescent="0.2">
      <c r="A86" s="702"/>
      <c r="D86" s="703"/>
      <c r="E86" s="2867"/>
      <c r="F86" s="2867"/>
      <c r="G86" s="2868"/>
      <c r="H86" s="2867"/>
      <c r="I86" s="2867"/>
      <c r="J86" s="2861"/>
      <c r="K86" s="2863"/>
      <c r="L86" s="2863"/>
      <c r="M86" s="2857"/>
      <c r="N86" s="2706"/>
      <c r="O86" s="2859"/>
      <c r="P86" s="2861"/>
      <c r="Q86" s="2863"/>
      <c r="R86" s="2865"/>
      <c r="S86" s="2870"/>
      <c r="T86" s="2872"/>
      <c r="U86" s="2874"/>
      <c r="V86" s="2876" t="s">
        <v>659</v>
      </c>
      <c r="W86" s="825">
        <f>960000+2000000</f>
        <v>2960000</v>
      </c>
      <c r="X86" s="833">
        <v>960000</v>
      </c>
      <c r="Y86" s="833">
        <v>960000</v>
      </c>
      <c r="Z86" s="834">
        <v>20</v>
      </c>
      <c r="AA86" s="836" t="s">
        <v>652</v>
      </c>
      <c r="AB86" s="2811"/>
      <c r="AC86" s="2811"/>
      <c r="AD86" s="2813"/>
      <c r="AE86" s="2813"/>
      <c r="AF86" s="2811"/>
      <c r="AG86" s="2811"/>
      <c r="AH86" s="2811"/>
      <c r="AI86" s="2811"/>
      <c r="AJ86" s="2811"/>
      <c r="AK86" s="2811"/>
      <c r="AL86" s="2811"/>
      <c r="AM86" s="2811"/>
      <c r="AN86" s="2811"/>
      <c r="AO86" s="2811"/>
      <c r="AP86" s="2811"/>
      <c r="AQ86" s="2811"/>
      <c r="AR86" s="2811"/>
      <c r="AS86" s="2811"/>
      <c r="AT86" s="2878"/>
      <c r="AU86" s="2878"/>
      <c r="AV86" s="2811"/>
      <c r="AW86" s="2811"/>
      <c r="AX86" s="2811"/>
      <c r="AY86" s="2811"/>
      <c r="AZ86" s="2811"/>
      <c r="BA86" s="2811"/>
      <c r="BB86" s="2811"/>
      <c r="BC86" s="2811"/>
      <c r="BD86" s="2811"/>
      <c r="BE86" s="2811"/>
      <c r="BF86" s="2811"/>
      <c r="BG86" s="2811"/>
      <c r="BH86" s="2811"/>
      <c r="BI86" s="2818"/>
      <c r="BJ86" s="2818"/>
      <c r="BK86" s="2719"/>
      <c r="BL86" s="2811"/>
      <c r="BM86" s="2811"/>
      <c r="BN86" s="2805"/>
      <c r="BO86" s="2805"/>
      <c r="BP86" s="2805"/>
      <c r="BQ86" s="2805"/>
      <c r="BR86" s="2806"/>
    </row>
    <row r="87" spans="1:70" ht="52.5" customHeight="1" x14ac:dyDescent="0.2">
      <c r="A87" s="702"/>
      <c r="D87" s="703"/>
      <c r="E87" s="2867"/>
      <c r="F87" s="2867"/>
      <c r="G87" s="2868"/>
      <c r="H87" s="2867"/>
      <c r="I87" s="2867"/>
      <c r="J87" s="2861"/>
      <c r="K87" s="2863"/>
      <c r="L87" s="2863"/>
      <c r="M87" s="2857"/>
      <c r="N87" s="2706"/>
      <c r="O87" s="2859"/>
      <c r="P87" s="2861"/>
      <c r="Q87" s="2863"/>
      <c r="R87" s="2865"/>
      <c r="S87" s="2870"/>
      <c r="T87" s="2872"/>
      <c r="U87" s="2875"/>
      <c r="V87" s="2884"/>
      <c r="W87" s="833">
        <f>0+3888666.63</f>
        <v>3888666.63</v>
      </c>
      <c r="X87" s="833"/>
      <c r="Y87" s="833"/>
      <c r="Z87" s="834">
        <v>88</v>
      </c>
      <c r="AA87" s="837" t="s">
        <v>656</v>
      </c>
      <c r="AB87" s="2811"/>
      <c r="AC87" s="2811"/>
      <c r="AD87" s="2813"/>
      <c r="AE87" s="2813"/>
      <c r="AF87" s="2811"/>
      <c r="AG87" s="2811"/>
      <c r="AH87" s="2811"/>
      <c r="AI87" s="2811"/>
      <c r="AJ87" s="2811"/>
      <c r="AK87" s="2811"/>
      <c r="AL87" s="2811"/>
      <c r="AM87" s="2811"/>
      <c r="AN87" s="2811"/>
      <c r="AO87" s="2811"/>
      <c r="AP87" s="2811"/>
      <c r="AQ87" s="2811"/>
      <c r="AR87" s="2811"/>
      <c r="AS87" s="2811"/>
      <c r="AT87" s="2878"/>
      <c r="AU87" s="2878"/>
      <c r="AV87" s="2811"/>
      <c r="AW87" s="2811"/>
      <c r="AX87" s="2811"/>
      <c r="AY87" s="2811"/>
      <c r="AZ87" s="2811"/>
      <c r="BA87" s="2811"/>
      <c r="BB87" s="2811"/>
      <c r="BC87" s="2811"/>
      <c r="BD87" s="2811"/>
      <c r="BE87" s="2811"/>
      <c r="BF87" s="2811"/>
      <c r="BG87" s="2811"/>
      <c r="BH87" s="2811"/>
      <c r="BI87" s="2818"/>
      <c r="BJ87" s="2818"/>
      <c r="BK87" s="2719"/>
      <c r="BL87" s="2811"/>
      <c r="BM87" s="2811"/>
      <c r="BN87" s="2805"/>
      <c r="BO87" s="2805"/>
      <c r="BP87" s="2805"/>
      <c r="BQ87" s="2805"/>
      <c r="BR87" s="2806"/>
    </row>
    <row r="88" spans="1:70" ht="63" customHeight="1" x14ac:dyDescent="0.2">
      <c r="A88" s="702"/>
      <c r="D88" s="703"/>
      <c r="E88" s="2867"/>
      <c r="F88" s="2867"/>
      <c r="G88" s="2868"/>
      <c r="H88" s="2867"/>
      <c r="I88" s="2867"/>
      <c r="J88" s="2861"/>
      <c r="K88" s="2863"/>
      <c r="L88" s="2863"/>
      <c r="M88" s="2857"/>
      <c r="N88" s="2706"/>
      <c r="O88" s="2859"/>
      <c r="P88" s="2861"/>
      <c r="Q88" s="2863"/>
      <c r="R88" s="2865"/>
      <c r="S88" s="2870"/>
      <c r="T88" s="2872"/>
      <c r="U88" s="2880" t="s">
        <v>660</v>
      </c>
      <c r="V88" s="2885" t="s">
        <v>661</v>
      </c>
      <c r="W88" s="795">
        <f>19440000+10350000</f>
        <v>29790000</v>
      </c>
      <c r="X88" s="795">
        <v>7355000</v>
      </c>
      <c r="Y88" s="795">
        <v>7355000</v>
      </c>
      <c r="Z88" s="838" t="s">
        <v>356</v>
      </c>
      <c r="AA88" s="839" t="s">
        <v>652</v>
      </c>
      <c r="AB88" s="2878"/>
      <c r="AC88" s="2878"/>
      <c r="AD88" s="2813"/>
      <c r="AE88" s="2813"/>
      <c r="AF88" s="2811"/>
      <c r="AG88" s="2811"/>
      <c r="AH88" s="2811"/>
      <c r="AI88" s="2811"/>
      <c r="AJ88" s="2811"/>
      <c r="AK88" s="2811"/>
      <c r="AL88" s="2811"/>
      <c r="AM88" s="2811"/>
      <c r="AN88" s="2811"/>
      <c r="AO88" s="2811"/>
      <c r="AP88" s="2811"/>
      <c r="AQ88" s="2811"/>
      <c r="AR88" s="2811"/>
      <c r="AS88" s="2811"/>
      <c r="AT88" s="2878"/>
      <c r="AU88" s="2878"/>
      <c r="AV88" s="2811"/>
      <c r="AW88" s="2811"/>
      <c r="AX88" s="2811"/>
      <c r="AY88" s="2811"/>
      <c r="AZ88" s="2811"/>
      <c r="BA88" s="2811"/>
      <c r="BB88" s="2811"/>
      <c r="BC88" s="2811"/>
      <c r="BD88" s="2811"/>
      <c r="BE88" s="2811"/>
      <c r="BF88" s="2811"/>
      <c r="BG88" s="2811"/>
      <c r="BH88" s="2811"/>
      <c r="BI88" s="2818"/>
      <c r="BJ88" s="2818"/>
      <c r="BK88" s="2719"/>
      <c r="BL88" s="2811"/>
      <c r="BM88" s="2811"/>
      <c r="BN88" s="2805"/>
      <c r="BO88" s="2805"/>
      <c r="BP88" s="2805"/>
      <c r="BQ88" s="2805"/>
      <c r="BR88" s="2806"/>
    </row>
    <row r="89" spans="1:70" ht="63" customHeight="1" x14ac:dyDescent="0.2">
      <c r="A89" s="702"/>
      <c r="D89" s="703"/>
      <c r="E89" s="2867"/>
      <c r="F89" s="2867"/>
      <c r="G89" s="2868"/>
      <c r="H89" s="2867"/>
      <c r="I89" s="2867"/>
      <c r="J89" s="2861"/>
      <c r="K89" s="2863"/>
      <c r="L89" s="2863"/>
      <c r="M89" s="2857"/>
      <c r="N89" s="2706"/>
      <c r="O89" s="2859"/>
      <c r="P89" s="2861"/>
      <c r="Q89" s="2863"/>
      <c r="R89" s="2865"/>
      <c r="S89" s="2870"/>
      <c r="T89" s="2872"/>
      <c r="U89" s="2881"/>
      <c r="V89" s="2885"/>
      <c r="W89" s="795">
        <v>15395000</v>
      </c>
      <c r="X89" s="795"/>
      <c r="Y89" s="795"/>
      <c r="Z89" s="840">
        <v>88</v>
      </c>
      <c r="AA89" s="835" t="s">
        <v>658</v>
      </c>
      <c r="AB89" s="2878"/>
      <c r="AC89" s="2878"/>
      <c r="AD89" s="2813"/>
      <c r="AE89" s="2813"/>
      <c r="AF89" s="2811"/>
      <c r="AG89" s="2811"/>
      <c r="AH89" s="2811"/>
      <c r="AI89" s="2811"/>
      <c r="AJ89" s="2811"/>
      <c r="AK89" s="2811"/>
      <c r="AL89" s="2811"/>
      <c r="AM89" s="2811"/>
      <c r="AN89" s="2811"/>
      <c r="AO89" s="2811"/>
      <c r="AP89" s="2811"/>
      <c r="AQ89" s="2811"/>
      <c r="AR89" s="2811"/>
      <c r="AS89" s="2811"/>
      <c r="AT89" s="2878"/>
      <c r="AU89" s="2878"/>
      <c r="AV89" s="2811"/>
      <c r="AW89" s="2811"/>
      <c r="AX89" s="2811"/>
      <c r="AY89" s="2811"/>
      <c r="AZ89" s="2811"/>
      <c r="BA89" s="2811"/>
      <c r="BB89" s="2811"/>
      <c r="BC89" s="2811"/>
      <c r="BD89" s="2811"/>
      <c r="BE89" s="2811"/>
      <c r="BF89" s="2811"/>
      <c r="BG89" s="2811"/>
      <c r="BH89" s="2811"/>
      <c r="BI89" s="2818"/>
      <c r="BJ89" s="2818"/>
      <c r="BK89" s="2719"/>
      <c r="BL89" s="2811"/>
      <c r="BM89" s="2811"/>
      <c r="BN89" s="2805"/>
      <c r="BO89" s="2805"/>
      <c r="BP89" s="2805"/>
      <c r="BQ89" s="2805"/>
      <c r="BR89" s="2806"/>
    </row>
    <row r="90" spans="1:70" ht="45" customHeight="1" x14ac:dyDescent="0.2">
      <c r="A90" s="702"/>
      <c r="D90" s="703"/>
      <c r="E90" s="2867"/>
      <c r="F90" s="2867"/>
      <c r="G90" s="2868"/>
      <c r="H90" s="2867"/>
      <c r="I90" s="2867"/>
      <c r="J90" s="2861"/>
      <c r="K90" s="2863"/>
      <c r="L90" s="2863"/>
      <c r="M90" s="2857"/>
      <c r="N90" s="2706"/>
      <c r="O90" s="2859"/>
      <c r="P90" s="2861"/>
      <c r="Q90" s="2863"/>
      <c r="R90" s="2865"/>
      <c r="S90" s="2870"/>
      <c r="T90" s="2872"/>
      <c r="U90" s="2881"/>
      <c r="V90" s="841" t="s">
        <v>662</v>
      </c>
      <c r="W90" s="795">
        <f>0+7296333.33-5145000</f>
        <v>2151333.33</v>
      </c>
      <c r="X90" s="795"/>
      <c r="Y90" s="795"/>
      <c r="Z90" s="838">
        <v>88</v>
      </c>
      <c r="AA90" s="837" t="s">
        <v>658</v>
      </c>
      <c r="AB90" s="2878"/>
      <c r="AC90" s="2878"/>
      <c r="AD90" s="2813"/>
      <c r="AE90" s="2813"/>
      <c r="AF90" s="2811"/>
      <c r="AG90" s="2811"/>
      <c r="AH90" s="2811"/>
      <c r="AI90" s="2811"/>
      <c r="AJ90" s="2811"/>
      <c r="AK90" s="2811"/>
      <c r="AL90" s="2811"/>
      <c r="AM90" s="2811"/>
      <c r="AN90" s="2811"/>
      <c r="AO90" s="2811"/>
      <c r="AP90" s="2811"/>
      <c r="AQ90" s="2811"/>
      <c r="AR90" s="2811"/>
      <c r="AS90" s="2811"/>
      <c r="AT90" s="2878"/>
      <c r="AU90" s="2878"/>
      <c r="AV90" s="2811"/>
      <c r="AW90" s="2811"/>
      <c r="AX90" s="2811"/>
      <c r="AY90" s="2811"/>
      <c r="AZ90" s="2811"/>
      <c r="BA90" s="2811"/>
      <c r="BB90" s="2811"/>
      <c r="BC90" s="2811"/>
      <c r="BD90" s="2811"/>
      <c r="BE90" s="2811"/>
      <c r="BF90" s="2811"/>
      <c r="BG90" s="2811"/>
      <c r="BH90" s="2811"/>
      <c r="BI90" s="2818"/>
      <c r="BJ90" s="2818"/>
      <c r="BK90" s="2719"/>
      <c r="BL90" s="2811"/>
      <c r="BM90" s="2811"/>
      <c r="BN90" s="2805"/>
      <c r="BO90" s="2805"/>
      <c r="BP90" s="2805"/>
      <c r="BQ90" s="2805"/>
      <c r="BR90" s="2806"/>
    </row>
    <row r="91" spans="1:70" ht="45" customHeight="1" x14ac:dyDescent="0.2">
      <c r="A91" s="702"/>
      <c r="D91" s="703"/>
      <c r="E91" s="2867"/>
      <c r="F91" s="2867"/>
      <c r="G91" s="2868"/>
      <c r="H91" s="2867"/>
      <c r="I91" s="2867"/>
      <c r="J91" s="2862"/>
      <c r="K91" s="2864"/>
      <c r="L91" s="2864"/>
      <c r="M91" s="2858"/>
      <c r="N91" s="2708"/>
      <c r="O91" s="2860"/>
      <c r="P91" s="2862"/>
      <c r="Q91" s="2864"/>
      <c r="R91" s="2866"/>
      <c r="S91" s="2871"/>
      <c r="T91" s="2819"/>
      <c r="U91" s="2881"/>
      <c r="V91" s="842" t="s">
        <v>663</v>
      </c>
      <c r="W91" s="843">
        <f>0+5015000.04</f>
        <v>5015000.04</v>
      </c>
      <c r="X91" s="843"/>
      <c r="Y91" s="843"/>
      <c r="Z91" s="844">
        <v>88</v>
      </c>
      <c r="AA91" s="837" t="s">
        <v>658</v>
      </c>
      <c r="AB91" s="2879"/>
      <c r="AC91" s="2879"/>
      <c r="AD91" s="2890"/>
      <c r="AE91" s="2890"/>
      <c r="AF91" s="2847"/>
      <c r="AG91" s="2847"/>
      <c r="AH91" s="2847"/>
      <c r="AI91" s="2847"/>
      <c r="AJ91" s="2847"/>
      <c r="AK91" s="2847"/>
      <c r="AL91" s="2847"/>
      <c r="AM91" s="2847"/>
      <c r="AN91" s="2847"/>
      <c r="AO91" s="2847"/>
      <c r="AP91" s="2847"/>
      <c r="AQ91" s="2847"/>
      <c r="AR91" s="2847"/>
      <c r="AS91" s="2847"/>
      <c r="AT91" s="2879"/>
      <c r="AU91" s="2879"/>
      <c r="AV91" s="2847"/>
      <c r="AW91" s="2847"/>
      <c r="AX91" s="2847"/>
      <c r="AY91" s="2847"/>
      <c r="AZ91" s="2847"/>
      <c r="BA91" s="2847"/>
      <c r="BB91" s="2847"/>
      <c r="BC91" s="2847"/>
      <c r="BD91" s="2847"/>
      <c r="BE91" s="2847"/>
      <c r="BF91" s="2847"/>
      <c r="BG91" s="2847"/>
      <c r="BH91" s="2847"/>
      <c r="BI91" s="2886"/>
      <c r="BJ91" s="2886"/>
      <c r="BK91" s="2887"/>
      <c r="BL91" s="2847"/>
      <c r="BM91" s="2847"/>
      <c r="BN91" s="2838"/>
      <c r="BO91" s="2838"/>
      <c r="BP91" s="2838"/>
      <c r="BQ91" s="2838"/>
      <c r="BR91" s="2841"/>
    </row>
    <row r="92" spans="1:70" s="851" customFormat="1" ht="43.5" customHeight="1" x14ac:dyDescent="0.2">
      <c r="A92" s="845"/>
      <c r="B92" s="846"/>
      <c r="C92" s="846"/>
      <c r="D92" s="563"/>
      <c r="E92" s="563"/>
      <c r="F92" s="737"/>
      <c r="G92" s="704"/>
      <c r="H92" s="847"/>
      <c r="I92" s="847"/>
      <c r="J92" s="2888">
        <v>264</v>
      </c>
      <c r="K92" s="2707" t="s">
        <v>664</v>
      </c>
      <c r="L92" s="2707" t="s">
        <v>665</v>
      </c>
      <c r="M92" s="2706">
        <v>1</v>
      </c>
      <c r="N92" s="2706">
        <v>0.5</v>
      </c>
      <c r="O92" s="2889" t="s">
        <v>666</v>
      </c>
      <c r="P92" s="2706" t="s">
        <v>667</v>
      </c>
      <c r="Q92" s="2707" t="s">
        <v>668</v>
      </c>
      <c r="R92" s="2893">
        <v>1</v>
      </c>
      <c r="S92" s="2785">
        <f>SUM(W92:W96)</f>
        <v>37650000</v>
      </c>
      <c r="T92" s="2707" t="s">
        <v>669</v>
      </c>
      <c r="U92" s="2707" t="s">
        <v>670</v>
      </c>
      <c r="V92" s="2891" t="s">
        <v>671</v>
      </c>
      <c r="W92" s="848">
        <v>10000000</v>
      </c>
      <c r="X92" s="848"/>
      <c r="Y92" s="848"/>
      <c r="Z92" s="849">
        <v>20</v>
      </c>
      <c r="AA92" s="850" t="s">
        <v>617</v>
      </c>
      <c r="AB92" s="2811">
        <v>294321</v>
      </c>
      <c r="AC92" s="2811"/>
      <c r="AD92" s="2892">
        <v>283947</v>
      </c>
      <c r="AE92" s="2892"/>
      <c r="AF92" s="2811">
        <v>135754</v>
      </c>
      <c r="AG92" s="2811"/>
      <c r="AH92" s="2811">
        <v>44640</v>
      </c>
      <c r="AI92" s="2811"/>
      <c r="AJ92" s="2811">
        <v>308178</v>
      </c>
      <c r="AK92" s="2811"/>
      <c r="AL92" s="2811">
        <v>89696</v>
      </c>
      <c r="AM92" s="2811"/>
      <c r="AN92" s="2811">
        <v>2145</v>
      </c>
      <c r="AO92" s="2811"/>
      <c r="AP92" s="2811">
        <v>12718</v>
      </c>
      <c r="AQ92" s="2811"/>
      <c r="AR92" s="2811">
        <v>26</v>
      </c>
      <c r="AS92" s="2811"/>
      <c r="AT92" s="2811">
        <v>37</v>
      </c>
      <c r="AU92" s="2811"/>
      <c r="AV92" s="2811"/>
      <c r="AW92" s="2811"/>
      <c r="AX92" s="2811"/>
      <c r="AY92" s="2811"/>
      <c r="AZ92" s="2811">
        <v>54612</v>
      </c>
      <c r="BA92" s="2811"/>
      <c r="BB92" s="2811">
        <v>16982</v>
      </c>
      <c r="BC92" s="2811"/>
      <c r="BD92" s="2811">
        <v>1010</v>
      </c>
      <c r="BE92" s="2811"/>
      <c r="BF92" s="2811">
        <f>+AB92+AD92</f>
        <v>578268</v>
      </c>
      <c r="BG92" s="2811"/>
      <c r="BH92" s="2811"/>
      <c r="BI92" s="2811"/>
      <c r="BJ92" s="2811"/>
      <c r="BK92" s="2811"/>
      <c r="BL92" s="2811"/>
      <c r="BM92" s="2811"/>
      <c r="BN92" s="2805">
        <v>43102</v>
      </c>
      <c r="BO92" s="2805"/>
      <c r="BP92" s="2805">
        <v>43465</v>
      </c>
      <c r="BQ92" s="2805"/>
      <c r="BR92" s="2806" t="s">
        <v>534</v>
      </c>
    </row>
    <row r="93" spans="1:70" s="851" customFormat="1" ht="36.75" customHeight="1" x14ac:dyDescent="0.2">
      <c r="A93" s="845"/>
      <c r="B93" s="846"/>
      <c r="C93" s="846"/>
      <c r="D93" s="563"/>
      <c r="E93" s="563"/>
      <c r="F93" s="737"/>
      <c r="G93" s="704"/>
      <c r="H93" s="847"/>
      <c r="I93" s="847"/>
      <c r="J93" s="2888"/>
      <c r="K93" s="2707"/>
      <c r="L93" s="2707"/>
      <c r="M93" s="2706"/>
      <c r="N93" s="2706"/>
      <c r="O93" s="2889"/>
      <c r="P93" s="2706"/>
      <c r="Q93" s="2707"/>
      <c r="R93" s="2893"/>
      <c r="S93" s="2785"/>
      <c r="T93" s="2707"/>
      <c r="U93" s="2707"/>
      <c r="V93" s="2891"/>
      <c r="W93" s="852">
        <f>0+15000000-15000000</f>
        <v>0</v>
      </c>
      <c r="X93" s="852"/>
      <c r="Y93" s="852"/>
      <c r="Z93" s="849">
        <v>88</v>
      </c>
      <c r="AA93" s="850" t="s">
        <v>75</v>
      </c>
      <c r="AB93" s="2811"/>
      <c r="AC93" s="2811"/>
      <c r="AD93" s="2892"/>
      <c r="AE93" s="2892"/>
      <c r="AF93" s="2811"/>
      <c r="AG93" s="2811"/>
      <c r="AH93" s="2811"/>
      <c r="AI93" s="2811"/>
      <c r="AJ93" s="2811"/>
      <c r="AK93" s="2811"/>
      <c r="AL93" s="2811"/>
      <c r="AM93" s="2811"/>
      <c r="AN93" s="2811"/>
      <c r="AO93" s="2811"/>
      <c r="AP93" s="2811"/>
      <c r="AQ93" s="2811"/>
      <c r="AR93" s="2811"/>
      <c r="AS93" s="2811"/>
      <c r="AT93" s="2811"/>
      <c r="AU93" s="2811"/>
      <c r="AV93" s="2811"/>
      <c r="AW93" s="2811"/>
      <c r="AX93" s="2811"/>
      <c r="AY93" s="2811"/>
      <c r="AZ93" s="2811"/>
      <c r="BA93" s="2811"/>
      <c r="BB93" s="2811"/>
      <c r="BC93" s="2811"/>
      <c r="BD93" s="2811"/>
      <c r="BE93" s="2811"/>
      <c r="BF93" s="2811"/>
      <c r="BG93" s="2811"/>
      <c r="BH93" s="2811"/>
      <c r="BI93" s="2811"/>
      <c r="BJ93" s="2811"/>
      <c r="BK93" s="2811"/>
      <c r="BL93" s="2811"/>
      <c r="BM93" s="2811"/>
      <c r="BN93" s="2805"/>
      <c r="BO93" s="2805"/>
      <c r="BP93" s="2805"/>
      <c r="BQ93" s="2805"/>
      <c r="BR93" s="2806"/>
    </row>
    <row r="94" spans="1:70" s="851" customFormat="1" ht="37.5" customHeight="1" x14ac:dyDescent="0.2">
      <c r="A94" s="845"/>
      <c r="B94" s="846"/>
      <c r="C94" s="846"/>
      <c r="D94" s="563"/>
      <c r="E94" s="563"/>
      <c r="F94" s="737"/>
      <c r="G94" s="704"/>
      <c r="H94" s="847"/>
      <c r="I94" s="847"/>
      <c r="J94" s="2888"/>
      <c r="K94" s="2707"/>
      <c r="L94" s="2707"/>
      <c r="M94" s="2706"/>
      <c r="N94" s="2706"/>
      <c r="O94" s="2889"/>
      <c r="P94" s="2706"/>
      <c r="Q94" s="2707"/>
      <c r="R94" s="2893"/>
      <c r="S94" s="2785"/>
      <c r="T94" s="2707"/>
      <c r="U94" s="2707"/>
      <c r="V94" s="2896" t="s">
        <v>672</v>
      </c>
      <c r="W94" s="852">
        <v>10000000</v>
      </c>
      <c r="X94" s="852"/>
      <c r="Y94" s="852"/>
      <c r="Z94" s="849">
        <v>20</v>
      </c>
      <c r="AA94" s="850" t="s">
        <v>617</v>
      </c>
      <c r="AB94" s="2811"/>
      <c r="AC94" s="2811"/>
      <c r="AD94" s="2892"/>
      <c r="AE94" s="2892"/>
      <c r="AF94" s="2811"/>
      <c r="AG94" s="2811"/>
      <c r="AH94" s="2811"/>
      <c r="AI94" s="2811"/>
      <c r="AJ94" s="2811"/>
      <c r="AK94" s="2811"/>
      <c r="AL94" s="2811"/>
      <c r="AM94" s="2811"/>
      <c r="AN94" s="2811"/>
      <c r="AO94" s="2811"/>
      <c r="AP94" s="2811"/>
      <c r="AQ94" s="2811"/>
      <c r="AR94" s="2811"/>
      <c r="AS94" s="2811"/>
      <c r="AT94" s="2811"/>
      <c r="AU94" s="2811"/>
      <c r="AV94" s="2811"/>
      <c r="AW94" s="2811"/>
      <c r="AX94" s="2811"/>
      <c r="AY94" s="2811"/>
      <c r="AZ94" s="2811"/>
      <c r="BA94" s="2811"/>
      <c r="BB94" s="2811"/>
      <c r="BC94" s="2811"/>
      <c r="BD94" s="2811"/>
      <c r="BE94" s="2811"/>
      <c r="BF94" s="2811"/>
      <c r="BG94" s="2811"/>
      <c r="BH94" s="2811"/>
      <c r="BI94" s="2811"/>
      <c r="BJ94" s="2811"/>
      <c r="BK94" s="2811"/>
      <c r="BL94" s="2811"/>
      <c r="BM94" s="2811"/>
      <c r="BN94" s="2805"/>
      <c r="BO94" s="2805"/>
      <c r="BP94" s="2805"/>
      <c r="BQ94" s="2805"/>
      <c r="BR94" s="2806"/>
    </row>
    <row r="95" spans="1:70" s="851" customFormat="1" ht="37.5" customHeight="1" x14ac:dyDescent="0.2">
      <c r="A95" s="845"/>
      <c r="B95" s="846"/>
      <c r="C95" s="846"/>
      <c r="D95" s="563"/>
      <c r="E95" s="563"/>
      <c r="F95" s="737"/>
      <c r="G95" s="704"/>
      <c r="H95" s="847"/>
      <c r="I95" s="847"/>
      <c r="J95" s="2888"/>
      <c r="K95" s="2707"/>
      <c r="L95" s="2707"/>
      <c r="M95" s="2706"/>
      <c r="N95" s="2706"/>
      <c r="O95" s="2889"/>
      <c r="P95" s="2706"/>
      <c r="Q95" s="2707"/>
      <c r="R95" s="2893"/>
      <c r="S95" s="2785"/>
      <c r="T95" s="2707"/>
      <c r="U95" s="2707"/>
      <c r="V95" s="2896"/>
      <c r="W95" s="852">
        <f>0+15000000-15000000</f>
        <v>0</v>
      </c>
      <c r="X95" s="852"/>
      <c r="Y95" s="852"/>
      <c r="Z95" s="849">
        <v>88</v>
      </c>
      <c r="AA95" s="850" t="s">
        <v>75</v>
      </c>
      <c r="AB95" s="2811"/>
      <c r="AC95" s="2811"/>
      <c r="AD95" s="2892"/>
      <c r="AE95" s="2892"/>
      <c r="AF95" s="2811"/>
      <c r="AG95" s="2811"/>
      <c r="AH95" s="2811"/>
      <c r="AI95" s="2811"/>
      <c r="AJ95" s="2811"/>
      <c r="AK95" s="2811"/>
      <c r="AL95" s="2811"/>
      <c r="AM95" s="2811"/>
      <c r="AN95" s="2811"/>
      <c r="AO95" s="2811"/>
      <c r="AP95" s="2811"/>
      <c r="AQ95" s="2811"/>
      <c r="AR95" s="2811"/>
      <c r="AS95" s="2811"/>
      <c r="AT95" s="2811"/>
      <c r="AU95" s="2811"/>
      <c r="AV95" s="2811"/>
      <c r="AW95" s="2811"/>
      <c r="AX95" s="2811"/>
      <c r="AY95" s="2811"/>
      <c r="AZ95" s="2811"/>
      <c r="BA95" s="2811"/>
      <c r="BB95" s="2811"/>
      <c r="BC95" s="2811"/>
      <c r="BD95" s="2811"/>
      <c r="BE95" s="2811"/>
      <c r="BF95" s="2811"/>
      <c r="BG95" s="2811"/>
      <c r="BH95" s="2811"/>
      <c r="BI95" s="2811"/>
      <c r="BJ95" s="2811"/>
      <c r="BK95" s="2811"/>
      <c r="BL95" s="2811"/>
      <c r="BM95" s="2811"/>
      <c r="BN95" s="2805"/>
      <c r="BO95" s="2805"/>
      <c r="BP95" s="2805"/>
      <c r="BQ95" s="2805"/>
      <c r="BR95" s="2806"/>
    </row>
    <row r="96" spans="1:70" s="851" customFormat="1" ht="37.5" customHeight="1" x14ac:dyDescent="0.2">
      <c r="A96" s="845"/>
      <c r="B96" s="846"/>
      <c r="C96" s="846"/>
      <c r="D96" s="563"/>
      <c r="E96" s="563"/>
      <c r="F96" s="737"/>
      <c r="G96" s="704"/>
      <c r="H96" s="847"/>
      <c r="I96" s="847"/>
      <c r="J96" s="2888"/>
      <c r="K96" s="2707"/>
      <c r="L96" s="2707"/>
      <c r="M96" s="2706"/>
      <c r="N96" s="2706"/>
      <c r="O96" s="2889"/>
      <c r="P96" s="2706"/>
      <c r="Q96" s="2707"/>
      <c r="R96" s="2893"/>
      <c r="S96" s="2785"/>
      <c r="T96" s="2707"/>
      <c r="U96" s="2707"/>
      <c r="V96" s="853" t="s">
        <v>673</v>
      </c>
      <c r="W96" s="852">
        <f>30000000-12350000</f>
        <v>17650000</v>
      </c>
      <c r="X96" s="852"/>
      <c r="Y96" s="852"/>
      <c r="Z96" s="849">
        <v>20</v>
      </c>
      <c r="AA96" s="850" t="s">
        <v>617</v>
      </c>
      <c r="AB96" s="2811"/>
      <c r="AC96" s="2811"/>
      <c r="AD96" s="2892"/>
      <c r="AE96" s="2892"/>
      <c r="AF96" s="2811"/>
      <c r="AG96" s="2811"/>
      <c r="AH96" s="2811"/>
      <c r="AI96" s="2811"/>
      <c r="AJ96" s="2811"/>
      <c r="AK96" s="2811"/>
      <c r="AL96" s="2811"/>
      <c r="AM96" s="2811"/>
      <c r="AN96" s="2811"/>
      <c r="AO96" s="2811"/>
      <c r="AP96" s="2811"/>
      <c r="AQ96" s="2811"/>
      <c r="AR96" s="2811"/>
      <c r="AS96" s="2811"/>
      <c r="AT96" s="2811"/>
      <c r="AU96" s="2811"/>
      <c r="AV96" s="2811"/>
      <c r="AW96" s="2811"/>
      <c r="AX96" s="2811"/>
      <c r="AY96" s="2811"/>
      <c r="AZ96" s="2811"/>
      <c r="BA96" s="2811"/>
      <c r="BB96" s="2811"/>
      <c r="BC96" s="2811"/>
      <c r="BD96" s="2811"/>
      <c r="BE96" s="2811"/>
      <c r="BF96" s="2811"/>
      <c r="BG96" s="2811"/>
      <c r="BH96" s="2811"/>
      <c r="BI96" s="2811"/>
      <c r="BJ96" s="2811"/>
      <c r="BK96" s="2811"/>
      <c r="BL96" s="2811"/>
      <c r="BM96" s="2811"/>
      <c r="BN96" s="2805"/>
      <c r="BO96" s="2805"/>
      <c r="BP96" s="2805"/>
      <c r="BQ96" s="2805"/>
      <c r="BR96" s="2806"/>
    </row>
    <row r="97" spans="1:70" ht="69" customHeight="1" x14ac:dyDescent="0.2">
      <c r="A97" s="2897"/>
      <c r="B97" s="2898"/>
      <c r="C97" s="2898"/>
      <c r="D97" s="2899"/>
      <c r="E97" s="2898"/>
      <c r="F97" s="2898"/>
      <c r="G97" s="2900"/>
      <c r="H97" s="2901"/>
      <c r="I97" s="2901"/>
      <c r="J97" s="2902">
        <v>265</v>
      </c>
      <c r="K97" s="2932" t="s">
        <v>674</v>
      </c>
      <c r="L97" s="2932" t="s">
        <v>675</v>
      </c>
      <c r="M97" s="2933">
        <v>1</v>
      </c>
      <c r="N97" s="2935">
        <v>0.57999999999999996</v>
      </c>
      <c r="O97" s="2894" t="s">
        <v>676</v>
      </c>
      <c r="P97" s="2895" t="s">
        <v>677</v>
      </c>
      <c r="Q97" s="2925" t="s">
        <v>678</v>
      </c>
      <c r="R97" s="2927">
        <v>1</v>
      </c>
      <c r="S97" s="2929">
        <f>SUM(W97:W116)</f>
        <v>493700000</v>
      </c>
      <c r="T97" s="2931" t="s">
        <v>679</v>
      </c>
      <c r="U97" s="2790" t="s">
        <v>680</v>
      </c>
      <c r="V97" s="2834" t="s">
        <v>681</v>
      </c>
      <c r="W97" s="2908">
        <f>55440000+11340000</f>
        <v>66780000</v>
      </c>
      <c r="X97" s="2908">
        <v>66780000</v>
      </c>
      <c r="Y97" s="2908">
        <v>21916000</v>
      </c>
      <c r="Z97" s="2841" t="s">
        <v>682</v>
      </c>
      <c r="AA97" s="2841" t="s">
        <v>86</v>
      </c>
      <c r="AB97" s="2793">
        <v>294321</v>
      </c>
      <c r="AC97" s="2793"/>
      <c r="AD97" s="2906">
        <v>283947</v>
      </c>
      <c r="AE97" s="2906"/>
      <c r="AF97" s="2793">
        <v>135754</v>
      </c>
      <c r="AG97" s="2793"/>
      <c r="AH97" s="2793">
        <v>44640</v>
      </c>
      <c r="AI97" s="2793"/>
      <c r="AJ97" s="2793">
        <v>308178</v>
      </c>
      <c r="AK97" s="2793"/>
      <c r="AL97" s="2793">
        <v>89696</v>
      </c>
      <c r="AM97" s="2793"/>
      <c r="AN97" s="2793">
        <f>AM97</f>
        <v>0</v>
      </c>
      <c r="AO97" s="2793"/>
      <c r="AP97" s="2793">
        <v>12718</v>
      </c>
      <c r="AQ97" s="2793"/>
      <c r="AR97" s="2793">
        <v>26</v>
      </c>
      <c r="AS97" s="2793"/>
      <c r="AT97" s="2793">
        <v>37</v>
      </c>
      <c r="AU97" s="2793"/>
      <c r="AV97" s="2793"/>
      <c r="AW97" s="2793"/>
      <c r="AX97" s="2793"/>
      <c r="AY97" s="2793"/>
      <c r="AZ97" s="2793">
        <v>54612</v>
      </c>
      <c r="BA97" s="2793"/>
      <c r="BB97" s="2793">
        <v>16982</v>
      </c>
      <c r="BC97" s="2793"/>
      <c r="BD97" s="2793">
        <v>1010</v>
      </c>
      <c r="BE97" s="2793"/>
      <c r="BF97" s="2799">
        <v>578268</v>
      </c>
      <c r="BG97" s="2793">
        <f>BF97</f>
        <v>578268</v>
      </c>
      <c r="BH97" s="2793">
        <v>19</v>
      </c>
      <c r="BI97" s="2915">
        <f>SUM(X97:X116)</f>
        <v>383200234</v>
      </c>
      <c r="BJ97" s="2915">
        <f>SUM(Y97:Y116)</f>
        <v>219166467</v>
      </c>
      <c r="BK97" s="2916">
        <f>BJ97/BI97</f>
        <v>0.57193719511142049</v>
      </c>
      <c r="BL97" s="2906" t="s">
        <v>618</v>
      </c>
      <c r="BM97" s="2906" t="s">
        <v>683</v>
      </c>
      <c r="BN97" s="2840">
        <v>43102</v>
      </c>
      <c r="BO97" s="2840">
        <v>43482</v>
      </c>
      <c r="BP97" s="2840">
        <v>43465</v>
      </c>
      <c r="BQ97" s="2840">
        <v>43830</v>
      </c>
      <c r="BR97" s="2843" t="s">
        <v>655</v>
      </c>
    </row>
    <row r="98" spans="1:70" ht="104.25" customHeight="1" x14ac:dyDescent="0.2">
      <c r="A98" s="2897"/>
      <c r="B98" s="2898"/>
      <c r="C98" s="2898"/>
      <c r="D98" s="2899"/>
      <c r="E98" s="2898"/>
      <c r="F98" s="2898"/>
      <c r="G98" s="2900"/>
      <c r="H98" s="2901"/>
      <c r="I98" s="2901"/>
      <c r="J98" s="2903"/>
      <c r="K98" s="2863"/>
      <c r="L98" s="2863"/>
      <c r="M98" s="2934"/>
      <c r="N98" s="2936"/>
      <c r="O98" s="2859"/>
      <c r="P98" s="2861"/>
      <c r="Q98" s="2926"/>
      <c r="R98" s="2928"/>
      <c r="S98" s="2930"/>
      <c r="T98" s="2872"/>
      <c r="U98" s="2790"/>
      <c r="V98" s="2835"/>
      <c r="W98" s="2909"/>
      <c r="X98" s="2909"/>
      <c r="Y98" s="2909"/>
      <c r="Z98" s="2843"/>
      <c r="AA98" s="2843"/>
      <c r="AB98" s="2793"/>
      <c r="AC98" s="2793"/>
      <c r="AD98" s="2906"/>
      <c r="AE98" s="2906"/>
      <c r="AF98" s="2793"/>
      <c r="AG98" s="2793"/>
      <c r="AH98" s="2793"/>
      <c r="AI98" s="2793"/>
      <c r="AJ98" s="2793"/>
      <c r="AK98" s="2793"/>
      <c r="AL98" s="2793"/>
      <c r="AM98" s="2793"/>
      <c r="AN98" s="2793"/>
      <c r="AO98" s="2793"/>
      <c r="AP98" s="2793"/>
      <c r="AQ98" s="2793"/>
      <c r="AR98" s="2793"/>
      <c r="AS98" s="2793"/>
      <c r="AT98" s="2793"/>
      <c r="AU98" s="2793"/>
      <c r="AV98" s="2793"/>
      <c r="AW98" s="2793"/>
      <c r="AX98" s="2793"/>
      <c r="AY98" s="2793"/>
      <c r="AZ98" s="2793"/>
      <c r="BA98" s="2793"/>
      <c r="BB98" s="2793"/>
      <c r="BC98" s="2793"/>
      <c r="BD98" s="2793"/>
      <c r="BE98" s="2793"/>
      <c r="BF98" s="2799"/>
      <c r="BG98" s="2793"/>
      <c r="BH98" s="2793"/>
      <c r="BI98" s="2793"/>
      <c r="BJ98" s="2793"/>
      <c r="BK98" s="2916"/>
      <c r="BL98" s="2793"/>
      <c r="BM98" s="2793"/>
      <c r="BN98" s="2805"/>
      <c r="BO98" s="2805"/>
      <c r="BP98" s="2805"/>
      <c r="BQ98" s="2805"/>
      <c r="BR98" s="2806"/>
    </row>
    <row r="99" spans="1:70" ht="62.25" customHeight="1" x14ac:dyDescent="0.2">
      <c r="A99" s="2897"/>
      <c r="B99" s="2898"/>
      <c r="C99" s="2898"/>
      <c r="D99" s="2899"/>
      <c r="E99" s="2898"/>
      <c r="F99" s="2898"/>
      <c r="G99" s="2900"/>
      <c r="H99" s="2901"/>
      <c r="I99" s="2901"/>
      <c r="J99" s="2903"/>
      <c r="K99" s="2863"/>
      <c r="L99" s="2863"/>
      <c r="M99" s="2934"/>
      <c r="N99" s="2936"/>
      <c r="O99" s="2859"/>
      <c r="P99" s="2861"/>
      <c r="Q99" s="2926"/>
      <c r="R99" s="2928"/>
      <c r="S99" s="2930"/>
      <c r="T99" s="2872"/>
      <c r="U99" s="2790"/>
      <c r="V99" s="707" t="s">
        <v>684</v>
      </c>
      <c r="W99" s="732">
        <f>92400000-80640000</f>
        <v>11760000</v>
      </c>
      <c r="X99" s="733">
        <v>11751600</v>
      </c>
      <c r="Y99" s="733">
        <v>8394000</v>
      </c>
      <c r="Z99" s="792">
        <v>20</v>
      </c>
      <c r="AA99" s="710" t="s">
        <v>86</v>
      </c>
      <c r="AB99" s="2793"/>
      <c r="AC99" s="2793"/>
      <c r="AD99" s="2906"/>
      <c r="AE99" s="2906"/>
      <c r="AF99" s="2793"/>
      <c r="AG99" s="2793"/>
      <c r="AH99" s="2793"/>
      <c r="AI99" s="2793"/>
      <c r="AJ99" s="2793"/>
      <c r="AK99" s="2793"/>
      <c r="AL99" s="2793"/>
      <c r="AM99" s="2793"/>
      <c r="AN99" s="2793"/>
      <c r="AO99" s="2793"/>
      <c r="AP99" s="2793"/>
      <c r="AQ99" s="2793"/>
      <c r="AR99" s="2793"/>
      <c r="AS99" s="2793"/>
      <c r="AT99" s="2793"/>
      <c r="AU99" s="2793"/>
      <c r="AV99" s="2793"/>
      <c r="AW99" s="2793"/>
      <c r="AX99" s="2793"/>
      <c r="AY99" s="2793"/>
      <c r="AZ99" s="2793"/>
      <c r="BA99" s="2793"/>
      <c r="BB99" s="2793"/>
      <c r="BC99" s="2793"/>
      <c r="BD99" s="2793"/>
      <c r="BE99" s="2793"/>
      <c r="BF99" s="2799"/>
      <c r="BG99" s="2793"/>
      <c r="BH99" s="2793"/>
      <c r="BI99" s="2793"/>
      <c r="BJ99" s="2793"/>
      <c r="BK99" s="2916"/>
      <c r="BL99" s="2793"/>
      <c r="BM99" s="2793"/>
      <c r="BN99" s="2805"/>
      <c r="BO99" s="2805"/>
      <c r="BP99" s="2805"/>
      <c r="BQ99" s="2805"/>
      <c r="BR99" s="2806"/>
    </row>
    <row r="100" spans="1:70" ht="35.25" customHeight="1" x14ac:dyDescent="0.2">
      <c r="A100" s="2897"/>
      <c r="B100" s="2898"/>
      <c r="C100" s="2898"/>
      <c r="D100" s="2899"/>
      <c r="E100" s="2898"/>
      <c r="F100" s="2898"/>
      <c r="G100" s="2900"/>
      <c r="H100" s="2901"/>
      <c r="I100" s="2901"/>
      <c r="J100" s="2903"/>
      <c r="K100" s="2863"/>
      <c r="L100" s="2863"/>
      <c r="M100" s="2934"/>
      <c r="N100" s="2936"/>
      <c r="O100" s="2859"/>
      <c r="P100" s="2861"/>
      <c r="Q100" s="2926"/>
      <c r="R100" s="2928"/>
      <c r="S100" s="2930"/>
      <c r="T100" s="2872"/>
      <c r="U100" s="2790"/>
      <c r="V100" s="2834" t="s">
        <v>685</v>
      </c>
      <c r="W100" s="732">
        <f>5760000+20170000</f>
        <v>25930000</v>
      </c>
      <c r="X100" s="733">
        <v>25500000</v>
      </c>
      <c r="Y100" s="733">
        <v>8500000</v>
      </c>
      <c r="Z100" s="792">
        <v>20</v>
      </c>
      <c r="AA100" s="710" t="s">
        <v>86</v>
      </c>
      <c r="AB100" s="2793"/>
      <c r="AC100" s="2793"/>
      <c r="AD100" s="2906"/>
      <c r="AE100" s="2906"/>
      <c r="AF100" s="2793"/>
      <c r="AG100" s="2793"/>
      <c r="AH100" s="2793"/>
      <c r="AI100" s="2793"/>
      <c r="AJ100" s="2793"/>
      <c r="AK100" s="2793"/>
      <c r="AL100" s="2793"/>
      <c r="AM100" s="2793"/>
      <c r="AN100" s="2793"/>
      <c r="AO100" s="2793"/>
      <c r="AP100" s="2793"/>
      <c r="AQ100" s="2793"/>
      <c r="AR100" s="2793"/>
      <c r="AS100" s="2793"/>
      <c r="AT100" s="2793"/>
      <c r="AU100" s="2793"/>
      <c r="AV100" s="2793"/>
      <c r="AW100" s="2793"/>
      <c r="AX100" s="2793"/>
      <c r="AY100" s="2793"/>
      <c r="AZ100" s="2793"/>
      <c r="BA100" s="2793"/>
      <c r="BB100" s="2793"/>
      <c r="BC100" s="2793"/>
      <c r="BD100" s="2793"/>
      <c r="BE100" s="2793"/>
      <c r="BF100" s="2799"/>
      <c r="BG100" s="2793"/>
      <c r="BH100" s="2793"/>
      <c r="BI100" s="2793"/>
      <c r="BJ100" s="2793"/>
      <c r="BK100" s="2916"/>
      <c r="BL100" s="2793"/>
      <c r="BM100" s="2793"/>
      <c r="BN100" s="2805"/>
      <c r="BO100" s="2805"/>
      <c r="BP100" s="2805"/>
      <c r="BQ100" s="2805"/>
      <c r="BR100" s="2806"/>
    </row>
    <row r="101" spans="1:70" ht="36.75" customHeight="1" x14ac:dyDescent="0.2">
      <c r="A101" s="2897"/>
      <c r="B101" s="2898"/>
      <c r="C101" s="2898"/>
      <c r="D101" s="2899"/>
      <c r="E101" s="2898"/>
      <c r="F101" s="2898"/>
      <c r="G101" s="2900"/>
      <c r="H101" s="2901"/>
      <c r="I101" s="2901"/>
      <c r="J101" s="2903"/>
      <c r="K101" s="2863"/>
      <c r="L101" s="2863"/>
      <c r="M101" s="2934"/>
      <c r="N101" s="2936"/>
      <c r="O101" s="2859"/>
      <c r="P101" s="2861"/>
      <c r="Q101" s="2926"/>
      <c r="R101" s="2928"/>
      <c r="S101" s="2930"/>
      <c r="T101" s="2872"/>
      <c r="U101" s="2790"/>
      <c r="V101" s="2835"/>
      <c r="W101" s="732">
        <f>0+20000</f>
        <v>20000</v>
      </c>
      <c r="X101" s="733"/>
      <c r="Y101" s="733"/>
      <c r="Z101" s="792">
        <v>88</v>
      </c>
      <c r="AA101" s="710" t="s">
        <v>75</v>
      </c>
      <c r="AB101" s="2793"/>
      <c r="AC101" s="2793"/>
      <c r="AD101" s="2906"/>
      <c r="AE101" s="2906"/>
      <c r="AF101" s="2793"/>
      <c r="AG101" s="2793"/>
      <c r="AH101" s="2793"/>
      <c r="AI101" s="2793"/>
      <c r="AJ101" s="2793"/>
      <c r="AK101" s="2793"/>
      <c r="AL101" s="2793"/>
      <c r="AM101" s="2793"/>
      <c r="AN101" s="2793"/>
      <c r="AO101" s="2793"/>
      <c r="AP101" s="2793"/>
      <c r="AQ101" s="2793"/>
      <c r="AR101" s="2793"/>
      <c r="AS101" s="2793"/>
      <c r="AT101" s="2793"/>
      <c r="AU101" s="2793"/>
      <c r="AV101" s="2793"/>
      <c r="AW101" s="2793"/>
      <c r="AX101" s="2793"/>
      <c r="AY101" s="2793"/>
      <c r="AZ101" s="2793"/>
      <c r="BA101" s="2793"/>
      <c r="BB101" s="2793"/>
      <c r="BC101" s="2793"/>
      <c r="BD101" s="2793"/>
      <c r="BE101" s="2793"/>
      <c r="BF101" s="2799"/>
      <c r="BG101" s="2793"/>
      <c r="BH101" s="2793"/>
      <c r="BI101" s="2793"/>
      <c r="BJ101" s="2793"/>
      <c r="BK101" s="2916"/>
      <c r="BL101" s="2793"/>
      <c r="BM101" s="2793"/>
      <c r="BN101" s="2805"/>
      <c r="BO101" s="2805"/>
      <c r="BP101" s="2805"/>
      <c r="BQ101" s="2805"/>
      <c r="BR101" s="2806"/>
    </row>
    <row r="102" spans="1:70" ht="39.75" customHeight="1" x14ac:dyDescent="0.2">
      <c r="A102" s="2897"/>
      <c r="B102" s="2898"/>
      <c r="C102" s="2898"/>
      <c r="D102" s="2899"/>
      <c r="E102" s="2898"/>
      <c r="F102" s="2898"/>
      <c r="G102" s="2900"/>
      <c r="H102" s="2901"/>
      <c r="I102" s="2901"/>
      <c r="J102" s="2903"/>
      <c r="K102" s="2863"/>
      <c r="L102" s="2863"/>
      <c r="M102" s="2934"/>
      <c r="N102" s="2936"/>
      <c r="O102" s="2859"/>
      <c r="P102" s="2861"/>
      <c r="Q102" s="2926"/>
      <c r="R102" s="2928"/>
      <c r="S102" s="2930"/>
      <c r="T102" s="2872"/>
      <c r="U102" s="2707" t="s">
        <v>686</v>
      </c>
      <c r="V102" s="707" t="s">
        <v>687</v>
      </c>
      <c r="W102" s="732">
        <f>8500000+850000</f>
        <v>9350000</v>
      </c>
      <c r="X102" s="733">
        <v>9270000</v>
      </c>
      <c r="Y102" s="733">
        <v>4170000</v>
      </c>
      <c r="Z102" s="792">
        <v>20</v>
      </c>
      <c r="AA102" s="710" t="s">
        <v>86</v>
      </c>
      <c r="AB102" s="2793"/>
      <c r="AC102" s="2793"/>
      <c r="AD102" s="2906"/>
      <c r="AE102" s="2906"/>
      <c r="AF102" s="2793"/>
      <c r="AG102" s="2793"/>
      <c r="AH102" s="2793"/>
      <c r="AI102" s="2793"/>
      <c r="AJ102" s="2793"/>
      <c r="AK102" s="2793"/>
      <c r="AL102" s="2793"/>
      <c r="AM102" s="2793"/>
      <c r="AN102" s="2793"/>
      <c r="AO102" s="2793"/>
      <c r="AP102" s="2793"/>
      <c r="AQ102" s="2793"/>
      <c r="AR102" s="2793"/>
      <c r="AS102" s="2793"/>
      <c r="AT102" s="2793"/>
      <c r="AU102" s="2793"/>
      <c r="AV102" s="2793"/>
      <c r="AW102" s="2793"/>
      <c r="AX102" s="2793"/>
      <c r="AY102" s="2793"/>
      <c r="AZ102" s="2793"/>
      <c r="BA102" s="2793"/>
      <c r="BB102" s="2793"/>
      <c r="BC102" s="2793"/>
      <c r="BD102" s="2793"/>
      <c r="BE102" s="2793"/>
      <c r="BF102" s="2799"/>
      <c r="BG102" s="2793"/>
      <c r="BH102" s="2793"/>
      <c r="BI102" s="2793"/>
      <c r="BJ102" s="2793"/>
      <c r="BK102" s="2916"/>
      <c r="BL102" s="2793"/>
      <c r="BM102" s="2793"/>
      <c r="BN102" s="2805"/>
      <c r="BO102" s="2805"/>
      <c r="BP102" s="2805"/>
      <c r="BQ102" s="2805"/>
      <c r="BR102" s="2806"/>
    </row>
    <row r="103" spans="1:70" ht="28.5" customHeight="1" x14ac:dyDescent="0.2">
      <c r="A103" s="2897"/>
      <c r="B103" s="2898"/>
      <c r="C103" s="2898"/>
      <c r="D103" s="2899"/>
      <c r="E103" s="2898"/>
      <c r="F103" s="2898"/>
      <c r="G103" s="2900"/>
      <c r="H103" s="2901"/>
      <c r="I103" s="2901"/>
      <c r="J103" s="2903"/>
      <c r="K103" s="2863"/>
      <c r="L103" s="2863"/>
      <c r="M103" s="2934"/>
      <c r="N103" s="2936"/>
      <c r="O103" s="2859"/>
      <c r="P103" s="2861"/>
      <c r="Q103" s="2926"/>
      <c r="R103" s="2928"/>
      <c r="S103" s="2930"/>
      <c r="T103" s="2872"/>
      <c r="U103" s="2707"/>
      <c r="V103" s="707" t="s">
        <v>688</v>
      </c>
      <c r="W103" s="732">
        <f>6500000+650000</f>
        <v>7150000</v>
      </c>
      <c r="X103" s="733">
        <v>7150000</v>
      </c>
      <c r="Y103" s="733">
        <v>3250000</v>
      </c>
      <c r="Z103" s="792">
        <v>20</v>
      </c>
      <c r="AA103" s="710" t="s">
        <v>86</v>
      </c>
      <c r="AB103" s="2793"/>
      <c r="AC103" s="2793"/>
      <c r="AD103" s="2906"/>
      <c r="AE103" s="2906"/>
      <c r="AF103" s="2793"/>
      <c r="AG103" s="2793"/>
      <c r="AH103" s="2793"/>
      <c r="AI103" s="2793"/>
      <c r="AJ103" s="2793"/>
      <c r="AK103" s="2793"/>
      <c r="AL103" s="2793"/>
      <c r="AM103" s="2793"/>
      <c r="AN103" s="2793"/>
      <c r="AO103" s="2793"/>
      <c r="AP103" s="2793"/>
      <c r="AQ103" s="2793"/>
      <c r="AR103" s="2793"/>
      <c r="AS103" s="2793"/>
      <c r="AT103" s="2793"/>
      <c r="AU103" s="2793"/>
      <c r="AV103" s="2793"/>
      <c r="AW103" s="2793"/>
      <c r="AX103" s="2793"/>
      <c r="AY103" s="2793"/>
      <c r="AZ103" s="2793"/>
      <c r="BA103" s="2793"/>
      <c r="BB103" s="2793"/>
      <c r="BC103" s="2793"/>
      <c r="BD103" s="2793"/>
      <c r="BE103" s="2793"/>
      <c r="BF103" s="2799"/>
      <c r="BG103" s="2793"/>
      <c r="BH103" s="2793"/>
      <c r="BI103" s="2793"/>
      <c r="BJ103" s="2793"/>
      <c r="BK103" s="2916"/>
      <c r="BL103" s="2793"/>
      <c r="BM103" s="2793"/>
      <c r="BN103" s="2805"/>
      <c r="BO103" s="2805"/>
      <c r="BP103" s="2805"/>
      <c r="BQ103" s="2805"/>
      <c r="BR103" s="2806"/>
    </row>
    <row r="104" spans="1:70" ht="30.75" customHeight="1" x14ac:dyDescent="0.2">
      <c r="A104" s="2897"/>
      <c r="B104" s="2898"/>
      <c r="C104" s="2898"/>
      <c r="D104" s="2899"/>
      <c r="E104" s="2898"/>
      <c r="F104" s="2898"/>
      <c r="G104" s="2900"/>
      <c r="H104" s="2901"/>
      <c r="I104" s="2901"/>
      <c r="J104" s="2903"/>
      <c r="K104" s="2863"/>
      <c r="L104" s="2863"/>
      <c r="M104" s="2934"/>
      <c r="N104" s="2936"/>
      <c r="O104" s="2859"/>
      <c r="P104" s="2861"/>
      <c r="Q104" s="2926"/>
      <c r="R104" s="2928"/>
      <c r="S104" s="2930"/>
      <c r="T104" s="2872"/>
      <c r="U104" s="2707"/>
      <c r="V104" s="707" t="s">
        <v>689</v>
      </c>
      <c r="W104" s="732">
        <v>18000000</v>
      </c>
      <c r="X104" s="733">
        <v>17751467</v>
      </c>
      <c r="Y104" s="733">
        <v>9000000</v>
      </c>
      <c r="Z104" s="792">
        <v>20</v>
      </c>
      <c r="AA104" s="710" t="s">
        <v>86</v>
      </c>
      <c r="AB104" s="2793"/>
      <c r="AC104" s="2793"/>
      <c r="AD104" s="2906"/>
      <c r="AE104" s="2906"/>
      <c r="AF104" s="2793"/>
      <c r="AG104" s="2793"/>
      <c r="AH104" s="2793"/>
      <c r="AI104" s="2793"/>
      <c r="AJ104" s="2793"/>
      <c r="AK104" s="2793"/>
      <c r="AL104" s="2793"/>
      <c r="AM104" s="2793"/>
      <c r="AN104" s="2793"/>
      <c r="AO104" s="2793"/>
      <c r="AP104" s="2793"/>
      <c r="AQ104" s="2793"/>
      <c r="AR104" s="2793"/>
      <c r="AS104" s="2793"/>
      <c r="AT104" s="2793"/>
      <c r="AU104" s="2793"/>
      <c r="AV104" s="2793"/>
      <c r="AW104" s="2793"/>
      <c r="AX104" s="2793"/>
      <c r="AY104" s="2793"/>
      <c r="AZ104" s="2793"/>
      <c r="BA104" s="2793"/>
      <c r="BB104" s="2793"/>
      <c r="BC104" s="2793"/>
      <c r="BD104" s="2793"/>
      <c r="BE104" s="2793"/>
      <c r="BF104" s="2799"/>
      <c r="BG104" s="2793"/>
      <c r="BH104" s="2793"/>
      <c r="BI104" s="2793"/>
      <c r="BJ104" s="2793"/>
      <c r="BK104" s="2916"/>
      <c r="BL104" s="2793"/>
      <c r="BM104" s="2793"/>
      <c r="BN104" s="2805"/>
      <c r="BO104" s="2805"/>
      <c r="BP104" s="2805"/>
      <c r="BQ104" s="2805"/>
      <c r="BR104" s="2806"/>
    </row>
    <row r="105" spans="1:70" ht="72" customHeight="1" x14ac:dyDescent="0.2">
      <c r="A105" s="2897"/>
      <c r="B105" s="2898"/>
      <c r="C105" s="2898"/>
      <c r="D105" s="2899"/>
      <c r="E105" s="2898"/>
      <c r="F105" s="2898"/>
      <c r="G105" s="2900"/>
      <c r="H105" s="2901"/>
      <c r="I105" s="2901"/>
      <c r="J105" s="2903"/>
      <c r="K105" s="2863"/>
      <c r="L105" s="2863"/>
      <c r="M105" s="2934"/>
      <c r="N105" s="2936"/>
      <c r="O105" s="2859"/>
      <c r="P105" s="2861"/>
      <c r="Q105" s="2926"/>
      <c r="R105" s="2928"/>
      <c r="S105" s="2930"/>
      <c r="T105" s="2872"/>
      <c r="U105" s="2707" t="s">
        <v>690</v>
      </c>
      <c r="V105" s="2834" t="s">
        <v>691</v>
      </c>
      <c r="W105" s="732">
        <v>127050000</v>
      </c>
      <c r="X105" s="733">
        <v>104580467</v>
      </c>
      <c r="Y105" s="733">
        <v>69661167</v>
      </c>
      <c r="Z105" s="792">
        <v>20</v>
      </c>
      <c r="AA105" s="710" t="s">
        <v>86</v>
      </c>
      <c r="AB105" s="2793"/>
      <c r="AC105" s="2793"/>
      <c r="AD105" s="2906"/>
      <c r="AE105" s="2906"/>
      <c r="AF105" s="2793"/>
      <c r="AG105" s="2793"/>
      <c r="AH105" s="2793"/>
      <c r="AI105" s="2793"/>
      <c r="AJ105" s="2793"/>
      <c r="AK105" s="2793"/>
      <c r="AL105" s="2793"/>
      <c r="AM105" s="2793"/>
      <c r="AN105" s="2793"/>
      <c r="AO105" s="2793"/>
      <c r="AP105" s="2793"/>
      <c r="AQ105" s="2793"/>
      <c r="AR105" s="2793"/>
      <c r="AS105" s="2793"/>
      <c r="AT105" s="2793"/>
      <c r="AU105" s="2793"/>
      <c r="AV105" s="2793"/>
      <c r="AW105" s="2793"/>
      <c r="AX105" s="2793"/>
      <c r="AY105" s="2793"/>
      <c r="AZ105" s="2793"/>
      <c r="BA105" s="2793"/>
      <c r="BB105" s="2793"/>
      <c r="BC105" s="2793"/>
      <c r="BD105" s="2793"/>
      <c r="BE105" s="2793"/>
      <c r="BF105" s="2799"/>
      <c r="BG105" s="2793"/>
      <c r="BH105" s="2793"/>
      <c r="BI105" s="2793"/>
      <c r="BJ105" s="2793"/>
      <c r="BK105" s="2916"/>
      <c r="BL105" s="2793"/>
      <c r="BM105" s="2793"/>
      <c r="BN105" s="2805"/>
      <c r="BO105" s="2805"/>
      <c r="BP105" s="2805"/>
      <c r="BQ105" s="2805"/>
      <c r="BR105" s="2806"/>
    </row>
    <row r="106" spans="1:70" ht="71.25" customHeight="1" x14ac:dyDescent="0.2">
      <c r="A106" s="2897"/>
      <c r="B106" s="2898"/>
      <c r="C106" s="2898"/>
      <c r="D106" s="2899"/>
      <c r="E106" s="2898"/>
      <c r="F106" s="2898"/>
      <c r="G106" s="2900"/>
      <c r="H106" s="2901"/>
      <c r="I106" s="2901"/>
      <c r="J106" s="2903"/>
      <c r="K106" s="2863"/>
      <c r="L106" s="2863"/>
      <c r="M106" s="2934"/>
      <c r="N106" s="2936"/>
      <c r="O106" s="2859"/>
      <c r="P106" s="2861"/>
      <c r="Q106" s="2926"/>
      <c r="R106" s="2928"/>
      <c r="S106" s="2930"/>
      <c r="T106" s="2872"/>
      <c r="U106" s="2707"/>
      <c r="V106" s="2835"/>
      <c r="W106" s="732">
        <v>59290000</v>
      </c>
      <c r="X106" s="733">
        <v>21329733</v>
      </c>
      <c r="Y106" s="733">
        <v>4000000</v>
      </c>
      <c r="Z106" s="792">
        <v>88</v>
      </c>
      <c r="AA106" s="710" t="s">
        <v>692</v>
      </c>
      <c r="AB106" s="2793"/>
      <c r="AC106" s="2793"/>
      <c r="AD106" s="2906"/>
      <c r="AE106" s="2906"/>
      <c r="AF106" s="2793"/>
      <c r="AG106" s="2793"/>
      <c r="AH106" s="2793"/>
      <c r="AI106" s="2793"/>
      <c r="AJ106" s="2793"/>
      <c r="AK106" s="2793"/>
      <c r="AL106" s="2793"/>
      <c r="AM106" s="2793"/>
      <c r="AN106" s="2793"/>
      <c r="AO106" s="2793"/>
      <c r="AP106" s="2793"/>
      <c r="AQ106" s="2793"/>
      <c r="AR106" s="2793"/>
      <c r="AS106" s="2793"/>
      <c r="AT106" s="2793"/>
      <c r="AU106" s="2793"/>
      <c r="AV106" s="2793"/>
      <c r="AW106" s="2793"/>
      <c r="AX106" s="2793"/>
      <c r="AY106" s="2793"/>
      <c r="AZ106" s="2793"/>
      <c r="BA106" s="2793"/>
      <c r="BB106" s="2793"/>
      <c r="BC106" s="2793"/>
      <c r="BD106" s="2793"/>
      <c r="BE106" s="2793"/>
      <c r="BF106" s="2799"/>
      <c r="BG106" s="2793"/>
      <c r="BH106" s="2793"/>
      <c r="BI106" s="2793"/>
      <c r="BJ106" s="2793"/>
      <c r="BK106" s="2916"/>
      <c r="BL106" s="2793"/>
      <c r="BM106" s="2793"/>
      <c r="BN106" s="2805"/>
      <c r="BO106" s="2805"/>
      <c r="BP106" s="2805"/>
      <c r="BQ106" s="2805"/>
      <c r="BR106" s="2806"/>
    </row>
    <row r="107" spans="1:70" ht="66" customHeight="1" x14ac:dyDescent="0.2">
      <c r="A107" s="2897"/>
      <c r="B107" s="2898"/>
      <c r="C107" s="2898"/>
      <c r="D107" s="2899"/>
      <c r="E107" s="2898"/>
      <c r="F107" s="2898"/>
      <c r="G107" s="2900"/>
      <c r="H107" s="2901"/>
      <c r="I107" s="2901"/>
      <c r="J107" s="2903"/>
      <c r="K107" s="2863"/>
      <c r="L107" s="2863"/>
      <c r="M107" s="2934"/>
      <c r="N107" s="2936"/>
      <c r="O107" s="2859"/>
      <c r="P107" s="2861"/>
      <c r="Q107" s="2926"/>
      <c r="R107" s="2928"/>
      <c r="S107" s="2930"/>
      <c r="T107" s="2872"/>
      <c r="U107" s="2707"/>
      <c r="V107" s="854" t="s">
        <v>693</v>
      </c>
      <c r="W107" s="733">
        <f>19800000-5100000+5100000</f>
        <v>19800000</v>
      </c>
      <c r="X107" s="733">
        <v>19800000</v>
      </c>
      <c r="Y107" s="733">
        <v>19800000</v>
      </c>
      <c r="Z107" s="792" t="s">
        <v>356</v>
      </c>
      <c r="AA107" s="735" t="s">
        <v>86</v>
      </c>
      <c r="AB107" s="2793"/>
      <c r="AC107" s="2793"/>
      <c r="AD107" s="2906"/>
      <c r="AE107" s="2906"/>
      <c r="AF107" s="2793"/>
      <c r="AG107" s="2793"/>
      <c r="AH107" s="2793"/>
      <c r="AI107" s="2793"/>
      <c r="AJ107" s="2793"/>
      <c r="AK107" s="2793"/>
      <c r="AL107" s="2793"/>
      <c r="AM107" s="2793"/>
      <c r="AN107" s="2793"/>
      <c r="AO107" s="2793"/>
      <c r="AP107" s="2793"/>
      <c r="AQ107" s="2793"/>
      <c r="AR107" s="2793"/>
      <c r="AS107" s="2793"/>
      <c r="AT107" s="2793"/>
      <c r="AU107" s="2793"/>
      <c r="AV107" s="2793"/>
      <c r="AW107" s="2793"/>
      <c r="AX107" s="2793"/>
      <c r="AY107" s="2793"/>
      <c r="AZ107" s="2793"/>
      <c r="BA107" s="2793"/>
      <c r="BB107" s="2793"/>
      <c r="BC107" s="2793"/>
      <c r="BD107" s="2793"/>
      <c r="BE107" s="2793"/>
      <c r="BF107" s="2799"/>
      <c r="BG107" s="2793"/>
      <c r="BH107" s="2793"/>
      <c r="BI107" s="2793"/>
      <c r="BJ107" s="2793"/>
      <c r="BK107" s="2916"/>
      <c r="BL107" s="2793"/>
      <c r="BM107" s="2793"/>
      <c r="BN107" s="2805"/>
      <c r="BO107" s="2805"/>
      <c r="BP107" s="2805"/>
      <c r="BQ107" s="2805"/>
      <c r="BR107" s="2806"/>
    </row>
    <row r="108" spans="1:70" ht="64.5" customHeight="1" x14ac:dyDescent="0.2">
      <c r="A108" s="2897"/>
      <c r="B108" s="2898"/>
      <c r="C108" s="2898"/>
      <c r="D108" s="2899"/>
      <c r="E108" s="2898"/>
      <c r="F108" s="2898"/>
      <c r="G108" s="2900"/>
      <c r="H108" s="2901"/>
      <c r="I108" s="2901"/>
      <c r="J108" s="2903"/>
      <c r="K108" s="2863"/>
      <c r="L108" s="2863"/>
      <c r="M108" s="2934"/>
      <c r="N108" s="2936"/>
      <c r="O108" s="2859"/>
      <c r="P108" s="2861"/>
      <c r="Q108" s="2926"/>
      <c r="R108" s="2928"/>
      <c r="S108" s="2930"/>
      <c r="T108" s="2872"/>
      <c r="U108" s="2707"/>
      <c r="V108" s="2920" t="s">
        <v>694</v>
      </c>
      <c r="W108" s="855">
        <v>4180000</v>
      </c>
      <c r="X108" s="855">
        <v>4045664</v>
      </c>
      <c r="Y108" s="855"/>
      <c r="Z108" s="838">
        <v>20</v>
      </c>
      <c r="AA108" s="856" t="s">
        <v>71</v>
      </c>
      <c r="AB108" s="2904"/>
      <c r="AC108" s="2904"/>
      <c r="AD108" s="2906"/>
      <c r="AE108" s="2906"/>
      <c r="AF108" s="2793"/>
      <c r="AG108" s="2793"/>
      <c r="AH108" s="2793"/>
      <c r="AI108" s="2793"/>
      <c r="AJ108" s="2793"/>
      <c r="AK108" s="2793"/>
      <c r="AL108" s="2793"/>
      <c r="AM108" s="2793"/>
      <c r="AN108" s="2793"/>
      <c r="AO108" s="2793"/>
      <c r="AP108" s="2793"/>
      <c r="AQ108" s="2793"/>
      <c r="AR108" s="2793"/>
      <c r="AS108" s="2793"/>
      <c r="AT108" s="2793"/>
      <c r="AU108" s="2793"/>
      <c r="AV108" s="2793"/>
      <c r="AW108" s="2793"/>
      <c r="AX108" s="2793"/>
      <c r="AY108" s="2793"/>
      <c r="AZ108" s="2793"/>
      <c r="BA108" s="2793"/>
      <c r="BB108" s="2793"/>
      <c r="BC108" s="2793"/>
      <c r="BD108" s="2793"/>
      <c r="BE108" s="2793"/>
      <c r="BF108" s="2799"/>
      <c r="BG108" s="2793"/>
      <c r="BH108" s="2793"/>
      <c r="BI108" s="2793"/>
      <c r="BJ108" s="2793"/>
      <c r="BK108" s="2916"/>
      <c r="BL108" s="2793"/>
      <c r="BM108" s="2793"/>
      <c r="BN108" s="2805"/>
      <c r="BO108" s="2805"/>
      <c r="BP108" s="2805"/>
      <c r="BQ108" s="2805"/>
      <c r="BR108" s="2806"/>
    </row>
    <row r="109" spans="1:70" ht="116.25" customHeight="1" x14ac:dyDescent="0.2">
      <c r="A109" s="2897"/>
      <c r="B109" s="2898"/>
      <c r="C109" s="2898"/>
      <c r="D109" s="2899"/>
      <c r="E109" s="2898"/>
      <c r="F109" s="2898"/>
      <c r="G109" s="2900"/>
      <c r="H109" s="2901"/>
      <c r="I109" s="2901"/>
      <c r="J109" s="2903"/>
      <c r="K109" s="2863"/>
      <c r="L109" s="2863"/>
      <c r="M109" s="2934"/>
      <c r="N109" s="2936"/>
      <c r="O109" s="2859"/>
      <c r="P109" s="2861"/>
      <c r="Q109" s="2926"/>
      <c r="R109" s="2928"/>
      <c r="S109" s="2930"/>
      <c r="T109" s="2872"/>
      <c r="U109" s="2707"/>
      <c r="V109" s="2921"/>
      <c r="W109" s="855">
        <v>90000</v>
      </c>
      <c r="X109" s="855"/>
      <c r="Y109" s="855"/>
      <c r="Z109" s="838">
        <v>88</v>
      </c>
      <c r="AA109" s="856" t="s">
        <v>692</v>
      </c>
      <c r="AB109" s="2904"/>
      <c r="AC109" s="2904"/>
      <c r="AD109" s="2906"/>
      <c r="AE109" s="2906"/>
      <c r="AF109" s="2793"/>
      <c r="AG109" s="2793"/>
      <c r="AH109" s="2793"/>
      <c r="AI109" s="2793"/>
      <c r="AJ109" s="2793"/>
      <c r="AK109" s="2793"/>
      <c r="AL109" s="2793"/>
      <c r="AM109" s="2793"/>
      <c r="AN109" s="2793"/>
      <c r="AO109" s="2793"/>
      <c r="AP109" s="2793"/>
      <c r="AQ109" s="2793"/>
      <c r="AR109" s="2793"/>
      <c r="AS109" s="2793"/>
      <c r="AT109" s="2793"/>
      <c r="AU109" s="2793"/>
      <c r="AV109" s="2793"/>
      <c r="AW109" s="2793"/>
      <c r="AX109" s="2793"/>
      <c r="AY109" s="2793"/>
      <c r="AZ109" s="2793"/>
      <c r="BA109" s="2793"/>
      <c r="BB109" s="2793"/>
      <c r="BC109" s="2793"/>
      <c r="BD109" s="2793"/>
      <c r="BE109" s="2793"/>
      <c r="BF109" s="2799"/>
      <c r="BG109" s="2793"/>
      <c r="BH109" s="2793"/>
      <c r="BI109" s="2793"/>
      <c r="BJ109" s="2793"/>
      <c r="BK109" s="2916"/>
      <c r="BL109" s="2793"/>
      <c r="BM109" s="2793"/>
      <c r="BN109" s="2805"/>
      <c r="BO109" s="2805"/>
      <c r="BP109" s="2805"/>
      <c r="BQ109" s="2805"/>
      <c r="BR109" s="2806"/>
    </row>
    <row r="110" spans="1:70" ht="51" customHeight="1" x14ac:dyDescent="0.2">
      <c r="A110" s="2897"/>
      <c r="B110" s="2898"/>
      <c r="C110" s="2898"/>
      <c r="D110" s="2899"/>
      <c r="E110" s="2898"/>
      <c r="F110" s="2898"/>
      <c r="G110" s="2900"/>
      <c r="H110" s="2901"/>
      <c r="I110" s="2901"/>
      <c r="J110" s="2903"/>
      <c r="K110" s="2863"/>
      <c r="L110" s="2863"/>
      <c r="M110" s="2934"/>
      <c r="N110" s="2936"/>
      <c r="O110" s="2859"/>
      <c r="P110" s="2861"/>
      <c r="Q110" s="2926"/>
      <c r="R110" s="2928"/>
      <c r="S110" s="2930"/>
      <c r="T110" s="2872"/>
      <c r="U110" s="2707"/>
      <c r="V110" s="2922" t="s">
        <v>695</v>
      </c>
      <c r="W110" s="857">
        <v>103400000</v>
      </c>
      <c r="X110" s="857">
        <v>88667803</v>
      </c>
      <c r="Y110" s="857">
        <v>63901800</v>
      </c>
      <c r="Z110" s="858">
        <v>20</v>
      </c>
      <c r="AA110" s="859" t="s">
        <v>71</v>
      </c>
      <c r="AB110" s="2904"/>
      <c r="AC110" s="2904"/>
      <c r="AD110" s="2906"/>
      <c r="AE110" s="2906"/>
      <c r="AF110" s="2793"/>
      <c r="AG110" s="2793"/>
      <c r="AH110" s="2793"/>
      <c r="AI110" s="2793"/>
      <c r="AJ110" s="2793"/>
      <c r="AK110" s="2793"/>
      <c r="AL110" s="2793"/>
      <c r="AM110" s="2793"/>
      <c r="AN110" s="2793"/>
      <c r="AO110" s="2793"/>
      <c r="AP110" s="2793"/>
      <c r="AQ110" s="2793"/>
      <c r="AR110" s="2793"/>
      <c r="AS110" s="2793"/>
      <c r="AT110" s="2793"/>
      <c r="AU110" s="2793"/>
      <c r="AV110" s="2793"/>
      <c r="AW110" s="2793"/>
      <c r="AX110" s="2793"/>
      <c r="AY110" s="2793"/>
      <c r="AZ110" s="2793"/>
      <c r="BA110" s="2793"/>
      <c r="BB110" s="2793"/>
      <c r="BC110" s="2793"/>
      <c r="BD110" s="2793"/>
      <c r="BE110" s="2793"/>
      <c r="BF110" s="2799"/>
      <c r="BG110" s="2793"/>
      <c r="BH110" s="2793"/>
      <c r="BI110" s="2793"/>
      <c r="BJ110" s="2793"/>
      <c r="BK110" s="2916"/>
      <c r="BL110" s="2793"/>
      <c r="BM110" s="2793"/>
      <c r="BN110" s="2805"/>
      <c r="BO110" s="2805"/>
      <c r="BP110" s="2805"/>
      <c r="BQ110" s="2805"/>
      <c r="BR110" s="2806"/>
    </row>
    <row r="111" spans="1:70" ht="57.75" customHeight="1" x14ac:dyDescent="0.2">
      <c r="A111" s="2897"/>
      <c r="B111" s="2898"/>
      <c r="C111" s="2898"/>
      <c r="D111" s="2899"/>
      <c r="E111" s="2898"/>
      <c r="F111" s="2898"/>
      <c r="G111" s="2900"/>
      <c r="H111" s="2901"/>
      <c r="I111" s="2901"/>
      <c r="J111" s="2903"/>
      <c r="K111" s="2863"/>
      <c r="L111" s="2863"/>
      <c r="M111" s="2934"/>
      <c r="N111" s="2936"/>
      <c r="O111" s="2859"/>
      <c r="P111" s="2861"/>
      <c r="Q111" s="2926"/>
      <c r="R111" s="2928"/>
      <c r="S111" s="2930"/>
      <c r="T111" s="2872"/>
      <c r="U111" s="2707"/>
      <c r="V111" s="2835"/>
      <c r="W111" s="860">
        <v>32200000</v>
      </c>
      <c r="X111" s="861"/>
      <c r="Y111" s="861"/>
      <c r="Z111" s="816">
        <v>88</v>
      </c>
      <c r="AA111" s="832" t="s">
        <v>75</v>
      </c>
      <c r="AB111" s="2793"/>
      <c r="AC111" s="2793"/>
      <c r="AD111" s="2906"/>
      <c r="AE111" s="2906"/>
      <c r="AF111" s="2793"/>
      <c r="AG111" s="2793"/>
      <c r="AH111" s="2793"/>
      <c r="AI111" s="2793"/>
      <c r="AJ111" s="2793"/>
      <c r="AK111" s="2793"/>
      <c r="AL111" s="2793"/>
      <c r="AM111" s="2793"/>
      <c r="AN111" s="2793"/>
      <c r="AO111" s="2793"/>
      <c r="AP111" s="2793"/>
      <c r="AQ111" s="2793"/>
      <c r="AR111" s="2793"/>
      <c r="AS111" s="2793"/>
      <c r="AT111" s="2793"/>
      <c r="AU111" s="2793"/>
      <c r="AV111" s="2793"/>
      <c r="AW111" s="2793"/>
      <c r="AX111" s="2793"/>
      <c r="AY111" s="2793"/>
      <c r="AZ111" s="2793"/>
      <c r="BA111" s="2793"/>
      <c r="BB111" s="2793"/>
      <c r="BC111" s="2793"/>
      <c r="BD111" s="2793"/>
      <c r="BE111" s="2793"/>
      <c r="BF111" s="2799"/>
      <c r="BG111" s="2793"/>
      <c r="BH111" s="2793"/>
      <c r="BI111" s="2793"/>
      <c r="BJ111" s="2793"/>
      <c r="BK111" s="2916"/>
      <c r="BL111" s="2793"/>
      <c r="BM111" s="2793"/>
      <c r="BN111" s="2805"/>
      <c r="BO111" s="2805"/>
      <c r="BP111" s="2805"/>
      <c r="BQ111" s="2805"/>
      <c r="BR111" s="2806"/>
    </row>
    <row r="112" spans="1:70" ht="38.25" customHeight="1" x14ac:dyDescent="0.2">
      <c r="A112" s="2897"/>
      <c r="B112" s="2898"/>
      <c r="C112" s="2898"/>
      <c r="D112" s="2899"/>
      <c r="E112" s="2898"/>
      <c r="F112" s="2898"/>
      <c r="G112" s="2900"/>
      <c r="H112" s="2901"/>
      <c r="I112" s="2901"/>
      <c r="J112" s="2903"/>
      <c r="K112" s="2863"/>
      <c r="L112" s="2863"/>
      <c r="M112" s="2934"/>
      <c r="N112" s="2936"/>
      <c r="O112" s="2859"/>
      <c r="P112" s="2861"/>
      <c r="Q112" s="2926"/>
      <c r="R112" s="2928"/>
      <c r="S112" s="2930"/>
      <c r="T112" s="2872"/>
      <c r="U112" s="2707"/>
      <c r="V112" s="2834" t="s">
        <v>696</v>
      </c>
      <c r="W112" s="732">
        <v>2100000</v>
      </c>
      <c r="X112" s="733">
        <v>2073500</v>
      </c>
      <c r="Y112" s="733">
        <v>2073500</v>
      </c>
      <c r="Z112" s="792">
        <v>20</v>
      </c>
      <c r="AA112" s="710" t="s">
        <v>697</v>
      </c>
      <c r="AB112" s="2793"/>
      <c r="AC112" s="2793"/>
      <c r="AD112" s="2906"/>
      <c r="AE112" s="2906"/>
      <c r="AF112" s="2793"/>
      <c r="AG112" s="2793"/>
      <c r="AH112" s="2793"/>
      <c r="AI112" s="2793"/>
      <c r="AJ112" s="2793"/>
      <c r="AK112" s="2793"/>
      <c r="AL112" s="2793"/>
      <c r="AM112" s="2793"/>
      <c r="AN112" s="2793"/>
      <c r="AO112" s="2793"/>
      <c r="AP112" s="2793"/>
      <c r="AQ112" s="2793"/>
      <c r="AR112" s="2793"/>
      <c r="AS112" s="2793"/>
      <c r="AT112" s="2793"/>
      <c r="AU112" s="2793"/>
      <c r="AV112" s="2793"/>
      <c r="AW112" s="2793"/>
      <c r="AX112" s="2793"/>
      <c r="AY112" s="2793"/>
      <c r="AZ112" s="2793"/>
      <c r="BA112" s="2793"/>
      <c r="BB112" s="2793"/>
      <c r="BC112" s="2793"/>
      <c r="BD112" s="2793"/>
      <c r="BE112" s="2793"/>
      <c r="BF112" s="2799"/>
      <c r="BG112" s="2793"/>
      <c r="BH112" s="2793"/>
      <c r="BI112" s="2793"/>
      <c r="BJ112" s="2793"/>
      <c r="BK112" s="2916"/>
      <c r="BL112" s="2793"/>
      <c r="BM112" s="2793"/>
      <c r="BN112" s="2805"/>
      <c r="BO112" s="2805"/>
      <c r="BP112" s="2805"/>
      <c r="BQ112" s="2805"/>
      <c r="BR112" s="2806"/>
    </row>
    <row r="113" spans="1:70" ht="38.25" customHeight="1" x14ac:dyDescent="0.2">
      <c r="A113" s="2897"/>
      <c r="B113" s="2898"/>
      <c r="C113" s="2898"/>
      <c r="D113" s="2899"/>
      <c r="E113" s="2898"/>
      <c r="F113" s="2898"/>
      <c r="G113" s="2900"/>
      <c r="H113" s="2901"/>
      <c r="I113" s="2901"/>
      <c r="J113" s="2903"/>
      <c r="K113" s="2863"/>
      <c r="L113" s="2863"/>
      <c r="M113" s="2934"/>
      <c r="N113" s="2936"/>
      <c r="O113" s="2859"/>
      <c r="P113" s="2861"/>
      <c r="Q113" s="2926"/>
      <c r="R113" s="2928"/>
      <c r="S113" s="2930"/>
      <c r="T113" s="2872"/>
      <c r="U113" s="2707"/>
      <c r="V113" s="2923"/>
      <c r="W113" s="732">
        <v>2100000</v>
      </c>
      <c r="X113" s="733"/>
      <c r="Y113" s="733"/>
      <c r="Z113" s="792">
        <v>88</v>
      </c>
      <c r="AA113" s="735" t="s">
        <v>692</v>
      </c>
      <c r="AB113" s="2793"/>
      <c r="AC113" s="2793"/>
      <c r="AD113" s="2906"/>
      <c r="AE113" s="2906"/>
      <c r="AF113" s="2793"/>
      <c r="AG113" s="2793"/>
      <c r="AH113" s="2793"/>
      <c r="AI113" s="2793"/>
      <c r="AJ113" s="2793"/>
      <c r="AK113" s="2793"/>
      <c r="AL113" s="2793"/>
      <c r="AM113" s="2793"/>
      <c r="AN113" s="2793"/>
      <c r="AO113" s="2793"/>
      <c r="AP113" s="2793"/>
      <c r="AQ113" s="2793"/>
      <c r="AR113" s="2793"/>
      <c r="AS113" s="2793"/>
      <c r="AT113" s="2793"/>
      <c r="AU113" s="2793"/>
      <c r="AV113" s="2793"/>
      <c r="AW113" s="2793"/>
      <c r="AX113" s="2793"/>
      <c r="AY113" s="2793"/>
      <c r="AZ113" s="2793"/>
      <c r="BA113" s="2793"/>
      <c r="BB113" s="2793"/>
      <c r="BC113" s="2793"/>
      <c r="BD113" s="2793"/>
      <c r="BE113" s="2793"/>
      <c r="BF113" s="2799"/>
      <c r="BG113" s="2793"/>
      <c r="BH113" s="2793"/>
      <c r="BI113" s="2793"/>
      <c r="BJ113" s="2793"/>
      <c r="BK113" s="2916"/>
      <c r="BL113" s="2793"/>
      <c r="BM113" s="2793"/>
      <c r="BN113" s="2805"/>
      <c r="BO113" s="2805"/>
      <c r="BP113" s="2805"/>
      <c r="BQ113" s="2805"/>
      <c r="BR113" s="2806"/>
    </row>
    <row r="114" spans="1:70" ht="53.25" customHeight="1" x14ac:dyDescent="0.2">
      <c r="A114" s="2897"/>
      <c r="B114" s="2898"/>
      <c r="C114" s="2898"/>
      <c r="D114" s="2899"/>
      <c r="E114" s="2898"/>
      <c r="F114" s="2898"/>
      <c r="G114" s="2900"/>
      <c r="H114" s="2901"/>
      <c r="I114" s="2901"/>
      <c r="J114" s="2903"/>
      <c r="K114" s="2863"/>
      <c r="L114" s="2863"/>
      <c r="M114" s="2934"/>
      <c r="N114" s="2936"/>
      <c r="O114" s="2859"/>
      <c r="P114" s="2861"/>
      <c r="Q114" s="2926"/>
      <c r="R114" s="2928"/>
      <c r="S114" s="2930"/>
      <c r="T114" s="2872"/>
      <c r="U114" s="2823"/>
      <c r="V114" s="2924" t="s">
        <v>698</v>
      </c>
      <c r="W114" s="2913">
        <f>4500000-2250000</f>
        <v>2250000</v>
      </c>
      <c r="X114" s="2910">
        <f>W114</f>
        <v>2250000</v>
      </c>
      <c r="Y114" s="2910">
        <f>W114</f>
        <v>2250000</v>
      </c>
      <c r="Z114" s="2912">
        <v>20</v>
      </c>
      <c r="AA114" s="2912" t="s">
        <v>697</v>
      </c>
      <c r="AB114" s="2904"/>
      <c r="AC114" s="2904"/>
      <c r="AD114" s="2906"/>
      <c r="AE114" s="2906"/>
      <c r="AF114" s="2793"/>
      <c r="AG114" s="2793"/>
      <c r="AH114" s="2793"/>
      <c r="AI114" s="2793"/>
      <c r="AJ114" s="2793"/>
      <c r="AK114" s="2793"/>
      <c r="AL114" s="2793"/>
      <c r="AM114" s="2793"/>
      <c r="AN114" s="2793"/>
      <c r="AO114" s="2793"/>
      <c r="AP114" s="2793"/>
      <c r="AQ114" s="2793"/>
      <c r="AR114" s="2793"/>
      <c r="AS114" s="2793"/>
      <c r="AT114" s="2793"/>
      <c r="AU114" s="2793"/>
      <c r="AV114" s="2793"/>
      <c r="AW114" s="2793"/>
      <c r="AX114" s="2793"/>
      <c r="AY114" s="2793"/>
      <c r="AZ114" s="2793"/>
      <c r="BA114" s="2793"/>
      <c r="BB114" s="2793"/>
      <c r="BC114" s="2793"/>
      <c r="BD114" s="2793"/>
      <c r="BE114" s="2793"/>
      <c r="BF114" s="2799"/>
      <c r="BG114" s="2793"/>
      <c r="BH114" s="2793"/>
      <c r="BI114" s="2793"/>
      <c r="BJ114" s="2793"/>
      <c r="BK114" s="2916"/>
      <c r="BL114" s="2793"/>
      <c r="BM114" s="2793"/>
      <c r="BN114" s="2805"/>
      <c r="BO114" s="2805"/>
      <c r="BP114" s="2805"/>
      <c r="BQ114" s="2805"/>
      <c r="BR114" s="2806"/>
    </row>
    <row r="115" spans="1:70" ht="66" customHeight="1" x14ac:dyDescent="0.2">
      <c r="A115" s="2897"/>
      <c r="B115" s="2898"/>
      <c r="C115" s="2898"/>
      <c r="D115" s="2899"/>
      <c r="E115" s="2898"/>
      <c r="F115" s="2898"/>
      <c r="G115" s="2900"/>
      <c r="H115" s="2901"/>
      <c r="I115" s="2901"/>
      <c r="J115" s="2903"/>
      <c r="K115" s="2863"/>
      <c r="L115" s="2863"/>
      <c r="M115" s="2934"/>
      <c r="N115" s="2936"/>
      <c r="O115" s="2859"/>
      <c r="P115" s="2861"/>
      <c r="Q115" s="2926"/>
      <c r="R115" s="2928"/>
      <c r="S115" s="2930"/>
      <c r="T115" s="2872"/>
      <c r="U115" s="2823"/>
      <c r="V115" s="2924"/>
      <c r="W115" s="2914"/>
      <c r="X115" s="2911"/>
      <c r="Y115" s="2911"/>
      <c r="Z115" s="2902"/>
      <c r="AA115" s="2902"/>
      <c r="AB115" s="2904"/>
      <c r="AC115" s="2904"/>
      <c r="AD115" s="2906"/>
      <c r="AE115" s="2906"/>
      <c r="AF115" s="2793"/>
      <c r="AG115" s="2793"/>
      <c r="AH115" s="2793"/>
      <c r="AI115" s="2793"/>
      <c r="AJ115" s="2793"/>
      <c r="AK115" s="2793"/>
      <c r="AL115" s="2793"/>
      <c r="AM115" s="2793"/>
      <c r="AN115" s="2793"/>
      <c r="AO115" s="2793"/>
      <c r="AP115" s="2793"/>
      <c r="AQ115" s="2793"/>
      <c r="AR115" s="2793"/>
      <c r="AS115" s="2793"/>
      <c r="AT115" s="2793"/>
      <c r="AU115" s="2793"/>
      <c r="AV115" s="2793"/>
      <c r="AW115" s="2793"/>
      <c r="AX115" s="2793"/>
      <c r="AY115" s="2793"/>
      <c r="AZ115" s="2793"/>
      <c r="BA115" s="2793"/>
      <c r="BB115" s="2793"/>
      <c r="BC115" s="2793"/>
      <c r="BD115" s="2793"/>
      <c r="BE115" s="2793"/>
      <c r="BF115" s="2799"/>
      <c r="BG115" s="2793"/>
      <c r="BH115" s="2793"/>
      <c r="BI115" s="2793"/>
      <c r="BJ115" s="2793"/>
      <c r="BK115" s="2916"/>
      <c r="BL115" s="2793"/>
      <c r="BM115" s="2793"/>
      <c r="BN115" s="2805"/>
      <c r="BO115" s="2805"/>
      <c r="BP115" s="2805"/>
      <c r="BQ115" s="2805"/>
      <c r="BR115" s="2806"/>
    </row>
    <row r="116" spans="1:70" ht="76.5" customHeight="1" x14ac:dyDescent="0.2">
      <c r="A116" s="2897"/>
      <c r="B116" s="2898"/>
      <c r="C116" s="2898"/>
      <c r="D116" s="2899"/>
      <c r="E116" s="2898"/>
      <c r="F116" s="2898"/>
      <c r="G116" s="2900"/>
      <c r="H116" s="2901"/>
      <c r="I116" s="2901"/>
      <c r="J116" s="2903"/>
      <c r="K116" s="2863"/>
      <c r="L116" s="2863"/>
      <c r="M116" s="2934"/>
      <c r="N116" s="2936"/>
      <c r="O116" s="2859"/>
      <c r="P116" s="2861"/>
      <c r="Q116" s="2926"/>
      <c r="R116" s="2928"/>
      <c r="S116" s="2930"/>
      <c r="T116" s="2872"/>
      <c r="U116" s="2707"/>
      <c r="V116" s="862" t="s">
        <v>699</v>
      </c>
      <c r="W116" s="863">
        <f>0+2250000</f>
        <v>2250000</v>
      </c>
      <c r="X116" s="863">
        <v>2250000</v>
      </c>
      <c r="Y116" s="863">
        <v>2250000</v>
      </c>
      <c r="Z116" s="796">
        <v>20</v>
      </c>
      <c r="AA116" s="797" t="s">
        <v>617</v>
      </c>
      <c r="AB116" s="2905"/>
      <c r="AC116" s="2905"/>
      <c r="AD116" s="2907"/>
      <c r="AE116" s="2907"/>
      <c r="AF116" s="2794"/>
      <c r="AG116" s="2794"/>
      <c r="AH116" s="2794"/>
      <c r="AI116" s="2794"/>
      <c r="AJ116" s="2794"/>
      <c r="AK116" s="2794"/>
      <c r="AL116" s="2794"/>
      <c r="AM116" s="2794"/>
      <c r="AN116" s="2794"/>
      <c r="AO116" s="2794"/>
      <c r="AP116" s="2794"/>
      <c r="AQ116" s="2794"/>
      <c r="AR116" s="2794"/>
      <c r="AS116" s="2794"/>
      <c r="AT116" s="2794"/>
      <c r="AU116" s="2794"/>
      <c r="AV116" s="2794"/>
      <c r="AW116" s="2794"/>
      <c r="AX116" s="2794"/>
      <c r="AY116" s="2794"/>
      <c r="AZ116" s="2794"/>
      <c r="BA116" s="2794"/>
      <c r="BB116" s="2794"/>
      <c r="BC116" s="2794"/>
      <c r="BD116" s="2794"/>
      <c r="BE116" s="2794"/>
      <c r="BF116" s="2800"/>
      <c r="BG116" s="2794"/>
      <c r="BH116" s="2794"/>
      <c r="BI116" s="2794"/>
      <c r="BJ116" s="2794"/>
      <c r="BK116" s="2917"/>
      <c r="BL116" s="2794"/>
      <c r="BM116" s="2794"/>
      <c r="BN116" s="2805"/>
      <c r="BO116" s="2805"/>
      <c r="BP116" s="2805"/>
      <c r="BQ116" s="2805"/>
      <c r="BR116" s="2806"/>
    </row>
    <row r="117" spans="1:70" ht="81" customHeight="1" x14ac:dyDescent="0.2">
      <c r="A117" s="730"/>
      <c r="D117" s="731"/>
      <c r="G117" s="864"/>
      <c r="J117" s="2843">
        <v>266</v>
      </c>
      <c r="K117" s="2791" t="s">
        <v>700</v>
      </c>
      <c r="L117" s="2918" t="s">
        <v>701</v>
      </c>
      <c r="M117" s="2869">
        <v>1</v>
      </c>
      <c r="N117" s="2919">
        <v>0.6</v>
      </c>
      <c r="O117" s="2710" t="s">
        <v>702</v>
      </c>
      <c r="P117" s="2710" t="s">
        <v>703</v>
      </c>
      <c r="Q117" s="2940" t="s">
        <v>704</v>
      </c>
      <c r="R117" s="2942">
        <v>1</v>
      </c>
      <c r="S117" s="2943">
        <f>SUM(W117:W128)</f>
        <v>48000000</v>
      </c>
      <c r="T117" s="2707" t="s">
        <v>705</v>
      </c>
      <c r="U117" s="2789" t="s">
        <v>706</v>
      </c>
      <c r="V117" s="865" t="s">
        <v>707</v>
      </c>
      <c r="W117" s="866">
        <v>4800000</v>
      </c>
      <c r="X117" s="867">
        <v>4800000</v>
      </c>
      <c r="Y117" s="867">
        <v>3900000</v>
      </c>
      <c r="Z117" s="816" t="s">
        <v>682</v>
      </c>
      <c r="AA117" s="832" t="s">
        <v>617</v>
      </c>
      <c r="AB117" s="2847">
        <v>282326</v>
      </c>
      <c r="AC117" s="2847"/>
      <c r="AD117" s="2937">
        <v>292684</v>
      </c>
      <c r="AE117" s="2937"/>
      <c r="AF117" s="2847">
        <v>135912</v>
      </c>
      <c r="AG117" s="2847"/>
      <c r="AH117" s="2847">
        <v>45122</v>
      </c>
      <c r="AI117" s="2847"/>
      <c r="AJ117" s="2847">
        <v>307101</v>
      </c>
      <c r="AK117" s="2847"/>
      <c r="AL117" s="2847">
        <v>86875</v>
      </c>
      <c r="AM117" s="2847"/>
      <c r="AN117" s="2847">
        <v>2145</v>
      </c>
      <c r="AO117" s="2847"/>
      <c r="AP117" s="2847">
        <v>12718</v>
      </c>
      <c r="AQ117" s="2847"/>
      <c r="AR117" s="2847">
        <v>26</v>
      </c>
      <c r="AS117" s="2847"/>
      <c r="AT117" s="2847">
        <v>37</v>
      </c>
      <c r="AU117" s="2847"/>
      <c r="AV117" s="2847"/>
      <c r="AW117" s="2847"/>
      <c r="AX117" s="2847"/>
      <c r="AY117" s="2847"/>
      <c r="AZ117" s="2847">
        <v>43029</v>
      </c>
      <c r="BA117" s="2847"/>
      <c r="BB117" s="2945">
        <f>BB97</f>
        <v>16982</v>
      </c>
      <c r="BC117" s="2945"/>
      <c r="BD117" s="2847">
        <v>60013</v>
      </c>
      <c r="BE117" s="2847"/>
      <c r="BF117" s="2945">
        <f>AB117+AD117</f>
        <v>575010</v>
      </c>
      <c r="BG117" s="2945"/>
      <c r="BH117" s="2847">
        <v>2</v>
      </c>
      <c r="BI117" s="2945">
        <f>SUM(X117:X128)</f>
        <v>37740933</v>
      </c>
      <c r="BJ117" s="2945">
        <f>SUM(Y117:Y128)</f>
        <v>14332000</v>
      </c>
      <c r="BK117" s="2887">
        <f>BJ117/BI117</f>
        <v>0.37974683879701648</v>
      </c>
      <c r="BL117" s="2961" t="s">
        <v>618</v>
      </c>
      <c r="BM117" s="2961" t="s">
        <v>708</v>
      </c>
      <c r="BN117" s="2805">
        <v>43102</v>
      </c>
      <c r="BO117" s="2805"/>
      <c r="BP117" s="2805">
        <v>43465</v>
      </c>
      <c r="BQ117" s="2805"/>
      <c r="BR117" s="2806" t="s">
        <v>655</v>
      </c>
    </row>
    <row r="118" spans="1:70" ht="44.25" customHeight="1" x14ac:dyDescent="0.2">
      <c r="A118" s="730"/>
      <c r="D118" s="731"/>
      <c r="G118" s="864"/>
      <c r="J118" s="2806"/>
      <c r="K118" s="2707"/>
      <c r="L118" s="2804"/>
      <c r="M118" s="2811"/>
      <c r="N118" s="2919"/>
      <c r="O118" s="2706"/>
      <c r="P118" s="2706"/>
      <c r="Q118" s="2941"/>
      <c r="R118" s="2802"/>
      <c r="S118" s="2944"/>
      <c r="T118" s="2707"/>
      <c r="U118" s="2790"/>
      <c r="V118" s="865" t="s">
        <v>709</v>
      </c>
      <c r="W118" s="868">
        <v>2120000</v>
      </c>
      <c r="X118" s="869">
        <v>2115000</v>
      </c>
      <c r="Y118" s="869">
        <f>X118</f>
        <v>2115000</v>
      </c>
      <c r="Z118" s="792">
        <v>20</v>
      </c>
      <c r="AA118" s="710" t="s">
        <v>617</v>
      </c>
      <c r="AB118" s="2848"/>
      <c r="AC118" s="2848"/>
      <c r="AD118" s="2938"/>
      <c r="AE118" s="2938"/>
      <c r="AF118" s="2848"/>
      <c r="AG118" s="2848"/>
      <c r="AH118" s="2848"/>
      <c r="AI118" s="2848"/>
      <c r="AJ118" s="2848"/>
      <c r="AK118" s="2848"/>
      <c r="AL118" s="2848"/>
      <c r="AM118" s="2848"/>
      <c r="AN118" s="2848"/>
      <c r="AO118" s="2848"/>
      <c r="AP118" s="2848"/>
      <c r="AQ118" s="2848"/>
      <c r="AR118" s="2848"/>
      <c r="AS118" s="2848"/>
      <c r="AT118" s="2848"/>
      <c r="AU118" s="2848"/>
      <c r="AV118" s="2848"/>
      <c r="AW118" s="2848"/>
      <c r="AX118" s="2848"/>
      <c r="AY118" s="2848"/>
      <c r="AZ118" s="2848"/>
      <c r="BA118" s="2848"/>
      <c r="BB118" s="2946"/>
      <c r="BC118" s="2946"/>
      <c r="BD118" s="2848"/>
      <c r="BE118" s="2848"/>
      <c r="BF118" s="2946"/>
      <c r="BG118" s="2946"/>
      <c r="BH118" s="2848"/>
      <c r="BI118" s="2946"/>
      <c r="BJ118" s="2946"/>
      <c r="BK118" s="2916"/>
      <c r="BL118" s="2946"/>
      <c r="BM118" s="2962"/>
      <c r="BN118" s="2805"/>
      <c r="BO118" s="2805"/>
      <c r="BP118" s="2805"/>
      <c r="BQ118" s="2805"/>
      <c r="BR118" s="2806"/>
    </row>
    <row r="119" spans="1:70" ht="39" customHeight="1" x14ac:dyDescent="0.2">
      <c r="A119" s="730"/>
      <c r="D119" s="731"/>
      <c r="G119" s="864"/>
      <c r="J119" s="2806"/>
      <c r="K119" s="2707"/>
      <c r="L119" s="2804"/>
      <c r="M119" s="2811"/>
      <c r="N119" s="2919"/>
      <c r="O119" s="2706"/>
      <c r="P119" s="2706"/>
      <c r="Q119" s="2941"/>
      <c r="R119" s="2802"/>
      <c r="S119" s="2944"/>
      <c r="T119" s="2707"/>
      <c r="U119" s="2790"/>
      <c r="V119" s="870" t="s">
        <v>710</v>
      </c>
      <c r="W119" s="868">
        <v>14250000</v>
      </c>
      <c r="X119" s="869">
        <f>6650000+7600000</f>
        <v>14250000</v>
      </c>
      <c r="Y119" s="869">
        <v>3967000</v>
      </c>
      <c r="Z119" s="792">
        <v>20</v>
      </c>
      <c r="AA119" s="710" t="s">
        <v>617</v>
      </c>
      <c r="AB119" s="2848"/>
      <c r="AC119" s="2848"/>
      <c r="AD119" s="2938"/>
      <c r="AE119" s="2938"/>
      <c r="AF119" s="2848"/>
      <c r="AG119" s="2848"/>
      <c r="AH119" s="2848"/>
      <c r="AI119" s="2848"/>
      <c r="AJ119" s="2848"/>
      <c r="AK119" s="2848"/>
      <c r="AL119" s="2848"/>
      <c r="AM119" s="2848"/>
      <c r="AN119" s="2848"/>
      <c r="AO119" s="2848"/>
      <c r="AP119" s="2848"/>
      <c r="AQ119" s="2848"/>
      <c r="AR119" s="2848"/>
      <c r="AS119" s="2848"/>
      <c r="AT119" s="2848"/>
      <c r="AU119" s="2848"/>
      <c r="AV119" s="2848"/>
      <c r="AW119" s="2848"/>
      <c r="AX119" s="2848"/>
      <c r="AY119" s="2848"/>
      <c r="AZ119" s="2848"/>
      <c r="BA119" s="2848"/>
      <c r="BB119" s="2946"/>
      <c r="BC119" s="2946"/>
      <c r="BD119" s="2848"/>
      <c r="BE119" s="2848"/>
      <c r="BF119" s="2946"/>
      <c r="BG119" s="2946"/>
      <c r="BH119" s="2848"/>
      <c r="BI119" s="2946"/>
      <c r="BJ119" s="2946"/>
      <c r="BK119" s="2916"/>
      <c r="BL119" s="2946"/>
      <c r="BM119" s="2962"/>
      <c r="BN119" s="2805"/>
      <c r="BO119" s="2805"/>
      <c r="BP119" s="2805"/>
      <c r="BQ119" s="2805"/>
      <c r="BR119" s="2806"/>
    </row>
    <row r="120" spans="1:70" ht="91.5" customHeight="1" x14ac:dyDescent="0.2">
      <c r="A120" s="730"/>
      <c r="D120" s="731"/>
      <c r="G120" s="864"/>
      <c r="J120" s="2806"/>
      <c r="K120" s="2707"/>
      <c r="L120" s="2804"/>
      <c r="M120" s="2811"/>
      <c r="N120" s="2919"/>
      <c r="O120" s="2706"/>
      <c r="P120" s="2706"/>
      <c r="Q120" s="2941"/>
      <c r="R120" s="2802"/>
      <c r="S120" s="2944"/>
      <c r="T120" s="2707"/>
      <c r="U120" s="2790"/>
      <c r="V120" s="865" t="s">
        <v>711</v>
      </c>
      <c r="W120" s="868">
        <v>2850000</v>
      </c>
      <c r="X120" s="869">
        <v>2850000</v>
      </c>
      <c r="Y120" s="869">
        <v>2850000</v>
      </c>
      <c r="Z120" s="792" t="s">
        <v>682</v>
      </c>
      <c r="AA120" s="710" t="s">
        <v>617</v>
      </c>
      <c r="AB120" s="2848"/>
      <c r="AC120" s="2848"/>
      <c r="AD120" s="2938"/>
      <c r="AE120" s="2938"/>
      <c r="AF120" s="2848"/>
      <c r="AG120" s="2848"/>
      <c r="AH120" s="2848"/>
      <c r="AI120" s="2848"/>
      <c r="AJ120" s="2848"/>
      <c r="AK120" s="2848"/>
      <c r="AL120" s="2848"/>
      <c r="AM120" s="2848"/>
      <c r="AN120" s="2848"/>
      <c r="AO120" s="2848"/>
      <c r="AP120" s="2848"/>
      <c r="AQ120" s="2848"/>
      <c r="AR120" s="2848"/>
      <c r="AS120" s="2848"/>
      <c r="AT120" s="2848"/>
      <c r="AU120" s="2848"/>
      <c r="AV120" s="2848"/>
      <c r="AW120" s="2848"/>
      <c r="AX120" s="2848"/>
      <c r="AY120" s="2848"/>
      <c r="AZ120" s="2848"/>
      <c r="BA120" s="2848"/>
      <c r="BB120" s="2946"/>
      <c r="BC120" s="2946"/>
      <c r="BD120" s="2848"/>
      <c r="BE120" s="2848"/>
      <c r="BF120" s="2946"/>
      <c r="BG120" s="2946"/>
      <c r="BH120" s="2848"/>
      <c r="BI120" s="2946"/>
      <c r="BJ120" s="2946"/>
      <c r="BK120" s="2916"/>
      <c r="BL120" s="2946"/>
      <c r="BM120" s="2962"/>
      <c r="BN120" s="2805"/>
      <c r="BO120" s="2805"/>
      <c r="BP120" s="2805"/>
      <c r="BQ120" s="2805"/>
      <c r="BR120" s="2806"/>
    </row>
    <row r="121" spans="1:70" ht="39" customHeight="1" x14ac:dyDescent="0.2">
      <c r="A121" s="730"/>
      <c r="D121" s="731"/>
      <c r="G121" s="864"/>
      <c r="J121" s="2806"/>
      <c r="K121" s="2707"/>
      <c r="L121" s="2804"/>
      <c r="M121" s="2811"/>
      <c r="N121" s="2919"/>
      <c r="O121" s="2706"/>
      <c r="P121" s="2706"/>
      <c r="Q121" s="2941"/>
      <c r="R121" s="2802"/>
      <c r="S121" s="2944"/>
      <c r="T121" s="2707"/>
      <c r="U121" s="2790"/>
      <c r="V121" s="865" t="s">
        <v>712</v>
      </c>
      <c r="W121" s="868">
        <v>1200000</v>
      </c>
      <c r="X121" s="869">
        <f>600000+600000</f>
        <v>1200000</v>
      </c>
      <c r="Y121" s="869">
        <v>600000</v>
      </c>
      <c r="Z121" s="792">
        <v>20</v>
      </c>
      <c r="AA121" s="710" t="s">
        <v>617</v>
      </c>
      <c r="AB121" s="2848"/>
      <c r="AC121" s="2848"/>
      <c r="AD121" s="2938"/>
      <c r="AE121" s="2938"/>
      <c r="AF121" s="2848"/>
      <c r="AG121" s="2848"/>
      <c r="AH121" s="2848"/>
      <c r="AI121" s="2848"/>
      <c r="AJ121" s="2848"/>
      <c r="AK121" s="2848"/>
      <c r="AL121" s="2848"/>
      <c r="AM121" s="2848"/>
      <c r="AN121" s="2848"/>
      <c r="AO121" s="2848"/>
      <c r="AP121" s="2848"/>
      <c r="AQ121" s="2848"/>
      <c r="AR121" s="2848"/>
      <c r="AS121" s="2848"/>
      <c r="AT121" s="2848"/>
      <c r="AU121" s="2848"/>
      <c r="AV121" s="2848"/>
      <c r="AW121" s="2848"/>
      <c r="AX121" s="2848"/>
      <c r="AY121" s="2848"/>
      <c r="AZ121" s="2848"/>
      <c r="BA121" s="2848"/>
      <c r="BB121" s="2946"/>
      <c r="BC121" s="2946"/>
      <c r="BD121" s="2848"/>
      <c r="BE121" s="2848"/>
      <c r="BF121" s="2946"/>
      <c r="BG121" s="2946"/>
      <c r="BH121" s="2848"/>
      <c r="BI121" s="2946"/>
      <c r="BJ121" s="2946"/>
      <c r="BK121" s="2916"/>
      <c r="BL121" s="2946"/>
      <c r="BM121" s="2962"/>
      <c r="BN121" s="2805"/>
      <c r="BO121" s="2805"/>
      <c r="BP121" s="2805"/>
      <c r="BQ121" s="2805"/>
      <c r="BR121" s="2806"/>
    </row>
    <row r="122" spans="1:70" ht="39" customHeight="1" x14ac:dyDescent="0.2">
      <c r="A122" s="730"/>
      <c r="D122" s="731"/>
      <c r="G122" s="864"/>
      <c r="J122" s="2806"/>
      <c r="K122" s="2707"/>
      <c r="L122" s="2804"/>
      <c r="M122" s="2811"/>
      <c r="N122" s="2919"/>
      <c r="O122" s="2706"/>
      <c r="P122" s="2706"/>
      <c r="Q122" s="2941"/>
      <c r="R122" s="2802"/>
      <c r="S122" s="2944"/>
      <c r="T122" s="2707"/>
      <c r="U122" s="2790"/>
      <c r="V122" s="865" t="s">
        <v>713</v>
      </c>
      <c r="W122" s="868">
        <v>1200000</v>
      </c>
      <c r="X122" s="869">
        <f>600000+600000</f>
        <v>1200000</v>
      </c>
      <c r="Y122" s="869">
        <v>600000</v>
      </c>
      <c r="Z122" s="792">
        <v>20</v>
      </c>
      <c r="AA122" s="710" t="s">
        <v>617</v>
      </c>
      <c r="AB122" s="2848"/>
      <c r="AC122" s="2848"/>
      <c r="AD122" s="2938"/>
      <c r="AE122" s="2938"/>
      <c r="AF122" s="2848"/>
      <c r="AG122" s="2848"/>
      <c r="AH122" s="2848"/>
      <c r="AI122" s="2848"/>
      <c r="AJ122" s="2848"/>
      <c r="AK122" s="2848"/>
      <c r="AL122" s="2848"/>
      <c r="AM122" s="2848"/>
      <c r="AN122" s="2848"/>
      <c r="AO122" s="2848"/>
      <c r="AP122" s="2848"/>
      <c r="AQ122" s="2848"/>
      <c r="AR122" s="2848"/>
      <c r="AS122" s="2848"/>
      <c r="AT122" s="2848"/>
      <c r="AU122" s="2848"/>
      <c r="AV122" s="2848"/>
      <c r="AW122" s="2848"/>
      <c r="AX122" s="2848"/>
      <c r="AY122" s="2848"/>
      <c r="AZ122" s="2848"/>
      <c r="BA122" s="2848"/>
      <c r="BB122" s="2946"/>
      <c r="BC122" s="2946"/>
      <c r="BD122" s="2848"/>
      <c r="BE122" s="2848"/>
      <c r="BF122" s="2946"/>
      <c r="BG122" s="2946"/>
      <c r="BH122" s="2848"/>
      <c r="BI122" s="2946"/>
      <c r="BJ122" s="2946"/>
      <c r="BK122" s="2916"/>
      <c r="BL122" s="2946"/>
      <c r="BM122" s="2962"/>
      <c r="BN122" s="2805"/>
      <c r="BO122" s="2805"/>
      <c r="BP122" s="2805"/>
      <c r="BQ122" s="2805"/>
      <c r="BR122" s="2806"/>
    </row>
    <row r="123" spans="1:70" ht="42" customHeight="1" x14ac:dyDescent="0.2">
      <c r="A123" s="730"/>
      <c r="D123" s="731"/>
      <c r="G123" s="864"/>
      <c r="J123" s="2806"/>
      <c r="K123" s="2707"/>
      <c r="L123" s="2804"/>
      <c r="M123" s="2811"/>
      <c r="N123" s="2919"/>
      <c r="O123" s="2706"/>
      <c r="P123" s="2706"/>
      <c r="Q123" s="2941"/>
      <c r="R123" s="2802"/>
      <c r="S123" s="2944"/>
      <c r="T123" s="2707"/>
      <c r="U123" s="2790"/>
      <c r="V123" s="865" t="s">
        <v>714</v>
      </c>
      <c r="W123" s="868">
        <v>300000</v>
      </c>
      <c r="X123" s="869">
        <v>300000</v>
      </c>
      <c r="Y123" s="869">
        <f>X123</f>
        <v>300000</v>
      </c>
      <c r="Z123" s="792">
        <v>20</v>
      </c>
      <c r="AA123" s="710" t="s">
        <v>617</v>
      </c>
      <c r="AB123" s="2848"/>
      <c r="AC123" s="2848"/>
      <c r="AD123" s="2938"/>
      <c r="AE123" s="2938"/>
      <c r="AF123" s="2848"/>
      <c r="AG123" s="2848"/>
      <c r="AH123" s="2848"/>
      <c r="AI123" s="2848"/>
      <c r="AJ123" s="2848"/>
      <c r="AK123" s="2848"/>
      <c r="AL123" s="2848"/>
      <c r="AM123" s="2848"/>
      <c r="AN123" s="2848"/>
      <c r="AO123" s="2848"/>
      <c r="AP123" s="2848"/>
      <c r="AQ123" s="2848"/>
      <c r="AR123" s="2848"/>
      <c r="AS123" s="2848"/>
      <c r="AT123" s="2848"/>
      <c r="AU123" s="2848"/>
      <c r="AV123" s="2848"/>
      <c r="AW123" s="2848"/>
      <c r="AX123" s="2848"/>
      <c r="AY123" s="2848"/>
      <c r="AZ123" s="2848"/>
      <c r="BA123" s="2848"/>
      <c r="BB123" s="2946"/>
      <c r="BC123" s="2946"/>
      <c r="BD123" s="2848"/>
      <c r="BE123" s="2848"/>
      <c r="BF123" s="2946"/>
      <c r="BG123" s="2946"/>
      <c r="BH123" s="2848"/>
      <c r="BI123" s="2946"/>
      <c r="BJ123" s="2946"/>
      <c r="BK123" s="2916"/>
      <c r="BL123" s="2946"/>
      <c r="BM123" s="2962"/>
      <c r="BN123" s="2805"/>
      <c r="BO123" s="2805"/>
      <c r="BP123" s="2805"/>
      <c r="BQ123" s="2805"/>
      <c r="BR123" s="2806"/>
    </row>
    <row r="124" spans="1:70" ht="42" customHeight="1" x14ac:dyDescent="0.2">
      <c r="A124" s="730"/>
      <c r="D124" s="731"/>
      <c r="G124" s="864"/>
      <c r="J124" s="2806"/>
      <c r="K124" s="2707"/>
      <c r="L124" s="2804"/>
      <c r="M124" s="2811"/>
      <c r="N124" s="2919"/>
      <c r="O124" s="2706"/>
      <c r="P124" s="2706"/>
      <c r="Q124" s="2941"/>
      <c r="R124" s="2802"/>
      <c r="S124" s="2944"/>
      <c r="T124" s="2707"/>
      <c r="U124" s="2790"/>
      <c r="V124" s="865" t="s">
        <v>715</v>
      </c>
      <c r="W124" s="868">
        <v>3760000</v>
      </c>
      <c r="X124" s="869">
        <v>1025933</v>
      </c>
      <c r="Y124" s="869"/>
      <c r="Z124" s="792">
        <v>20</v>
      </c>
      <c r="AA124" s="710" t="s">
        <v>617</v>
      </c>
      <c r="AB124" s="2848"/>
      <c r="AC124" s="2848"/>
      <c r="AD124" s="2938"/>
      <c r="AE124" s="2938"/>
      <c r="AF124" s="2848"/>
      <c r="AG124" s="2848"/>
      <c r="AH124" s="2848"/>
      <c r="AI124" s="2848"/>
      <c r="AJ124" s="2848"/>
      <c r="AK124" s="2848"/>
      <c r="AL124" s="2848"/>
      <c r="AM124" s="2848"/>
      <c r="AN124" s="2848"/>
      <c r="AO124" s="2848"/>
      <c r="AP124" s="2848"/>
      <c r="AQ124" s="2848"/>
      <c r="AR124" s="2848"/>
      <c r="AS124" s="2848"/>
      <c r="AT124" s="2848"/>
      <c r="AU124" s="2848"/>
      <c r="AV124" s="2848"/>
      <c r="AW124" s="2848"/>
      <c r="AX124" s="2848"/>
      <c r="AY124" s="2848"/>
      <c r="AZ124" s="2848"/>
      <c r="BA124" s="2848"/>
      <c r="BB124" s="2946"/>
      <c r="BC124" s="2946"/>
      <c r="BD124" s="2848"/>
      <c r="BE124" s="2848"/>
      <c r="BF124" s="2946"/>
      <c r="BG124" s="2946"/>
      <c r="BH124" s="2848"/>
      <c r="BI124" s="2946"/>
      <c r="BJ124" s="2946"/>
      <c r="BK124" s="2916"/>
      <c r="BL124" s="2946"/>
      <c r="BM124" s="2962"/>
      <c r="BN124" s="2805"/>
      <c r="BO124" s="2805"/>
      <c r="BP124" s="2805"/>
      <c r="BQ124" s="2805"/>
      <c r="BR124" s="2806"/>
    </row>
    <row r="125" spans="1:70" ht="42" customHeight="1" x14ac:dyDescent="0.2">
      <c r="A125" s="730"/>
      <c r="D125" s="731"/>
      <c r="G125" s="864"/>
      <c r="J125" s="2806"/>
      <c r="K125" s="2707"/>
      <c r="L125" s="2804"/>
      <c r="M125" s="2811"/>
      <c r="N125" s="2919"/>
      <c r="O125" s="2706"/>
      <c r="P125" s="2706"/>
      <c r="Q125" s="2941"/>
      <c r="R125" s="2802"/>
      <c r="S125" s="2944"/>
      <c r="T125" s="2707"/>
      <c r="U125" s="2790"/>
      <c r="V125" s="865" t="s">
        <v>716</v>
      </c>
      <c r="W125" s="868">
        <f>3760000</f>
        <v>3760000</v>
      </c>
      <c r="X125" s="869"/>
      <c r="Y125" s="869"/>
      <c r="Z125" s="792">
        <v>20</v>
      </c>
      <c r="AA125" s="710" t="s">
        <v>617</v>
      </c>
      <c r="AB125" s="2848"/>
      <c r="AC125" s="2848"/>
      <c r="AD125" s="2938"/>
      <c r="AE125" s="2938"/>
      <c r="AF125" s="2848"/>
      <c r="AG125" s="2848"/>
      <c r="AH125" s="2848"/>
      <c r="AI125" s="2848"/>
      <c r="AJ125" s="2848"/>
      <c r="AK125" s="2848"/>
      <c r="AL125" s="2848"/>
      <c r="AM125" s="2848"/>
      <c r="AN125" s="2848"/>
      <c r="AO125" s="2848"/>
      <c r="AP125" s="2848"/>
      <c r="AQ125" s="2848"/>
      <c r="AR125" s="2848"/>
      <c r="AS125" s="2848"/>
      <c r="AT125" s="2848"/>
      <c r="AU125" s="2848"/>
      <c r="AV125" s="2848"/>
      <c r="AW125" s="2848"/>
      <c r="AX125" s="2848"/>
      <c r="AY125" s="2848"/>
      <c r="AZ125" s="2848"/>
      <c r="BA125" s="2848"/>
      <c r="BB125" s="2946"/>
      <c r="BC125" s="2946"/>
      <c r="BD125" s="2848"/>
      <c r="BE125" s="2848"/>
      <c r="BF125" s="2946"/>
      <c r="BG125" s="2946"/>
      <c r="BH125" s="2848"/>
      <c r="BI125" s="2946"/>
      <c r="BJ125" s="2946"/>
      <c r="BK125" s="2916"/>
      <c r="BL125" s="2946"/>
      <c r="BM125" s="2962"/>
      <c r="BN125" s="2805"/>
      <c r="BO125" s="2805"/>
      <c r="BP125" s="2805"/>
      <c r="BQ125" s="2805"/>
      <c r="BR125" s="2806"/>
    </row>
    <row r="126" spans="1:70" ht="42" customHeight="1" x14ac:dyDescent="0.2">
      <c r="A126" s="730"/>
      <c r="D126" s="731"/>
      <c r="G126" s="864"/>
      <c r="J126" s="2806"/>
      <c r="K126" s="2707"/>
      <c r="L126" s="2804"/>
      <c r="M126" s="2811"/>
      <c r="N126" s="2919"/>
      <c r="O126" s="2706"/>
      <c r="P126" s="2706"/>
      <c r="Q126" s="2941"/>
      <c r="R126" s="2802"/>
      <c r="S126" s="2944"/>
      <c r="T126" s="2707"/>
      <c r="U126" s="2790"/>
      <c r="V126" s="871" t="s">
        <v>717</v>
      </c>
      <c r="W126" s="869">
        <f>0+3500000</f>
        <v>3500000</v>
      </c>
      <c r="X126" s="869">
        <f>W126</f>
        <v>3500000</v>
      </c>
      <c r="Y126" s="869"/>
      <c r="Z126" s="792">
        <v>88</v>
      </c>
      <c r="AA126" s="735" t="s">
        <v>75</v>
      </c>
      <c r="AB126" s="2848"/>
      <c r="AC126" s="2848"/>
      <c r="AD126" s="2938"/>
      <c r="AE126" s="2938"/>
      <c r="AF126" s="2848"/>
      <c r="AG126" s="2848"/>
      <c r="AH126" s="2848"/>
      <c r="AI126" s="2848"/>
      <c r="AJ126" s="2848"/>
      <c r="AK126" s="2848"/>
      <c r="AL126" s="2848"/>
      <c r="AM126" s="2848"/>
      <c r="AN126" s="2848"/>
      <c r="AO126" s="2848"/>
      <c r="AP126" s="2848"/>
      <c r="AQ126" s="2848"/>
      <c r="AR126" s="2848"/>
      <c r="AS126" s="2848"/>
      <c r="AT126" s="2848"/>
      <c r="AU126" s="2848"/>
      <c r="AV126" s="2848"/>
      <c r="AW126" s="2848"/>
      <c r="AX126" s="2848"/>
      <c r="AY126" s="2848"/>
      <c r="AZ126" s="2848"/>
      <c r="BA126" s="2848"/>
      <c r="BB126" s="2946"/>
      <c r="BC126" s="2946"/>
      <c r="BD126" s="2848"/>
      <c r="BE126" s="2848"/>
      <c r="BF126" s="2946"/>
      <c r="BG126" s="2946"/>
      <c r="BH126" s="2848"/>
      <c r="BI126" s="2946"/>
      <c r="BJ126" s="2946"/>
      <c r="BK126" s="2916"/>
      <c r="BL126" s="2946"/>
      <c r="BM126" s="2962"/>
      <c r="BN126" s="2805"/>
      <c r="BO126" s="2805"/>
      <c r="BP126" s="2805"/>
      <c r="BQ126" s="2805"/>
      <c r="BR126" s="2806"/>
    </row>
    <row r="127" spans="1:70" ht="42" customHeight="1" x14ac:dyDescent="0.2">
      <c r="A127" s="730"/>
      <c r="D127" s="731"/>
      <c r="G127" s="864"/>
      <c r="J127" s="2806"/>
      <c r="K127" s="2707"/>
      <c r="L127" s="2804"/>
      <c r="M127" s="2811"/>
      <c r="N127" s="2919"/>
      <c r="O127" s="2706"/>
      <c r="P127" s="2706"/>
      <c r="Q127" s="2941"/>
      <c r="R127" s="2802"/>
      <c r="S127" s="2944"/>
      <c r="T127" s="2707"/>
      <c r="U127" s="2791"/>
      <c r="V127" s="871" t="s">
        <v>718</v>
      </c>
      <c r="W127" s="869">
        <f>0+6500000</f>
        <v>6500000</v>
      </c>
      <c r="X127" s="869">
        <f>W127</f>
        <v>6500000</v>
      </c>
      <c r="Y127" s="869"/>
      <c r="Z127" s="792">
        <v>88</v>
      </c>
      <c r="AA127" s="735" t="s">
        <v>75</v>
      </c>
      <c r="AB127" s="2848"/>
      <c r="AC127" s="2848"/>
      <c r="AD127" s="2938"/>
      <c r="AE127" s="2938"/>
      <c r="AF127" s="2848"/>
      <c r="AG127" s="2848"/>
      <c r="AH127" s="2848"/>
      <c r="AI127" s="2848"/>
      <c r="AJ127" s="2848"/>
      <c r="AK127" s="2848"/>
      <c r="AL127" s="2848"/>
      <c r="AM127" s="2848"/>
      <c r="AN127" s="2848"/>
      <c r="AO127" s="2848"/>
      <c r="AP127" s="2848"/>
      <c r="AQ127" s="2848"/>
      <c r="AR127" s="2848"/>
      <c r="AS127" s="2848"/>
      <c r="AT127" s="2848"/>
      <c r="AU127" s="2848"/>
      <c r="AV127" s="2848"/>
      <c r="AW127" s="2848"/>
      <c r="AX127" s="2848"/>
      <c r="AY127" s="2848"/>
      <c r="AZ127" s="2848"/>
      <c r="BA127" s="2848"/>
      <c r="BB127" s="2946"/>
      <c r="BC127" s="2946"/>
      <c r="BD127" s="2848"/>
      <c r="BE127" s="2848"/>
      <c r="BF127" s="2946"/>
      <c r="BG127" s="2946"/>
      <c r="BH127" s="2848"/>
      <c r="BI127" s="2946"/>
      <c r="BJ127" s="2946"/>
      <c r="BK127" s="2916"/>
      <c r="BL127" s="2946"/>
      <c r="BM127" s="2962"/>
      <c r="BN127" s="2805"/>
      <c r="BO127" s="2805"/>
      <c r="BP127" s="2805"/>
      <c r="BQ127" s="2805"/>
      <c r="BR127" s="2806"/>
    </row>
    <row r="128" spans="1:70" ht="89.25" customHeight="1" x14ac:dyDescent="0.2">
      <c r="A128" s="730"/>
      <c r="D128" s="731"/>
      <c r="G128" s="864"/>
      <c r="J128" s="2841"/>
      <c r="K128" s="2789"/>
      <c r="L128" s="2804"/>
      <c r="M128" s="2811"/>
      <c r="N128" s="2919"/>
      <c r="O128" s="2706"/>
      <c r="P128" s="2706"/>
      <c r="Q128" s="2941"/>
      <c r="R128" s="2802"/>
      <c r="S128" s="2944"/>
      <c r="T128" s="2707"/>
      <c r="U128" s="558" t="s">
        <v>719</v>
      </c>
      <c r="V128" s="872" t="s">
        <v>720</v>
      </c>
      <c r="W128" s="868">
        <f>3760000</f>
        <v>3760000</v>
      </c>
      <c r="X128" s="868"/>
      <c r="Y128" s="868"/>
      <c r="Z128" s="565">
        <v>20</v>
      </c>
      <c r="AA128" s="873" t="s">
        <v>617</v>
      </c>
      <c r="AB128" s="2869"/>
      <c r="AC128" s="2869"/>
      <c r="AD128" s="2939"/>
      <c r="AE128" s="2939"/>
      <c r="AF128" s="2869"/>
      <c r="AG128" s="2869"/>
      <c r="AH128" s="2869"/>
      <c r="AI128" s="2869"/>
      <c r="AJ128" s="2869"/>
      <c r="AK128" s="2869"/>
      <c r="AL128" s="2869"/>
      <c r="AM128" s="2869"/>
      <c r="AN128" s="2869"/>
      <c r="AO128" s="2869"/>
      <c r="AP128" s="2869"/>
      <c r="AQ128" s="2869"/>
      <c r="AR128" s="2869"/>
      <c r="AS128" s="2869"/>
      <c r="AT128" s="2869"/>
      <c r="AU128" s="2869"/>
      <c r="AV128" s="2869"/>
      <c r="AW128" s="2869"/>
      <c r="AX128" s="2869"/>
      <c r="AY128" s="2869"/>
      <c r="AZ128" s="2869"/>
      <c r="BA128" s="2869"/>
      <c r="BB128" s="2947"/>
      <c r="BC128" s="2947"/>
      <c r="BD128" s="2869"/>
      <c r="BE128" s="2869"/>
      <c r="BF128" s="2947"/>
      <c r="BG128" s="2947"/>
      <c r="BH128" s="2848"/>
      <c r="BI128" s="2947"/>
      <c r="BJ128" s="2947"/>
      <c r="BK128" s="2917"/>
      <c r="BL128" s="2946"/>
      <c r="BM128" s="2962"/>
      <c r="BN128" s="2805"/>
      <c r="BO128" s="2805"/>
      <c r="BP128" s="2805"/>
      <c r="BQ128" s="2805"/>
      <c r="BR128" s="2806"/>
    </row>
    <row r="129" spans="1:70" s="851" customFormat="1" ht="42" customHeight="1" x14ac:dyDescent="0.2">
      <c r="A129" s="2950"/>
      <c r="B129" s="2952"/>
      <c r="C129" s="2952"/>
      <c r="D129" s="874"/>
      <c r="E129" s="874"/>
      <c r="F129" s="874"/>
      <c r="G129" s="875"/>
      <c r="H129" s="874"/>
      <c r="I129" s="874"/>
      <c r="J129" s="2954">
        <v>267</v>
      </c>
      <c r="K129" s="2955" t="s">
        <v>721</v>
      </c>
      <c r="L129" s="2956" t="s">
        <v>722</v>
      </c>
      <c r="M129" s="2958">
        <v>1</v>
      </c>
      <c r="N129" s="2960">
        <v>0.5</v>
      </c>
      <c r="O129" s="2706" t="s">
        <v>723</v>
      </c>
      <c r="P129" s="2889" t="s">
        <v>724</v>
      </c>
      <c r="Q129" s="2941" t="s">
        <v>725</v>
      </c>
      <c r="R129" s="2849">
        <f>SUM(W129+W130)/S129</f>
        <v>0.10732699054937611</v>
      </c>
      <c r="S129" s="2714">
        <f>SUM(W129:W149)</f>
        <v>232187634</v>
      </c>
      <c r="T129" s="2707" t="s">
        <v>726</v>
      </c>
      <c r="U129" s="2948" t="s">
        <v>727</v>
      </c>
      <c r="V129" s="2963" t="s">
        <v>728</v>
      </c>
      <c r="W129" s="732">
        <v>9500000</v>
      </c>
      <c r="X129" s="732">
        <v>4500000</v>
      </c>
      <c r="Y129" s="732"/>
      <c r="Z129" s="565">
        <v>20</v>
      </c>
      <c r="AA129" s="876" t="s">
        <v>86</v>
      </c>
      <c r="AB129" s="2878">
        <v>294321</v>
      </c>
      <c r="AC129" s="2878"/>
      <c r="AD129" s="2892">
        <v>283947</v>
      </c>
      <c r="AE129" s="2892"/>
      <c r="AF129" s="2811">
        <v>135754</v>
      </c>
      <c r="AG129" s="2811"/>
      <c r="AH129" s="2811">
        <v>44640</v>
      </c>
      <c r="AI129" s="2811"/>
      <c r="AJ129" s="2811">
        <v>308178</v>
      </c>
      <c r="AK129" s="2811"/>
      <c r="AL129" s="2811">
        <v>89696</v>
      </c>
      <c r="AM129" s="2811"/>
      <c r="AN129" s="2811">
        <v>2145</v>
      </c>
      <c r="AO129" s="2811"/>
      <c r="AP129" s="2811">
        <v>12718</v>
      </c>
      <c r="AQ129" s="2811"/>
      <c r="AR129" s="2811">
        <v>26</v>
      </c>
      <c r="AS129" s="2811"/>
      <c r="AT129" s="2811">
        <v>37</v>
      </c>
      <c r="AU129" s="2811"/>
      <c r="AV129" s="2811"/>
      <c r="AW129" s="2811"/>
      <c r="AX129" s="2811"/>
      <c r="AY129" s="2811"/>
      <c r="AZ129" s="2811">
        <v>54612</v>
      </c>
      <c r="BA129" s="2811"/>
      <c r="BB129" s="2811">
        <v>16982</v>
      </c>
      <c r="BC129" s="2811"/>
      <c r="BD129" s="2847">
        <v>1010</v>
      </c>
      <c r="BE129" s="2847"/>
      <c r="BF129" s="2811">
        <f>AB129+AD129</f>
        <v>578268</v>
      </c>
      <c r="BG129" s="2811"/>
      <c r="BH129" s="2847">
        <v>12</v>
      </c>
      <c r="BI129" s="2886">
        <f>SUM(X129:X149)</f>
        <v>155313500</v>
      </c>
      <c r="BJ129" s="2886">
        <f t="shared" ref="BJ129" si="0">SUM(Y129:Y149)</f>
        <v>72103000</v>
      </c>
      <c r="BK129" s="2887">
        <f>BJ129/BI129</f>
        <v>0.46424167892681578</v>
      </c>
      <c r="BL129" s="2841" t="s">
        <v>618</v>
      </c>
      <c r="BM129" s="2841" t="s">
        <v>729</v>
      </c>
      <c r="BN129" s="2805">
        <v>43102</v>
      </c>
      <c r="BO129" s="2805">
        <v>43481</v>
      </c>
      <c r="BP129" s="2805">
        <v>43465</v>
      </c>
      <c r="BQ129" s="2805">
        <v>43830</v>
      </c>
      <c r="BR129" s="2806" t="s">
        <v>655</v>
      </c>
    </row>
    <row r="130" spans="1:70" ht="45.75" customHeight="1" x14ac:dyDescent="0.2">
      <c r="A130" s="2951"/>
      <c r="B130" s="2953"/>
      <c r="C130" s="2953"/>
      <c r="D130" s="731"/>
      <c r="E130" s="874"/>
      <c r="F130" s="875"/>
      <c r="G130" s="875"/>
      <c r="H130" s="874"/>
      <c r="I130" s="877"/>
      <c r="J130" s="2954"/>
      <c r="K130" s="2955"/>
      <c r="L130" s="2957"/>
      <c r="M130" s="2959"/>
      <c r="N130" s="2960"/>
      <c r="O130" s="2706"/>
      <c r="P130" s="2889"/>
      <c r="Q130" s="2941"/>
      <c r="R130" s="2942"/>
      <c r="S130" s="2714"/>
      <c r="T130" s="2707"/>
      <c r="U130" s="2949"/>
      <c r="V130" s="2963"/>
      <c r="W130" s="732">
        <f>0+15420000</f>
        <v>15420000</v>
      </c>
      <c r="X130" s="732"/>
      <c r="Y130" s="732"/>
      <c r="Z130" s="565">
        <v>88</v>
      </c>
      <c r="AA130" s="878" t="s">
        <v>75</v>
      </c>
      <c r="AB130" s="2878"/>
      <c r="AC130" s="2878"/>
      <c r="AD130" s="2892"/>
      <c r="AE130" s="2892"/>
      <c r="AF130" s="2811"/>
      <c r="AG130" s="2811"/>
      <c r="AH130" s="2811"/>
      <c r="AI130" s="2811"/>
      <c r="AJ130" s="2811"/>
      <c r="AK130" s="2811"/>
      <c r="AL130" s="2811"/>
      <c r="AM130" s="2811"/>
      <c r="AN130" s="2811"/>
      <c r="AO130" s="2811"/>
      <c r="AP130" s="2811"/>
      <c r="AQ130" s="2811"/>
      <c r="AR130" s="2811"/>
      <c r="AS130" s="2811"/>
      <c r="AT130" s="2811"/>
      <c r="AU130" s="2811"/>
      <c r="AV130" s="2811"/>
      <c r="AW130" s="2811"/>
      <c r="AX130" s="2811"/>
      <c r="AY130" s="2811"/>
      <c r="AZ130" s="2811"/>
      <c r="BA130" s="2811"/>
      <c r="BB130" s="2811"/>
      <c r="BC130" s="2811"/>
      <c r="BD130" s="2848"/>
      <c r="BE130" s="2848"/>
      <c r="BF130" s="2811"/>
      <c r="BG130" s="2811"/>
      <c r="BH130" s="2848"/>
      <c r="BI130" s="2975"/>
      <c r="BJ130" s="2975"/>
      <c r="BK130" s="2916"/>
      <c r="BL130" s="2848"/>
      <c r="BM130" s="2848"/>
      <c r="BN130" s="2805"/>
      <c r="BO130" s="2805"/>
      <c r="BP130" s="2805"/>
      <c r="BQ130" s="2805"/>
      <c r="BR130" s="2806"/>
    </row>
    <row r="131" spans="1:70" ht="41.25" customHeight="1" x14ac:dyDescent="0.2">
      <c r="A131" s="730"/>
      <c r="D131" s="731"/>
      <c r="G131" s="864"/>
      <c r="I131" s="875"/>
      <c r="J131" s="2966">
        <v>268</v>
      </c>
      <c r="K131" s="2968" t="s">
        <v>730</v>
      </c>
      <c r="L131" s="2956" t="s">
        <v>731</v>
      </c>
      <c r="M131" s="2958">
        <v>12</v>
      </c>
      <c r="N131" s="2958">
        <v>12</v>
      </c>
      <c r="O131" s="2706"/>
      <c r="P131" s="2889"/>
      <c r="Q131" s="2941"/>
      <c r="R131" s="2849">
        <f>SUM(W131:W133)/S129</f>
        <v>0.13075631753928807</v>
      </c>
      <c r="S131" s="2714"/>
      <c r="T131" s="2707"/>
      <c r="U131" s="2707" t="s">
        <v>732</v>
      </c>
      <c r="V131" s="2971" t="s">
        <v>733</v>
      </c>
      <c r="W131" s="879">
        <v>19720000</v>
      </c>
      <c r="X131" s="860">
        <v>13616933</v>
      </c>
      <c r="Y131" s="860">
        <v>11192000</v>
      </c>
      <c r="Z131" s="880">
        <v>20</v>
      </c>
      <c r="AA131" s="802" t="s">
        <v>697</v>
      </c>
      <c r="AB131" s="2878"/>
      <c r="AC131" s="2878"/>
      <c r="AD131" s="2892"/>
      <c r="AE131" s="2892"/>
      <c r="AF131" s="2811"/>
      <c r="AG131" s="2811"/>
      <c r="AH131" s="2811"/>
      <c r="AI131" s="2811"/>
      <c r="AJ131" s="2811"/>
      <c r="AK131" s="2811"/>
      <c r="AL131" s="2811"/>
      <c r="AM131" s="2811"/>
      <c r="AN131" s="2811"/>
      <c r="AO131" s="2811"/>
      <c r="AP131" s="2811"/>
      <c r="AQ131" s="2811"/>
      <c r="AR131" s="2811"/>
      <c r="AS131" s="2811"/>
      <c r="AT131" s="2811"/>
      <c r="AU131" s="2811"/>
      <c r="AV131" s="2811"/>
      <c r="AW131" s="2811"/>
      <c r="AX131" s="2811"/>
      <c r="AY131" s="2811"/>
      <c r="AZ131" s="2811"/>
      <c r="BA131" s="2811"/>
      <c r="BB131" s="2811"/>
      <c r="BC131" s="2811"/>
      <c r="BD131" s="2848"/>
      <c r="BE131" s="2848"/>
      <c r="BF131" s="2811"/>
      <c r="BG131" s="2811"/>
      <c r="BH131" s="2848"/>
      <c r="BI131" s="2975"/>
      <c r="BJ131" s="2975"/>
      <c r="BK131" s="2916"/>
      <c r="BL131" s="2848"/>
      <c r="BM131" s="2848"/>
      <c r="BN131" s="2805"/>
      <c r="BO131" s="2805"/>
      <c r="BP131" s="2805"/>
      <c r="BQ131" s="2805"/>
      <c r="BR131" s="2806"/>
    </row>
    <row r="132" spans="1:70" ht="31.5" customHeight="1" x14ac:dyDescent="0.2">
      <c r="A132" s="730"/>
      <c r="D132" s="731"/>
      <c r="G132" s="864"/>
      <c r="I132" s="875"/>
      <c r="J132" s="2966"/>
      <c r="K132" s="2968"/>
      <c r="L132" s="2969"/>
      <c r="M132" s="2970"/>
      <c r="N132" s="2970"/>
      <c r="O132" s="2706"/>
      <c r="P132" s="2889"/>
      <c r="Q132" s="2941"/>
      <c r="R132" s="2850"/>
      <c r="S132" s="2714"/>
      <c r="T132" s="2707"/>
      <c r="U132" s="2707"/>
      <c r="V132" s="2972"/>
      <c r="W132" s="806">
        <f>0+9860000</f>
        <v>9860000</v>
      </c>
      <c r="X132" s="857"/>
      <c r="Y132" s="857"/>
      <c r="Z132" s="796">
        <v>88</v>
      </c>
      <c r="AA132" s="797" t="s">
        <v>75</v>
      </c>
      <c r="AB132" s="2878"/>
      <c r="AC132" s="2878"/>
      <c r="AD132" s="2892"/>
      <c r="AE132" s="2892"/>
      <c r="AF132" s="2811"/>
      <c r="AG132" s="2811"/>
      <c r="AH132" s="2811"/>
      <c r="AI132" s="2811"/>
      <c r="AJ132" s="2811"/>
      <c r="AK132" s="2811"/>
      <c r="AL132" s="2811"/>
      <c r="AM132" s="2811"/>
      <c r="AN132" s="2811"/>
      <c r="AO132" s="2811"/>
      <c r="AP132" s="2811"/>
      <c r="AQ132" s="2811"/>
      <c r="AR132" s="2811"/>
      <c r="AS132" s="2811"/>
      <c r="AT132" s="2811"/>
      <c r="AU132" s="2811"/>
      <c r="AV132" s="2811"/>
      <c r="AW132" s="2811"/>
      <c r="AX132" s="2811"/>
      <c r="AY132" s="2811"/>
      <c r="AZ132" s="2811"/>
      <c r="BA132" s="2811"/>
      <c r="BB132" s="2811"/>
      <c r="BC132" s="2811"/>
      <c r="BD132" s="2848"/>
      <c r="BE132" s="2848"/>
      <c r="BF132" s="2811"/>
      <c r="BG132" s="2811"/>
      <c r="BH132" s="2848"/>
      <c r="BI132" s="2975"/>
      <c r="BJ132" s="2975"/>
      <c r="BK132" s="2916"/>
      <c r="BL132" s="2848"/>
      <c r="BM132" s="2848"/>
      <c r="BN132" s="2805"/>
      <c r="BO132" s="2805"/>
      <c r="BP132" s="2805"/>
      <c r="BQ132" s="2805"/>
      <c r="BR132" s="2806"/>
    </row>
    <row r="133" spans="1:70" ht="32.25" customHeight="1" x14ac:dyDescent="0.2">
      <c r="A133" s="730"/>
      <c r="D133" s="731"/>
      <c r="G133" s="864"/>
      <c r="I133" s="875"/>
      <c r="J133" s="2967"/>
      <c r="K133" s="2835"/>
      <c r="L133" s="2957"/>
      <c r="M133" s="2959"/>
      <c r="N133" s="2959"/>
      <c r="O133" s="2706"/>
      <c r="P133" s="2889"/>
      <c r="Q133" s="2941"/>
      <c r="R133" s="2942"/>
      <c r="S133" s="2714"/>
      <c r="T133" s="2707"/>
      <c r="U133" s="2707"/>
      <c r="V133" s="881" t="s">
        <v>734</v>
      </c>
      <c r="W133" s="860">
        <v>780000</v>
      </c>
      <c r="X133" s="860">
        <v>780000</v>
      </c>
      <c r="Y133" s="860"/>
      <c r="Z133" s="575">
        <v>20</v>
      </c>
      <c r="AA133" s="575" t="s">
        <v>71</v>
      </c>
      <c r="AB133" s="2811"/>
      <c r="AC133" s="2811"/>
      <c r="AD133" s="2892"/>
      <c r="AE133" s="2892"/>
      <c r="AF133" s="2811"/>
      <c r="AG133" s="2811"/>
      <c r="AH133" s="2811"/>
      <c r="AI133" s="2811"/>
      <c r="AJ133" s="2811"/>
      <c r="AK133" s="2811"/>
      <c r="AL133" s="2811"/>
      <c r="AM133" s="2811"/>
      <c r="AN133" s="2811"/>
      <c r="AO133" s="2811"/>
      <c r="AP133" s="2811"/>
      <c r="AQ133" s="2811"/>
      <c r="AR133" s="2811"/>
      <c r="AS133" s="2811"/>
      <c r="AT133" s="2811"/>
      <c r="AU133" s="2811"/>
      <c r="AV133" s="2811"/>
      <c r="AW133" s="2811"/>
      <c r="AX133" s="2811"/>
      <c r="AY133" s="2811"/>
      <c r="AZ133" s="2811"/>
      <c r="BA133" s="2811"/>
      <c r="BB133" s="2811"/>
      <c r="BC133" s="2811"/>
      <c r="BD133" s="2848"/>
      <c r="BE133" s="2848"/>
      <c r="BF133" s="2811"/>
      <c r="BG133" s="2811"/>
      <c r="BH133" s="2848"/>
      <c r="BI133" s="2975"/>
      <c r="BJ133" s="2975"/>
      <c r="BK133" s="2916"/>
      <c r="BL133" s="2848"/>
      <c r="BM133" s="2848"/>
      <c r="BN133" s="2805"/>
      <c r="BO133" s="2805"/>
      <c r="BP133" s="2805"/>
      <c r="BQ133" s="2805"/>
      <c r="BR133" s="2806"/>
    </row>
    <row r="134" spans="1:70" ht="51.75" customHeight="1" x14ac:dyDescent="0.2">
      <c r="A134" s="730"/>
      <c r="D134" s="731"/>
      <c r="G134" s="864"/>
      <c r="I134" s="875"/>
      <c r="J134" s="2977">
        <v>269</v>
      </c>
      <c r="K134" s="2834" t="s">
        <v>735</v>
      </c>
      <c r="L134" s="2956" t="s">
        <v>736</v>
      </c>
      <c r="M134" s="2958">
        <v>12</v>
      </c>
      <c r="N134" s="2958">
        <v>12</v>
      </c>
      <c r="O134" s="2706"/>
      <c r="P134" s="2889"/>
      <c r="Q134" s="2941"/>
      <c r="R134" s="2887">
        <f>SUM(W134:W135)/S129</f>
        <v>9.0444093159586611E-2</v>
      </c>
      <c r="S134" s="2714"/>
      <c r="T134" s="2707"/>
      <c r="U134" s="2707"/>
      <c r="V134" s="881" t="s">
        <v>737</v>
      </c>
      <c r="W134" s="732">
        <v>20300000</v>
      </c>
      <c r="X134" s="732">
        <f>W134</f>
        <v>20300000</v>
      </c>
      <c r="Y134" s="732">
        <v>17915000</v>
      </c>
      <c r="Z134" s="565" t="s">
        <v>356</v>
      </c>
      <c r="AA134" s="565" t="s">
        <v>71</v>
      </c>
      <c r="AB134" s="2811"/>
      <c r="AC134" s="2811"/>
      <c r="AD134" s="2892"/>
      <c r="AE134" s="2892"/>
      <c r="AF134" s="2811"/>
      <c r="AG134" s="2811"/>
      <c r="AH134" s="2811"/>
      <c r="AI134" s="2811"/>
      <c r="AJ134" s="2811"/>
      <c r="AK134" s="2811"/>
      <c r="AL134" s="2811"/>
      <c r="AM134" s="2811"/>
      <c r="AN134" s="2811"/>
      <c r="AO134" s="2811"/>
      <c r="AP134" s="2811"/>
      <c r="AQ134" s="2811"/>
      <c r="AR134" s="2811"/>
      <c r="AS134" s="2811"/>
      <c r="AT134" s="2811"/>
      <c r="AU134" s="2811"/>
      <c r="AV134" s="2811"/>
      <c r="AW134" s="2811"/>
      <c r="AX134" s="2811"/>
      <c r="AY134" s="2811"/>
      <c r="AZ134" s="2811"/>
      <c r="BA134" s="2811"/>
      <c r="BB134" s="2811"/>
      <c r="BC134" s="2811"/>
      <c r="BD134" s="2848"/>
      <c r="BE134" s="2848"/>
      <c r="BF134" s="2811"/>
      <c r="BG134" s="2811"/>
      <c r="BH134" s="2848"/>
      <c r="BI134" s="2975"/>
      <c r="BJ134" s="2975"/>
      <c r="BK134" s="2916"/>
      <c r="BL134" s="2848"/>
      <c r="BM134" s="2848"/>
      <c r="BN134" s="2805"/>
      <c r="BO134" s="2805"/>
      <c r="BP134" s="2805"/>
      <c r="BQ134" s="2805"/>
      <c r="BR134" s="2806"/>
    </row>
    <row r="135" spans="1:70" ht="35.25" customHeight="1" x14ac:dyDescent="0.2">
      <c r="A135" s="730"/>
      <c r="D135" s="731"/>
      <c r="G135" s="864"/>
      <c r="I135" s="875"/>
      <c r="J135" s="2967"/>
      <c r="K135" s="2835"/>
      <c r="L135" s="2957"/>
      <c r="M135" s="2959"/>
      <c r="N135" s="2959"/>
      <c r="O135" s="2706"/>
      <c r="P135" s="2889"/>
      <c r="Q135" s="2941"/>
      <c r="R135" s="2917"/>
      <c r="S135" s="2714"/>
      <c r="T135" s="2707"/>
      <c r="U135" s="2707"/>
      <c r="V135" s="881" t="s">
        <v>734</v>
      </c>
      <c r="W135" s="732">
        <v>700000</v>
      </c>
      <c r="X135" s="732">
        <f>W135</f>
        <v>700000</v>
      </c>
      <c r="Y135" s="732"/>
      <c r="Z135" s="565">
        <v>20</v>
      </c>
      <c r="AA135" s="565" t="s">
        <v>71</v>
      </c>
      <c r="AB135" s="2811"/>
      <c r="AC135" s="2811"/>
      <c r="AD135" s="2892"/>
      <c r="AE135" s="2892"/>
      <c r="AF135" s="2811"/>
      <c r="AG135" s="2811"/>
      <c r="AH135" s="2811"/>
      <c r="AI135" s="2811"/>
      <c r="AJ135" s="2811"/>
      <c r="AK135" s="2811"/>
      <c r="AL135" s="2811"/>
      <c r="AM135" s="2811"/>
      <c r="AN135" s="2811"/>
      <c r="AO135" s="2811"/>
      <c r="AP135" s="2811"/>
      <c r="AQ135" s="2811"/>
      <c r="AR135" s="2811"/>
      <c r="AS135" s="2811"/>
      <c r="AT135" s="2811"/>
      <c r="AU135" s="2811"/>
      <c r="AV135" s="2811"/>
      <c r="AW135" s="2811"/>
      <c r="AX135" s="2811"/>
      <c r="AY135" s="2811"/>
      <c r="AZ135" s="2811"/>
      <c r="BA135" s="2811"/>
      <c r="BB135" s="2811"/>
      <c r="BC135" s="2811"/>
      <c r="BD135" s="2848"/>
      <c r="BE135" s="2848"/>
      <c r="BF135" s="2811"/>
      <c r="BG135" s="2811"/>
      <c r="BH135" s="2848"/>
      <c r="BI135" s="2975"/>
      <c r="BJ135" s="2975"/>
      <c r="BK135" s="2916"/>
      <c r="BL135" s="2848"/>
      <c r="BM135" s="2848"/>
      <c r="BN135" s="2805"/>
      <c r="BO135" s="2805"/>
      <c r="BP135" s="2805"/>
      <c r="BQ135" s="2805"/>
      <c r="BR135" s="2806"/>
    </row>
    <row r="136" spans="1:70" ht="61.5" customHeight="1" x14ac:dyDescent="0.2">
      <c r="A136" s="730"/>
      <c r="D136" s="731"/>
      <c r="G136" s="864"/>
      <c r="I136" s="875"/>
      <c r="J136" s="2977">
        <v>270</v>
      </c>
      <c r="K136" s="2834" t="s">
        <v>738</v>
      </c>
      <c r="L136" s="2956" t="s">
        <v>739</v>
      </c>
      <c r="M136" s="2958">
        <v>12</v>
      </c>
      <c r="N136" s="2958">
        <v>12</v>
      </c>
      <c r="O136" s="2706"/>
      <c r="P136" s="2889"/>
      <c r="Q136" s="2941"/>
      <c r="R136" s="2887">
        <f>SUM(W136:W137)/S129</f>
        <v>9.0444093159586611E-2</v>
      </c>
      <c r="S136" s="2714"/>
      <c r="T136" s="2707"/>
      <c r="U136" s="2707"/>
      <c r="V136" s="881" t="s">
        <v>740</v>
      </c>
      <c r="W136" s="732">
        <v>20300000</v>
      </c>
      <c r="X136" s="732">
        <v>17440933</v>
      </c>
      <c r="Y136" s="732"/>
      <c r="Z136" s="565">
        <v>20</v>
      </c>
      <c r="AA136" s="565" t="s">
        <v>71</v>
      </c>
      <c r="AB136" s="2811"/>
      <c r="AC136" s="2811"/>
      <c r="AD136" s="2892"/>
      <c r="AE136" s="2892"/>
      <c r="AF136" s="2811"/>
      <c r="AG136" s="2811"/>
      <c r="AH136" s="2811"/>
      <c r="AI136" s="2811"/>
      <c r="AJ136" s="2811"/>
      <c r="AK136" s="2811"/>
      <c r="AL136" s="2811"/>
      <c r="AM136" s="2811"/>
      <c r="AN136" s="2811"/>
      <c r="AO136" s="2811"/>
      <c r="AP136" s="2811"/>
      <c r="AQ136" s="2811"/>
      <c r="AR136" s="2811"/>
      <c r="AS136" s="2811"/>
      <c r="AT136" s="2811"/>
      <c r="AU136" s="2811"/>
      <c r="AV136" s="2811"/>
      <c r="AW136" s="2811"/>
      <c r="AX136" s="2811"/>
      <c r="AY136" s="2811"/>
      <c r="AZ136" s="2811"/>
      <c r="BA136" s="2811"/>
      <c r="BB136" s="2811"/>
      <c r="BC136" s="2811"/>
      <c r="BD136" s="2848"/>
      <c r="BE136" s="2848"/>
      <c r="BF136" s="2811"/>
      <c r="BG136" s="2811"/>
      <c r="BH136" s="2848"/>
      <c r="BI136" s="2975"/>
      <c r="BJ136" s="2975"/>
      <c r="BK136" s="2916"/>
      <c r="BL136" s="2848"/>
      <c r="BM136" s="2848"/>
      <c r="BN136" s="2805"/>
      <c r="BO136" s="2805"/>
      <c r="BP136" s="2805"/>
      <c r="BQ136" s="2805"/>
      <c r="BR136" s="2806"/>
    </row>
    <row r="137" spans="1:70" ht="36.75" customHeight="1" x14ac:dyDescent="0.2">
      <c r="A137" s="730"/>
      <c r="D137" s="731"/>
      <c r="G137" s="864"/>
      <c r="I137" s="875"/>
      <c r="J137" s="2967"/>
      <c r="K137" s="2835"/>
      <c r="L137" s="2957"/>
      <c r="M137" s="2959"/>
      <c r="N137" s="2959"/>
      <c r="O137" s="2706"/>
      <c r="P137" s="2889"/>
      <c r="Q137" s="2941"/>
      <c r="R137" s="2917"/>
      <c r="S137" s="2714"/>
      <c r="T137" s="2707"/>
      <c r="U137" s="2707"/>
      <c r="V137" s="881" t="s">
        <v>734</v>
      </c>
      <c r="W137" s="732">
        <v>700000</v>
      </c>
      <c r="X137" s="732">
        <v>700000</v>
      </c>
      <c r="Y137" s="732"/>
      <c r="Z137" s="565">
        <v>20</v>
      </c>
      <c r="AA137" s="565" t="s">
        <v>71</v>
      </c>
      <c r="AB137" s="2811"/>
      <c r="AC137" s="2811"/>
      <c r="AD137" s="2892"/>
      <c r="AE137" s="2892"/>
      <c r="AF137" s="2811"/>
      <c r="AG137" s="2811"/>
      <c r="AH137" s="2811"/>
      <c r="AI137" s="2811"/>
      <c r="AJ137" s="2811"/>
      <c r="AK137" s="2811"/>
      <c r="AL137" s="2811"/>
      <c r="AM137" s="2811"/>
      <c r="AN137" s="2811"/>
      <c r="AO137" s="2811"/>
      <c r="AP137" s="2811"/>
      <c r="AQ137" s="2811"/>
      <c r="AR137" s="2811"/>
      <c r="AS137" s="2811"/>
      <c r="AT137" s="2811"/>
      <c r="AU137" s="2811"/>
      <c r="AV137" s="2811"/>
      <c r="AW137" s="2811"/>
      <c r="AX137" s="2811"/>
      <c r="AY137" s="2811"/>
      <c r="AZ137" s="2811"/>
      <c r="BA137" s="2811"/>
      <c r="BB137" s="2811"/>
      <c r="BC137" s="2811"/>
      <c r="BD137" s="2848"/>
      <c r="BE137" s="2848"/>
      <c r="BF137" s="2811"/>
      <c r="BG137" s="2811"/>
      <c r="BH137" s="2848"/>
      <c r="BI137" s="2975"/>
      <c r="BJ137" s="2975"/>
      <c r="BK137" s="2916"/>
      <c r="BL137" s="2848"/>
      <c r="BM137" s="2848"/>
      <c r="BN137" s="2805"/>
      <c r="BO137" s="2805"/>
      <c r="BP137" s="2805"/>
      <c r="BQ137" s="2805"/>
      <c r="BR137" s="2806"/>
    </row>
    <row r="138" spans="1:70" ht="34.5" customHeight="1" x14ac:dyDescent="0.2">
      <c r="A138" s="730"/>
      <c r="D138" s="731"/>
      <c r="G138" s="864"/>
      <c r="I138" s="875"/>
      <c r="J138" s="2977">
        <v>271</v>
      </c>
      <c r="K138" s="2834" t="s">
        <v>741</v>
      </c>
      <c r="L138" s="2956" t="s">
        <v>739</v>
      </c>
      <c r="M138" s="2958">
        <v>12</v>
      </c>
      <c r="N138" s="2958">
        <v>12</v>
      </c>
      <c r="O138" s="2706"/>
      <c r="P138" s="2889"/>
      <c r="Q138" s="2941"/>
      <c r="R138" s="2849">
        <f>SUM(W138:W140)/S129</f>
        <v>0.17326504132429379</v>
      </c>
      <c r="S138" s="2714"/>
      <c r="T138" s="2707"/>
      <c r="U138" s="2707"/>
      <c r="V138" s="2964" t="s">
        <v>742</v>
      </c>
      <c r="W138" s="732">
        <v>37410000</v>
      </c>
      <c r="X138" s="732">
        <v>36666400</v>
      </c>
      <c r="Y138" s="732">
        <v>17915000</v>
      </c>
      <c r="Z138" s="565">
        <v>20</v>
      </c>
      <c r="AA138" s="565" t="s">
        <v>71</v>
      </c>
      <c r="AB138" s="2811"/>
      <c r="AC138" s="2811"/>
      <c r="AD138" s="2892"/>
      <c r="AE138" s="2892"/>
      <c r="AF138" s="2811"/>
      <c r="AG138" s="2811"/>
      <c r="AH138" s="2811"/>
      <c r="AI138" s="2811"/>
      <c r="AJ138" s="2811"/>
      <c r="AK138" s="2811"/>
      <c r="AL138" s="2811"/>
      <c r="AM138" s="2811"/>
      <c r="AN138" s="2811"/>
      <c r="AO138" s="2811"/>
      <c r="AP138" s="2811"/>
      <c r="AQ138" s="2811"/>
      <c r="AR138" s="2811"/>
      <c r="AS138" s="2811"/>
      <c r="AT138" s="2811"/>
      <c r="AU138" s="2811"/>
      <c r="AV138" s="2811"/>
      <c r="AW138" s="2811"/>
      <c r="AX138" s="2811"/>
      <c r="AY138" s="2811"/>
      <c r="AZ138" s="2811"/>
      <c r="BA138" s="2811"/>
      <c r="BB138" s="2811"/>
      <c r="BC138" s="2811"/>
      <c r="BD138" s="2848"/>
      <c r="BE138" s="2848"/>
      <c r="BF138" s="2811"/>
      <c r="BG138" s="2811"/>
      <c r="BH138" s="2848"/>
      <c r="BI138" s="2975"/>
      <c r="BJ138" s="2975"/>
      <c r="BK138" s="2916"/>
      <c r="BL138" s="2848"/>
      <c r="BM138" s="2848"/>
      <c r="BN138" s="2805"/>
      <c r="BO138" s="2805"/>
      <c r="BP138" s="2805"/>
      <c r="BQ138" s="2805"/>
      <c r="BR138" s="2806"/>
    </row>
    <row r="139" spans="1:70" ht="33" customHeight="1" x14ac:dyDescent="0.2">
      <c r="A139" s="730"/>
      <c r="D139" s="731"/>
      <c r="G139" s="864"/>
      <c r="I139" s="875"/>
      <c r="J139" s="2966"/>
      <c r="K139" s="2923"/>
      <c r="L139" s="2969"/>
      <c r="M139" s="2970"/>
      <c r="N139" s="2970"/>
      <c r="O139" s="2708"/>
      <c r="P139" s="2978"/>
      <c r="Q139" s="2979"/>
      <c r="R139" s="2850"/>
      <c r="S139" s="2703"/>
      <c r="T139" s="2789"/>
      <c r="U139" s="2789"/>
      <c r="V139" s="2965"/>
      <c r="W139" s="733">
        <f>0+2030000</f>
        <v>2030000</v>
      </c>
      <c r="X139" s="733">
        <v>2030000</v>
      </c>
      <c r="Y139" s="733"/>
      <c r="Z139" s="565">
        <v>88</v>
      </c>
      <c r="AA139" s="565" t="s">
        <v>131</v>
      </c>
      <c r="AB139" s="2847"/>
      <c r="AC139" s="2847"/>
      <c r="AD139" s="2937"/>
      <c r="AE139" s="2937"/>
      <c r="AF139" s="2847"/>
      <c r="AG139" s="2847"/>
      <c r="AH139" s="2847"/>
      <c r="AI139" s="2847"/>
      <c r="AJ139" s="2847"/>
      <c r="AK139" s="2847"/>
      <c r="AL139" s="2847"/>
      <c r="AM139" s="2847"/>
      <c r="AN139" s="2847"/>
      <c r="AO139" s="2847"/>
      <c r="AP139" s="2847"/>
      <c r="AQ139" s="2847"/>
      <c r="AR139" s="2847"/>
      <c r="AS139" s="2847"/>
      <c r="AT139" s="2847"/>
      <c r="AU139" s="2847"/>
      <c r="AV139" s="2847"/>
      <c r="AW139" s="2847"/>
      <c r="AX139" s="2847"/>
      <c r="AY139" s="2847"/>
      <c r="AZ139" s="2847"/>
      <c r="BA139" s="2847"/>
      <c r="BB139" s="2847"/>
      <c r="BC139" s="2847"/>
      <c r="BD139" s="2848"/>
      <c r="BE139" s="2848"/>
      <c r="BF139" s="2847"/>
      <c r="BG139" s="2847"/>
      <c r="BH139" s="2848"/>
      <c r="BI139" s="2975"/>
      <c r="BJ139" s="2975"/>
      <c r="BK139" s="2916"/>
      <c r="BL139" s="2848"/>
      <c r="BM139" s="2848"/>
      <c r="BN139" s="2838"/>
      <c r="BO139" s="2838"/>
      <c r="BP139" s="2838"/>
      <c r="BQ139" s="2838"/>
      <c r="BR139" s="2841"/>
    </row>
    <row r="140" spans="1:70" ht="37.5" customHeight="1" x14ac:dyDescent="0.2">
      <c r="A140" s="730"/>
      <c r="D140" s="731"/>
      <c r="G140" s="864"/>
      <c r="I140" s="875"/>
      <c r="J140" s="2967"/>
      <c r="K140" s="2835"/>
      <c r="L140" s="2957"/>
      <c r="M140" s="2959"/>
      <c r="N140" s="2959"/>
      <c r="O140" s="2708"/>
      <c r="P140" s="2978"/>
      <c r="Q140" s="2979"/>
      <c r="R140" s="2942"/>
      <c r="S140" s="2703"/>
      <c r="T140" s="2789"/>
      <c r="U140" s="2789"/>
      <c r="V140" s="881" t="s">
        <v>734</v>
      </c>
      <c r="W140" s="733">
        <v>790000</v>
      </c>
      <c r="X140" s="733">
        <f>W140</f>
        <v>790000</v>
      </c>
      <c r="Y140" s="733"/>
      <c r="Z140" s="565">
        <v>20</v>
      </c>
      <c r="AA140" s="565" t="s">
        <v>71</v>
      </c>
      <c r="AB140" s="2847"/>
      <c r="AC140" s="2847"/>
      <c r="AD140" s="2937"/>
      <c r="AE140" s="2937"/>
      <c r="AF140" s="2847"/>
      <c r="AG140" s="2847"/>
      <c r="AH140" s="2847"/>
      <c r="AI140" s="2847"/>
      <c r="AJ140" s="2847"/>
      <c r="AK140" s="2847"/>
      <c r="AL140" s="2847"/>
      <c r="AM140" s="2847"/>
      <c r="AN140" s="2847"/>
      <c r="AO140" s="2847"/>
      <c r="AP140" s="2847"/>
      <c r="AQ140" s="2847"/>
      <c r="AR140" s="2847"/>
      <c r="AS140" s="2847"/>
      <c r="AT140" s="2847"/>
      <c r="AU140" s="2847"/>
      <c r="AV140" s="2847"/>
      <c r="AW140" s="2847"/>
      <c r="AX140" s="2847"/>
      <c r="AY140" s="2847"/>
      <c r="AZ140" s="2847"/>
      <c r="BA140" s="2847"/>
      <c r="BB140" s="2847"/>
      <c r="BC140" s="2847"/>
      <c r="BD140" s="2848"/>
      <c r="BE140" s="2848"/>
      <c r="BF140" s="2847"/>
      <c r="BG140" s="2847"/>
      <c r="BH140" s="2848"/>
      <c r="BI140" s="2975"/>
      <c r="BJ140" s="2975"/>
      <c r="BK140" s="2916"/>
      <c r="BL140" s="2848"/>
      <c r="BM140" s="2848"/>
      <c r="BN140" s="2838"/>
      <c r="BO140" s="2838"/>
      <c r="BP140" s="2838"/>
      <c r="BQ140" s="2838"/>
      <c r="BR140" s="2841"/>
    </row>
    <row r="141" spans="1:70" ht="36" customHeight="1" x14ac:dyDescent="0.2">
      <c r="A141" s="730"/>
      <c r="D141" s="731"/>
      <c r="G141" s="864"/>
      <c r="I141" s="875"/>
      <c r="J141" s="2977">
        <v>272</v>
      </c>
      <c r="K141" s="2834" t="s">
        <v>743</v>
      </c>
      <c r="L141" s="2956" t="s">
        <v>739</v>
      </c>
      <c r="M141" s="2958">
        <v>12</v>
      </c>
      <c r="N141" s="2958">
        <v>10</v>
      </c>
      <c r="O141" s="2708"/>
      <c r="P141" s="2978"/>
      <c r="Q141" s="2979"/>
      <c r="R141" s="2849">
        <f>SUM(W141:W143)/S129</f>
        <v>0.17326504132429379</v>
      </c>
      <c r="S141" s="2703"/>
      <c r="T141" s="2789"/>
      <c r="U141" s="2789"/>
      <c r="V141" s="2964" t="s">
        <v>744</v>
      </c>
      <c r="W141" s="733">
        <v>37410000</v>
      </c>
      <c r="X141" s="732">
        <v>36666400</v>
      </c>
      <c r="Y141" s="733">
        <v>14332000</v>
      </c>
      <c r="Z141" s="565">
        <v>20</v>
      </c>
      <c r="AA141" s="565" t="s">
        <v>86</v>
      </c>
      <c r="AB141" s="2847"/>
      <c r="AC141" s="2847"/>
      <c r="AD141" s="2937"/>
      <c r="AE141" s="2937"/>
      <c r="AF141" s="2847"/>
      <c r="AG141" s="2847"/>
      <c r="AH141" s="2847"/>
      <c r="AI141" s="2847"/>
      <c r="AJ141" s="2847"/>
      <c r="AK141" s="2847"/>
      <c r="AL141" s="2847"/>
      <c r="AM141" s="2847"/>
      <c r="AN141" s="2847"/>
      <c r="AO141" s="2847"/>
      <c r="AP141" s="2847"/>
      <c r="AQ141" s="2847"/>
      <c r="AR141" s="2847"/>
      <c r="AS141" s="2847"/>
      <c r="AT141" s="2847"/>
      <c r="AU141" s="2847"/>
      <c r="AV141" s="2847"/>
      <c r="AW141" s="2847"/>
      <c r="AX141" s="2847"/>
      <c r="AY141" s="2847"/>
      <c r="AZ141" s="2847"/>
      <c r="BA141" s="2847"/>
      <c r="BB141" s="2847"/>
      <c r="BC141" s="2847"/>
      <c r="BD141" s="2848"/>
      <c r="BE141" s="2848"/>
      <c r="BF141" s="2847"/>
      <c r="BG141" s="2847"/>
      <c r="BH141" s="2848"/>
      <c r="BI141" s="2975"/>
      <c r="BJ141" s="2975"/>
      <c r="BK141" s="2916"/>
      <c r="BL141" s="2848"/>
      <c r="BM141" s="2848"/>
      <c r="BN141" s="2838"/>
      <c r="BO141" s="2838"/>
      <c r="BP141" s="2838"/>
      <c r="BQ141" s="2838"/>
      <c r="BR141" s="2841"/>
    </row>
    <row r="142" spans="1:70" ht="36" customHeight="1" x14ac:dyDescent="0.2">
      <c r="A142" s="730"/>
      <c r="D142" s="731"/>
      <c r="G142" s="864"/>
      <c r="I142" s="875"/>
      <c r="J142" s="2966"/>
      <c r="K142" s="2923"/>
      <c r="L142" s="2969"/>
      <c r="M142" s="2970"/>
      <c r="N142" s="2970"/>
      <c r="O142" s="2708"/>
      <c r="P142" s="2978"/>
      <c r="Q142" s="2979"/>
      <c r="R142" s="2850"/>
      <c r="S142" s="2703"/>
      <c r="T142" s="2789"/>
      <c r="U142" s="2789"/>
      <c r="V142" s="2965"/>
      <c r="W142" s="733">
        <f>0+2030000</f>
        <v>2030000</v>
      </c>
      <c r="X142" s="733">
        <v>1910567</v>
      </c>
      <c r="Y142" s="733"/>
      <c r="Z142" s="565">
        <v>88</v>
      </c>
      <c r="AA142" s="565" t="s">
        <v>75</v>
      </c>
      <c r="AB142" s="2847"/>
      <c r="AC142" s="2847"/>
      <c r="AD142" s="2937"/>
      <c r="AE142" s="2937"/>
      <c r="AF142" s="2847"/>
      <c r="AG142" s="2847"/>
      <c r="AH142" s="2847"/>
      <c r="AI142" s="2847"/>
      <c r="AJ142" s="2847"/>
      <c r="AK142" s="2847"/>
      <c r="AL142" s="2847"/>
      <c r="AM142" s="2847"/>
      <c r="AN142" s="2847"/>
      <c r="AO142" s="2847"/>
      <c r="AP142" s="2847"/>
      <c r="AQ142" s="2847"/>
      <c r="AR142" s="2847"/>
      <c r="AS142" s="2847"/>
      <c r="AT142" s="2847"/>
      <c r="AU142" s="2847"/>
      <c r="AV142" s="2847"/>
      <c r="AW142" s="2847"/>
      <c r="AX142" s="2847"/>
      <c r="AY142" s="2847"/>
      <c r="AZ142" s="2847"/>
      <c r="BA142" s="2847"/>
      <c r="BB142" s="2847"/>
      <c r="BC142" s="2847"/>
      <c r="BD142" s="2848"/>
      <c r="BE142" s="2848"/>
      <c r="BF142" s="2847"/>
      <c r="BG142" s="2847"/>
      <c r="BH142" s="2848"/>
      <c r="BI142" s="2975"/>
      <c r="BJ142" s="2975"/>
      <c r="BK142" s="2916"/>
      <c r="BL142" s="2848"/>
      <c r="BM142" s="2848"/>
      <c r="BN142" s="2838"/>
      <c r="BO142" s="2838"/>
      <c r="BP142" s="2838"/>
      <c r="BQ142" s="2838"/>
      <c r="BR142" s="2841"/>
    </row>
    <row r="143" spans="1:70" ht="40.5" customHeight="1" x14ac:dyDescent="0.2">
      <c r="A143" s="730"/>
      <c r="D143" s="731"/>
      <c r="G143" s="864"/>
      <c r="I143" s="875"/>
      <c r="J143" s="2966"/>
      <c r="K143" s="2923"/>
      <c r="L143" s="2957"/>
      <c r="M143" s="2959"/>
      <c r="N143" s="2959"/>
      <c r="O143" s="2708"/>
      <c r="P143" s="2978"/>
      <c r="Q143" s="2979"/>
      <c r="R143" s="2942"/>
      <c r="S143" s="2703"/>
      <c r="T143" s="2789"/>
      <c r="U143" s="2789"/>
      <c r="V143" s="881" t="s">
        <v>734</v>
      </c>
      <c r="W143" s="733">
        <v>790000</v>
      </c>
      <c r="X143" s="733">
        <f>W143</f>
        <v>790000</v>
      </c>
      <c r="Y143" s="733"/>
      <c r="Z143" s="565">
        <v>20</v>
      </c>
      <c r="AA143" s="565" t="s">
        <v>86</v>
      </c>
      <c r="AB143" s="2847"/>
      <c r="AC143" s="2847"/>
      <c r="AD143" s="2937"/>
      <c r="AE143" s="2937"/>
      <c r="AF143" s="2847"/>
      <c r="AG143" s="2847"/>
      <c r="AH143" s="2847"/>
      <c r="AI143" s="2847"/>
      <c r="AJ143" s="2847"/>
      <c r="AK143" s="2847"/>
      <c r="AL143" s="2847"/>
      <c r="AM143" s="2847"/>
      <c r="AN143" s="2847"/>
      <c r="AO143" s="2847"/>
      <c r="AP143" s="2847"/>
      <c r="AQ143" s="2847"/>
      <c r="AR143" s="2847"/>
      <c r="AS143" s="2847"/>
      <c r="AT143" s="2847"/>
      <c r="AU143" s="2847"/>
      <c r="AV143" s="2847"/>
      <c r="AW143" s="2847"/>
      <c r="AX143" s="2847"/>
      <c r="AY143" s="2847"/>
      <c r="AZ143" s="2847"/>
      <c r="BA143" s="2847"/>
      <c r="BB143" s="2847"/>
      <c r="BC143" s="2847"/>
      <c r="BD143" s="2848"/>
      <c r="BE143" s="2848"/>
      <c r="BF143" s="2847"/>
      <c r="BG143" s="2847"/>
      <c r="BH143" s="2848"/>
      <c r="BI143" s="2975"/>
      <c r="BJ143" s="2975"/>
      <c r="BK143" s="2916"/>
      <c r="BL143" s="2848"/>
      <c r="BM143" s="2848"/>
      <c r="BN143" s="2838"/>
      <c r="BO143" s="2838"/>
      <c r="BP143" s="2838"/>
      <c r="BQ143" s="2838"/>
      <c r="BR143" s="2841"/>
    </row>
    <row r="144" spans="1:70" ht="90" customHeight="1" x14ac:dyDescent="0.2">
      <c r="A144" s="730"/>
      <c r="D144" s="731"/>
      <c r="G144" s="864"/>
      <c r="J144" s="883">
        <v>273</v>
      </c>
      <c r="K144" s="884" t="s">
        <v>745</v>
      </c>
      <c r="L144" s="885" t="s">
        <v>736</v>
      </c>
      <c r="M144" s="886">
        <v>12</v>
      </c>
      <c r="N144" s="887">
        <v>9</v>
      </c>
      <c r="O144" s="2708"/>
      <c r="P144" s="2978"/>
      <c r="Q144" s="2979"/>
      <c r="R144" s="819">
        <f>SUM(W144)/S129</f>
        <v>8.1830370001530744E-3</v>
      </c>
      <c r="S144" s="2703"/>
      <c r="T144" s="2789"/>
      <c r="U144" s="2789"/>
      <c r="V144" s="881" t="s">
        <v>734</v>
      </c>
      <c r="W144" s="733">
        <v>1900000</v>
      </c>
      <c r="X144" s="733">
        <f>W144</f>
        <v>1900000</v>
      </c>
      <c r="Y144" s="733"/>
      <c r="Z144" s="565">
        <v>20</v>
      </c>
      <c r="AA144" s="565" t="s">
        <v>86</v>
      </c>
      <c r="AB144" s="2847"/>
      <c r="AC144" s="2847"/>
      <c r="AD144" s="2937"/>
      <c r="AE144" s="2937"/>
      <c r="AF144" s="2847"/>
      <c r="AG144" s="2847"/>
      <c r="AH144" s="2847"/>
      <c r="AI144" s="2847"/>
      <c r="AJ144" s="2847"/>
      <c r="AK144" s="2847"/>
      <c r="AL144" s="2847"/>
      <c r="AM144" s="2847"/>
      <c r="AN144" s="2847"/>
      <c r="AO144" s="2847"/>
      <c r="AP144" s="2847"/>
      <c r="AQ144" s="2847"/>
      <c r="AR144" s="2847"/>
      <c r="AS144" s="2847"/>
      <c r="AT144" s="2847"/>
      <c r="AU144" s="2847"/>
      <c r="AV144" s="2847"/>
      <c r="AW144" s="2847"/>
      <c r="AX144" s="2847"/>
      <c r="AY144" s="2847"/>
      <c r="AZ144" s="2847"/>
      <c r="BA144" s="2847"/>
      <c r="BB144" s="2847"/>
      <c r="BC144" s="2847"/>
      <c r="BD144" s="2848"/>
      <c r="BE144" s="2848"/>
      <c r="BF144" s="2847"/>
      <c r="BG144" s="2847"/>
      <c r="BH144" s="2848"/>
      <c r="BI144" s="2975"/>
      <c r="BJ144" s="2975"/>
      <c r="BK144" s="2916"/>
      <c r="BL144" s="2848"/>
      <c r="BM144" s="2848"/>
      <c r="BN144" s="2838"/>
      <c r="BO144" s="2838"/>
      <c r="BP144" s="2838"/>
      <c r="BQ144" s="2838"/>
      <c r="BR144" s="2841"/>
    </row>
    <row r="145" spans="1:87" ht="35.25" customHeight="1" x14ac:dyDescent="0.2">
      <c r="A145" s="730"/>
      <c r="D145" s="731"/>
      <c r="G145" s="864"/>
      <c r="J145" s="2954">
        <v>274</v>
      </c>
      <c r="K145" s="2924" t="s">
        <v>746</v>
      </c>
      <c r="L145" s="2985" t="s">
        <v>736</v>
      </c>
      <c r="M145" s="2958">
        <v>12</v>
      </c>
      <c r="N145" s="2958">
        <v>12</v>
      </c>
      <c r="O145" s="2708"/>
      <c r="P145" s="2978"/>
      <c r="Q145" s="2979"/>
      <c r="R145" s="2849">
        <f>SUM(W145:W147)/S129</f>
        <v>0.15573611469765009</v>
      </c>
      <c r="S145" s="2703"/>
      <c r="T145" s="2789"/>
      <c r="U145" s="2789"/>
      <c r="V145" s="2964" t="s">
        <v>747</v>
      </c>
      <c r="W145" s="733">
        <v>20300000</v>
      </c>
      <c r="X145" s="733">
        <v>15884633</v>
      </c>
      <c r="Y145" s="733">
        <v>10749000</v>
      </c>
      <c r="Z145" s="565">
        <v>20</v>
      </c>
      <c r="AA145" s="565" t="s">
        <v>86</v>
      </c>
      <c r="AB145" s="2847"/>
      <c r="AC145" s="2847"/>
      <c r="AD145" s="2937"/>
      <c r="AE145" s="2937"/>
      <c r="AF145" s="2847"/>
      <c r="AG145" s="2847"/>
      <c r="AH145" s="2847"/>
      <c r="AI145" s="2847"/>
      <c r="AJ145" s="2847"/>
      <c r="AK145" s="2847"/>
      <c r="AL145" s="2847"/>
      <c r="AM145" s="2847"/>
      <c r="AN145" s="2847"/>
      <c r="AO145" s="2847"/>
      <c r="AP145" s="2847"/>
      <c r="AQ145" s="2847"/>
      <c r="AR145" s="2847"/>
      <c r="AS145" s="2847"/>
      <c r="AT145" s="2847"/>
      <c r="AU145" s="2847"/>
      <c r="AV145" s="2847"/>
      <c r="AW145" s="2847"/>
      <c r="AX145" s="2847"/>
      <c r="AY145" s="2847"/>
      <c r="AZ145" s="2847"/>
      <c r="BA145" s="2847"/>
      <c r="BB145" s="2847"/>
      <c r="BC145" s="2847"/>
      <c r="BD145" s="2848"/>
      <c r="BE145" s="2848"/>
      <c r="BF145" s="2847"/>
      <c r="BG145" s="2847"/>
      <c r="BH145" s="2848"/>
      <c r="BI145" s="2975"/>
      <c r="BJ145" s="2975"/>
      <c r="BK145" s="2916"/>
      <c r="BL145" s="2848"/>
      <c r="BM145" s="2848"/>
      <c r="BN145" s="2838"/>
      <c r="BO145" s="2838"/>
      <c r="BP145" s="2838"/>
      <c r="BQ145" s="2838"/>
      <c r="BR145" s="2841"/>
    </row>
    <row r="146" spans="1:87" ht="28.5" customHeight="1" x14ac:dyDescent="0.2">
      <c r="A146" s="730"/>
      <c r="D146" s="731"/>
      <c r="G146" s="864"/>
      <c r="J146" s="2954"/>
      <c r="K146" s="2924"/>
      <c r="L146" s="2986"/>
      <c r="M146" s="2970"/>
      <c r="N146" s="2970"/>
      <c r="O146" s="2708"/>
      <c r="P146" s="2978"/>
      <c r="Q146" s="2979"/>
      <c r="R146" s="2850"/>
      <c r="S146" s="2703"/>
      <c r="T146" s="2789"/>
      <c r="U146" s="2789"/>
      <c r="V146" s="2965"/>
      <c r="W146" s="733">
        <f>0+15660000</f>
        <v>15660000</v>
      </c>
      <c r="X146" s="733"/>
      <c r="Y146" s="733"/>
      <c r="Z146" s="565">
        <v>88</v>
      </c>
      <c r="AA146" s="565" t="s">
        <v>131</v>
      </c>
      <c r="AB146" s="2847"/>
      <c r="AC146" s="2847"/>
      <c r="AD146" s="2937"/>
      <c r="AE146" s="2937"/>
      <c r="AF146" s="2847"/>
      <c r="AG146" s="2847"/>
      <c r="AH146" s="2847"/>
      <c r="AI146" s="2847"/>
      <c r="AJ146" s="2847"/>
      <c r="AK146" s="2847"/>
      <c r="AL146" s="2847"/>
      <c r="AM146" s="2847"/>
      <c r="AN146" s="2847"/>
      <c r="AO146" s="2847"/>
      <c r="AP146" s="2847"/>
      <c r="AQ146" s="2847"/>
      <c r="AR146" s="2847"/>
      <c r="AS146" s="2847"/>
      <c r="AT146" s="2847"/>
      <c r="AU146" s="2847"/>
      <c r="AV146" s="2847"/>
      <c r="AW146" s="2847"/>
      <c r="AX146" s="2847"/>
      <c r="AY146" s="2847"/>
      <c r="AZ146" s="2847"/>
      <c r="BA146" s="2847"/>
      <c r="BB146" s="2847"/>
      <c r="BC146" s="2847"/>
      <c r="BD146" s="2848"/>
      <c r="BE146" s="2848"/>
      <c r="BF146" s="2847"/>
      <c r="BG146" s="2847"/>
      <c r="BH146" s="2848"/>
      <c r="BI146" s="2975"/>
      <c r="BJ146" s="2975"/>
      <c r="BK146" s="2916"/>
      <c r="BL146" s="2848"/>
      <c r="BM146" s="2848"/>
      <c r="BN146" s="2838"/>
      <c r="BO146" s="2838"/>
      <c r="BP146" s="2838"/>
      <c r="BQ146" s="2838"/>
      <c r="BR146" s="2841"/>
    </row>
    <row r="147" spans="1:87" ht="35.25" customHeight="1" x14ac:dyDescent="0.2">
      <c r="A147" s="730"/>
      <c r="D147" s="731"/>
      <c r="G147" s="864"/>
      <c r="J147" s="2954"/>
      <c r="K147" s="2924"/>
      <c r="L147" s="2987"/>
      <c r="M147" s="2959"/>
      <c r="N147" s="2959"/>
      <c r="O147" s="2708"/>
      <c r="P147" s="2978"/>
      <c r="Q147" s="2979"/>
      <c r="R147" s="2942"/>
      <c r="S147" s="2703"/>
      <c r="T147" s="2789"/>
      <c r="U147" s="2789"/>
      <c r="V147" s="881" t="s">
        <v>734</v>
      </c>
      <c r="W147" s="820">
        <v>200000</v>
      </c>
      <c r="X147" s="820">
        <v>200000</v>
      </c>
      <c r="Y147" s="820"/>
      <c r="Z147" s="565">
        <v>20</v>
      </c>
      <c r="AA147" s="565" t="s">
        <v>86</v>
      </c>
      <c r="AB147" s="2847"/>
      <c r="AC147" s="2847"/>
      <c r="AD147" s="2937"/>
      <c r="AE147" s="2937"/>
      <c r="AF147" s="2847"/>
      <c r="AG147" s="2847"/>
      <c r="AH147" s="2847"/>
      <c r="AI147" s="2847"/>
      <c r="AJ147" s="2847"/>
      <c r="AK147" s="2847"/>
      <c r="AL147" s="2847"/>
      <c r="AM147" s="2847"/>
      <c r="AN147" s="2847"/>
      <c r="AO147" s="2847"/>
      <c r="AP147" s="2847"/>
      <c r="AQ147" s="2847"/>
      <c r="AR147" s="2847"/>
      <c r="AS147" s="2847"/>
      <c r="AT147" s="2847"/>
      <c r="AU147" s="2847"/>
      <c r="AV147" s="2847"/>
      <c r="AW147" s="2847"/>
      <c r="AX147" s="2847"/>
      <c r="AY147" s="2847"/>
      <c r="AZ147" s="2847"/>
      <c r="BA147" s="2847"/>
      <c r="BB147" s="2847"/>
      <c r="BC147" s="2847"/>
      <c r="BD147" s="2848"/>
      <c r="BE147" s="2848"/>
      <c r="BF147" s="2847"/>
      <c r="BG147" s="2847"/>
      <c r="BH147" s="2848"/>
      <c r="BI147" s="2975"/>
      <c r="BJ147" s="2975"/>
      <c r="BK147" s="2916"/>
      <c r="BL147" s="2848"/>
      <c r="BM147" s="2848"/>
      <c r="BN147" s="2838"/>
      <c r="BO147" s="2838"/>
      <c r="BP147" s="2838"/>
      <c r="BQ147" s="2838"/>
      <c r="BR147" s="2841"/>
    </row>
    <row r="148" spans="1:87" ht="48.75" customHeight="1" x14ac:dyDescent="0.2">
      <c r="A148" s="730"/>
      <c r="D148" s="731"/>
      <c r="G148" s="864"/>
      <c r="I148" s="875"/>
      <c r="J148" s="2966">
        <v>260</v>
      </c>
      <c r="K148" s="2923" t="s">
        <v>748</v>
      </c>
      <c r="L148" s="2956" t="s">
        <v>749</v>
      </c>
      <c r="M148" s="2958">
        <v>12</v>
      </c>
      <c r="N148" s="2958">
        <v>12</v>
      </c>
      <c r="O148" s="2708"/>
      <c r="P148" s="2978"/>
      <c r="Q148" s="2979"/>
      <c r="R148" s="2849">
        <f>SUM(W148:W149)/S129</f>
        <v>7.057927124577186E-2</v>
      </c>
      <c r="S148" s="2703"/>
      <c r="T148" s="2789"/>
      <c r="U148" s="2789"/>
      <c r="V148" s="881" t="s">
        <v>750</v>
      </c>
      <c r="W148" s="820">
        <v>15950000</v>
      </c>
      <c r="X148" s="820"/>
      <c r="Y148" s="820"/>
      <c r="Z148" s="565">
        <v>20</v>
      </c>
      <c r="AA148" s="565" t="s">
        <v>86</v>
      </c>
      <c r="AB148" s="2847"/>
      <c r="AC148" s="2847"/>
      <c r="AD148" s="2937"/>
      <c r="AE148" s="2937"/>
      <c r="AF148" s="2847"/>
      <c r="AG148" s="2847"/>
      <c r="AH148" s="2847"/>
      <c r="AI148" s="2847"/>
      <c r="AJ148" s="2847"/>
      <c r="AK148" s="2847"/>
      <c r="AL148" s="2847"/>
      <c r="AM148" s="2847"/>
      <c r="AN148" s="2847"/>
      <c r="AO148" s="2847"/>
      <c r="AP148" s="2847"/>
      <c r="AQ148" s="2847"/>
      <c r="AR148" s="2847"/>
      <c r="AS148" s="2847"/>
      <c r="AT148" s="2847"/>
      <c r="AU148" s="2847"/>
      <c r="AV148" s="2847"/>
      <c r="AW148" s="2847"/>
      <c r="AX148" s="2847"/>
      <c r="AY148" s="2847"/>
      <c r="AZ148" s="2847"/>
      <c r="BA148" s="2847"/>
      <c r="BB148" s="2847"/>
      <c r="BC148" s="2847"/>
      <c r="BD148" s="2848"/>
      <c r="BE148" s="2848"/>
      <c r="BF148" s="2847"/>
      <c r="BG148" s="2847"/>
      <c r="BH148" s="2848"/>
      <c r="BI148" s="2975"/>
      <c r="BJ148" s="2975"/>
      <c r="BK148" s="2916"/>
      <c r="BL148" s="2848"/>
      <c r="BM148" s="2848"/>
      <c r="BN148" s="2838"/>
      <c r="BO148" s="2838"/>
      <c r="BP148" s="2838"/>
      <c r="BQ148" s="2838"/>
      <c r="BR148" s="2841"/>
    </row>
    <row r="149" spans="1:87" ht="39" customHeight="1" thickBot="1" x14ac:dyDescent="0.25">
      <c r="A149" s="730"/>
      <c r="D149" s="731"/>
      <c r="G149" s="888"/>
      <c r="I149" s="875"/>
      <c r="J149" s="2980"/>
      <c r="K149" s="2981"/>
      <c r="L149" s="2982"/>
      <c r="M149" s="2983"/>
      <c r="N149" s="2983"/>
      <c r="O149" s="2708"/>
      <c r="P149" s="2978"/>
      <c r="Q149" s="2979"/>
      <c r="R149" s="2984"/>
      <c r="S149" s="2703"/>
      <c r="T149" s="2789"/>
      <c r="U149" s="2789"/>
      <c r="V149" s="881" t="s">
        <v>734</v>
      </c>
      <c r="W149" s="820">
        <v>437634</v>
      </c>
      <c r="X149" s="820">
        <v>437634</v>
      </c>
      <c r="Y149" s="820"/>
      <c r="Z149" s="565">
        <v>20</v>
      </c>
      <c r="AA149" s="565" t="s">
        <v>86</v>
      </c>
      <c r="AB149" s="2847"/>
      <c r="AC149" s="2847"/>
      <c r="AD149" s="2937"/>
      <c r="AE149" s="2937"/>
      <c r="AF149" s="2847"/>
      <c r="AG149" s="2847"/>
      <c r="AH149" s="2847"/>
      <c r="AI149" s="2847"/>
      <c r="AJ149" s="2847"/>
      <c r="AK149" s="2847"/>
      <c r="AL149" s="2847"/>
      <c r="AM149" s="2847"/>
      <c r="AN149" s="2847"/>
      <c r="AO149" s="2847"/>
      <c r="AP149" s="2847"/>
      <c r="AQ149" s="2847"/>
      <c r="AR149" s="2847"/>
      <c r="AS149" s="2847"/>
      <c r="AT149" s="2847"/>
      <c r="AU149" s="2847"/>
      <c r="AV149" s="2847"/>
      <c r="AW149" s="2847"/>
      <c r="AX149" s="2847"/>
      <c r="AY149" s="2847"/>
      <c r="AZ149" s="2847"/>
      <c r="BA149" s="2847"/>
      <c r="BB149" s="2847"/>
      <c r="BC149" s="2847"/>
      <c r="BD149" s="2848"/>
      <c r="BE149" s="2848"/>
      <c r="BF149" s="2847"/>
      <c r="BG149" s="2847"/>
      <c r="BH149" s="2974"/>
      <c r="BI149" s="2976"/>
      <c r="BJ149" s="2976"/>
      <c r="BK149" s="2973"/>
      <c r="BL149" s="2974"/>
      <c r="BM149" s="2974"/>
      <c r="BN149" s="2838"/>
      <c r="BO149" s="2838"/>
      <c r="BP149" s="2838"/>
      <c r="BQ149" s="2838"/>
      <c r="BR149" s="2841"/>
    </row>
    <row r="150" spans="1:87" ht="39.75" customHeight="1" thickBot="1" x14ac:dyDescent="0.25">
      <c r="A150" s="889"/>
      <c r="B150" s="890"/>
      <c r="C150" s="890"/>
      <c r="D150" s="890"/>
      <c r="E150" s="890"/>
      <c r="F150" s="890"/>
      <c r="G150" s="890"/>
      <c r="H150" s="890"/>
      <c r="I150" s="890"/>
      <c r="J150" s="891"/>
      <c r="K150" s="892"/>
      <c r="L150" s="893"/>
      <c r="M150" s="893"/>
      <c r="N150" s="893"/>
      <c r="O150" s="894" t="s">
        <v>104</v>
      </c>
      <c r="P150" s="895"/>
      <c r="Q150" s="892"/>
      <c r="R150" s="896"/>
      <c r="S150" s="897">
        <f>SUM(S9:S149)</f>
        <v>1489487634</v>
      </c>
      <c r="T150" s="898"/>
      <c r="U150" s="892"/>
      <c r="V150" s="899"/>
      <c r="W150" s="897">
        <f>SUM(W9:W149)</f>
        <v>1489487634</v>
      </c>
      <c r="X150" s="897">
        <f t="shared" ref="X150:Y150" si="1">SUM(X9:X149)</f>
        <v>952938590</v>
      </c>
      <c r="Y150" s="897">
        <f t="shared" si="1"/>
        <v>468991067</v>
      </c>
      <c r="Z150" s="900"/>
      <c r="AA150" s="901"/>
      <c r="AB150" s="902"/>
      <c r="AC150" s="902"/>
      <c r="AD150" s="902"/>
      <c r="AE150" s="902"/>
      <c r="AF150" s="902"/>
      <c r="AG150" s="902"/>
      <c r="AH150" s="902"/>
      <c r="AI150" s="902"/>
      <c r="AJ150" s="902"/>
      <c r="AK150" s="902"/>
      <c r="AL150" s="902"/>
      <c r="AM150" s="902"/>
      <c r="AN150" s="902"/>
      <c r="AO150" s="902"/>
      <c r="AP150" s="902"/>
      <c r="AQ150" s="902"/>
      <c r="AR150" s="902"/>
      <c r="AS150" s="902"/>
      <c r="AT150" s="902"/>
      <c r="AU150" s="902"/>
      <c r="AV150" s="902"/>
      <c r="AW150" s="902"/>
      <c r="AX150" s="902"/>
      <c r="AY150" s="902"/>
      <c r="AZ150" s="902"/>
      <c r="BA150" s="902"/>
      <c r="BB150" s="902"/>
      <c r="BC150" s="902"/>
      <c r="BD150" s="902"/>
      <c r="BE150" s="902"/>
      <c r="BF150" s="902"/>
      <c r="BG150" s="902"/>
      <c r="BH150" s="903">
        <f>SUM(BH12:BH149)</f>
        <v>58</v>
      </c>
      <c r="BI150" s="904">
        <f>SUM(BI12:BI149)</f>
        <v>952938590</v>
      </c>
      <c r="BJ150" s="904">
        <f>SUM(BJ12:BJ149)</f>
        <v>468991067</v>
      </c>
      <c r="BK150" s="905">
        <f>BJ150/BI150</f>
        <v>0.49215245549033754</v>
      </c>
      <c r="BL150" s="902"/>
      <c r="BM150" s="902"/>
      <c r="BN150" s="906"/>
      <c r="BO150" s="906"/>
      <c r="BP150" s="907"/>
      <c r="BQ150" s="907"/>
      <c r="BR150" s="908"/>
    </row>
    <row r="151" spans="1:87" ht="39.75" customHeight="1" x14ac:dyDescent="0.25">
      <c r="C151" s="910"/>
      <c r="D151" s="910"/>
      <c r="W151" s="916"/>
      <c r="X151" s="916"/>
      <c r="Y151" s="916"/>
    </row>
    <row r="152" spans="1:87" s="912" customFormat="1" ht="39.75" customHeight="1" x14ac:dyDescent="0.2">
      <c r="A152" s="909"/>
      <c r="B152" s="647"/>
      <c r="C152" s="647"/>
      <c r="D152" s="647"/>
      <c r="E152" s="647"/>
      <c r="F152" s="647"/>
      <c r="G152" s="647"/>
      <c r="H152" s="647"/>
      <c r="I152" s="647"/>
      <c r="J152" s="911"/>
      <c r="L152" s="717"/>
      <c r="M152" s="717"/>
      <c r="N152" s="717"/>
      <c r="O152" s="913"/>
      <c r="P152" s="920"/>
      <c r="Q152" s="647"/>
      <c r="R152" s="758"/>
      <c r="S152" s="921"/>
      <c r="T152" s="638"/>
      <c r="W152" s="922"/>
      <c r="X152" s="922"/>
      <c r="Y152" s="922"/>
      <c r="Z152" s="917"/>
      <c r="AA152" s="918"/>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919"/>
      <c r="BO152" s="919"/>
      <c r="BP152" s="651"/>
      <c r="BQ152" s="651"/>
      <c r="BR152" s="758"/>
      <c r="BS152" s="2"/>
      <c r="BT152" s="2"/>
      <c r="BU152" s="2"/>
      <c r="BV152" s="2"/>
      <c r="BW152" s="2"/>
      <c r="BX152" s="2"/>
      <c r="BY152" s="2"/>
      <c r="BZ152" s="2"/>
      <c r="CA152" s="2"/>
      <c r="CB152" s="2"/>
      <c r="CC152" s="2"/>
      <c r="CD152" s="2"/>
      <c r="CE152" s="2"/>
      <c r="CF152" s="2"/>
      <c r="CG152" s="2"/>
      <c r="CH152" s="2"/>
      <c r="CI152" s="2"/>
    </row>
    <row r="153" spans="1:87" s="912" customFormat="1" ht="17.25" customHeight="1" x14ac:dyDescent="0.25">
      <c r="A153" s="909"/>
      <c r="B153" s="647"/>
      <c r="C153" s="647"/>
      <c r="D153" s="647"/>
      <c r="E153" s="647"/>
      <c r="F153" s="647"/>
      <c r="G153" s="647"/>
      <c r="H153" s="647"/>
      <c r="I153" s="647"/>
      <c r="J153" s="911"/>
      <c r="L153" s="717"/>
      <c r="M153" s="717"/>
      <c r="N153" s="717"/>
      <c r="O153" s="923" t="s">
        <v>751</v>
      </c>
      <c r="P153" s="923"/>
      <c r="Q153" s="133"/>
      <c r="R153" s="134"/>
      <c r="S153" s="924"/>
      <c r="T153" s="134"/>
      <c r="W153" s="922"/>
      <c r="X153" s="922"/>
      <c r="Y153" s="922"/>
      <c r="Z153" s="917"/>
      <c r="AA153" s="918"/>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919"/>
      <c r="BO153" s="919"/>
      <c r="BP153" s="651"/>
      <c r="BQ153" s="651"/>
      <c r="BR153" s="758"/>
      <c r="BS153" s="2"/>
      <c r="BT153" s="2"/>
      <c r="BU153" s="2"/>
      <c r="BV153" s="2"/>
      <c r="BW153" s="2"/>
      <c r="BX153" s="2"/>
      <c r="BY153" s="2"/>
      <c r="BZ153" s="2"/>
      <c r="CA153" s="2"/>
      <c r="CB153" s="2"/>
      <c r="CC153" s="2"/>
      <c r="CD153" s="2"/>
      <c r="CE153" s="2"/>
      <c r="CF153" s="2"/>
      <c r="CG153" s="2"/>
      <c r="CH153" s="2"/>
      <c r="CI153" s="2"/>
    </row>
    <row r="154" spans="1:87" s="912" customFormat="1" ht="17.25" customHeight="1" x14ac:dyDescent="0.25">
      <c r="A154" s="909"/>
      <c r="B154" s="647"/>
      <c r="C154" s="647"/>
      <c r="D154" s="647"/>
      <c r="E154" s="647"/>
      <c r="F154" s="647"/>
      <c r="G154" s="647"/>
      <c r="H154" s="647"/>
      <c r="I154" s="647"/>
      <c r="J154" s="911"/>
      <c r="L154" s="717"/>
      <c r="M154" s="717"/>
      <c r="N154" s="717"/>
      <c r="O154" s="924" t="s">
        <v>752</v>
      </c>
      <c r="P154" s="924"/>
      <c r="Q154" s="134"/>
      <c r="R154" s="134"/>
      <c r="S154" s="924"/>
      <c r="T154" s="134"/>
      <c r="W154" s="922"/>
      <c r="X154" s="922"/>
      <c r="Y154" s="922"/>
      <c r="Z154" s="917"/>
      <c r="AA154" s="918"/>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919"/>
      <c r="BO154" s="919"/>
      <c r="BP154" s="651"/>
      <c r="BQ154" s="651"/>
      <c r="BR154" s="758"/>
      <c r="BS154" s="2"/>
      <c r="BT154" s="2"/>
      <c r="BU154" s="2"/>
      <c r="BV154" s="2"/>
      <c r="BW154" s="2"/>
      <c r="BX154" s="2"/>
      <c r="BY154" s="2"/>
      <c r="BZ154" s="2"/>
      <c r="CA154" s="2"/>
      <c r="CB154" s="2"/>
      <c r="CC154" s="2"/>
      <c r="CD154" s="2"/>
      <c r="CE154" s="2"/>
      <c r="CF154" s="2"/>
      <c r="CG154" s="2"/>
      <c r="CH154" s="2"/>
      <c r="CI154" s="2"/>
    </row>
  </sheetData>
  <sheetProtection password="CBEB" sheet="1" objects="1" scenarios="1"/>
  <mergeCells count="656">
    <mergeCell ref="M138:M140"/>
    <mergeCell ref="N138:N140"/>
    <mergeCell ref="R138:R140"/>
    <mergeCell ref="J148:J149"/>
    <mergeCell ref="K148:K149"/>
    <mergeCell ref="L148:L149"/>
    <mergeCell ref="M148:M149"/>
    <mergeCell ref="N148:N149"/>
    <mergeCell ref="R148:R149"/>
    <mergeCell ref="J145:J147"/>
    <mergeCell ref="K145:K147"/>
    <mergeCell ref="L145:L147"/>
    <mergeCell ref="M145:M147"/>
    <mergeCell ref="N145:N147"/>
    <mergeCell ref="R145:R147"/>
    <mergeCell ref="J136:J137"/>
    <mergeCell ref="K136:K137"/>
    <mergeCell ref="L136:L137"/>
    <mergeCell ref="M136:M137"/>
    <mergeCell ref="N136:N137"/>
    <mergeCell ref="R136:R137"/>
    <mergeCell ref="J134:J135"/>
    <mergeCell ref="K134:K135"/>
    <mergeCell ref="L134:L135"/>
    <mergeCell ref="M134:M135"/>
    <mergeCell ref="N134:N135"/>
    <mergeCell ref="R134:R135"/>
    <mergeCell ref="P129:P149"/>
    <mergeCell ref="Q129:Q149"/>
    <mergeCell ref="R129:R130"/>
    <mergeCell ref="J141:J143"/>
    <mergeCell ref="K141:K143"/>
    <mergeCell ref="L141:L143"/>
    <mergeCell ref="M141:M143"/>
    <mergeCell ref="N141:N143"/>
    <mergeCell ref="R141:R143"/>
    <mergeCell ref="J138:J140"/>
    <mergeCell ref="K138:K140"/>
    <mergeCell ref="L138:L140"/>
    <mergeCell ref="BQ129:BQ149"/>
    <mergeCell ref="BR129:BR149"/>
    <mergeCell ref="J131:J133"/>
    <mergeCell ref="K131:K133"/>
    <mergeCell ref="L131:L133"/>
    <mergeCell ref="M131:M133"/>
    <mergeCell ref="N131:N133"/>
    <mergeCell ref="R131:R133"/>
    <mergeCell ref="U131:U149"/>
    <mergeCell ref="V131:V132"/>
    <mergeCell ref="BK129:BK149"/>
    <mergeCell ref="BL129:BL149"/>
    <mergeCell ref="BM129:BM149"/>
    <mergeCell ref="BN129:BN149"/>
    <mergeCell ref="BO129:BO149"/>
    <mergeCell ref="BP129:BP149"/>
    <mergeCell ref="BE129:BE149"/>
    <mergeCell ref="BF129:BF149"/>
    <mergeCell ref="BG129:BG149"/>
    <mergeCell ref="BH129:BH149"/>
    <mergeCell ref="BI129:BI149"/>
    <mergeCell ref="BJ129:BJ149"/>
    <mergeCell ref="AY129:AY149"/>
    <mergeCell ref="AZ129:AZ149"/>
    <mergeCell ref="BA129:BA149"/>
    <mergeCell ref="BB129:BB149"/>
    <mergeCell ref="BC129:BC149"/>
    <mergeCell ref="BD129:BD149"/>
    <mergeCell ref="AS129:AS149"/>
    <mergeCell ref="AT129:AT149"/>
    <mergeCell ref="AU129:AU149"/>
    <mergeCell ref="AV129:AV149"/>
    <mergeCell ref="AW129:AW149"/>
    <mergeCell ref="AX129:AX149"/>
    <mergeCell ref="AM129:AM149"/>
    <mergeCell ref="AN129:AN149"/>
    <mergeCell ref="AO129:AO149"/>
    <mergeCell ref="AP129:AP149"/>
    <mergeCell ref="AQ129:AQ149"/>
    <mergeCell ref="AR129:AR149"/>
    <mergeCell ref="AG129:AG149"/>
    <mergeCell ref="AH129:AH149"/>
    <mergeCell ref="AI129:AI149"/>
    <mergeCell ref="AJ129:AJ149"/>
    <mergeCell ref="AK129:AK149"/>
    <mergeCell ref="AL129:AL149"/>
    <mergeCell ref="V129:V130"/>
    <mergeCell ref="AB129:AB149"/>
    <mergeCell ref="AC129:AC149"/>
    <mergeCell ref="AD129:AD149"/>
    <mergeCell ref="AE129:AE149"/>
    <mergeCell ref="AF129:AF149"/>
    <mergeCell ref="V138:V139"/>
    <mergeCell ref="V141:V142"/>
    <mergeCell ref="V145:V146"/>
    <mergeCell ref="S129:S149"/>
    <mergeCell ref="T129:T149"/>
    <mergeCell ref="U129:U130"/>
    <mergeCell ref="BR117:BR128"/>
    <mergeCell ref="A129:A130"/>
    <mergeCell ref="B129:B130"/>
    <mergeCell ref="C129:C130"/>
    <mergeCell ref="J129:J130"/>
    <mergeCell ref="K129:K130"/>
    <mergeCell ref="L129:L130"/>
    <mergeCell ref="M129:M130"/>
    <mergeCell ref="N129:N130"/>
    <mergeCell ref="O129:O149"/>
    <mergeCell ref="BL117:BL128"/>
    <mergeCell ref="BM117:BM128"/>
    <mergeCell ref="BN117:BN128"/>
    <mergeCell ref="BO117:BO128"/>
    <mergeCell ref="BP117:BP128"/>
    <mergeCell ref="BQ117:BQ128"/>
    <mergeCell ref="BF117:BF128"/>
    <mergeCell ref="BG117:BG128"/>
    <mergeCell ref="BH117:BH128"/>
    <mergeCell ref="BI117:BI128"/>
    <mergeCell ref="BJ117:BJ128"/>
    <mergeCell ref="BK117:BK128"/>
    <mergeCell ref="AZ117:AZ128"/>
    <mergeCell ref="BA117:BA128"/>
    <mergeCell ref="BB117:BB128"/>
    <mergeCell ref="BC117:BC128"/>
    <mergeCell ref="BD117:BD128"/>
    <mergeCell ref="BE117:BE128"/>
    <mergeCell ref="AT117:AT128"/>
    <mergeCell ref="AU117:AU128"/>
    <mergeCell ref="AV117:AV128"/>
    <mergeCell ref="AW117:AW128"/>
    <mergeCell ref="AX117:AX128"/>
    <mergeCell ref="AY117:AY128"/>
    <mergeCell ref="AN117:AN128"/>
    <mergeCell ref="AO117:AO128"/>
    <mergeCell ref="AP117:AP128"/>
    <mergeCell ref="AQ117:AQ128"/>
    <mergeCell ref="AR117:AR128"/>
    <mergeCell ref="AS117:AS128"/>
    <mergeCell ref="AH117:AH128"/>
    <mergeCell ref="AI117:AI128"/>
    <mergeCell ref="AJ117:AJ128"/>
    <mergeCell ref="AK117:AK128"/>
    <mergeCell ref="AL117:AL128"/>
    <mergeCell ref="AM117:AM128"/>
    <mergeCell ref="AB117:AB128"/>
    <mergeCell ref="AC117:AC128"/>
    <mergeCell ref="AD117:AD128"/>
    <mergeCell ref="AE117:AE128"/>
    <mergeCell ref="AF117:AF128"/>
    <mergeCell ref="AG117:AG128"/>
    <mergeCell ref="P117:P128"/>
    <mergeCell ref="Q117:Q128"/>
    <mergeCell ref="R117:R128"/>
    <mergeCell ref="S117:S128"/>
    <mergeCell ref="T117:T128"/>
    <mergeCell ref="U117:U127"/>
    <mergeCell ref="J117:J128"/>
    <mergeCell ref="K117:K128"/>
    <mergeCell ref="L117:L128"/>
    <mergeCell ref="M117:M128"/>
    <mergeCell ref="N117:N128"/>
    <mergeCell ref="O117:O128"/>
    <mergeCell ref="V108:V109"/>
    <mergeCell ref="V110:V111"/>
    <mergeCell ref="V112:V113"/>
    <mergeCell ref="V114:V115"/>
    <mergeCell ref="Q97:Q116"/>
    <mergeCell ref="R97:R116"/>
    <mergeCell ref="S97:S116"/>
    <mergeCell ref="T97:T116"/>
    <mergeCell ref="U97:U101"/>
    <mergeCell ref="V97:V98"/>
    <mergeCell ref="V100:V101"/>
    <mergeCell ref="U102:U104"/>
    <mergeCell ref="U105:U116"/>
    <mergeCell ref="V105:V106"/>
    <mergeCell ref="K97:K116"/>
    <mergeCell ref="L97:L116"/>
    <mergeCell ref="M97:M116"/>
    <mergeCell ref="N97:N116"/>
    <mergeCell ref="BA97:BA116"/>
    <mergeCell ref="BB97:BB116"/>
    <mergeCell ref="BC97:BC116"/>
    <mergeCell ref="BD97:BD116"/>
    <mergeCell ref="BE97:BE116"/>
    <mergeCell ref="BF97:BF116"/>
    <mergeCell ref="AU97:AU116"/>
    <mergeCell ref="AV97:AV116"/>
    <mergeCell ref="AW97:AW116"/>
    <mergeCell ref="AX97:AX116"/>
    <mergeCell ref="AY97:AY116"/>
    <mergeCell ref="AZ97:AZ116"/>
    <mergeCell ref="BM97:BM116"/>
    <mergeCell ref="BN97:BN116"/>
    <mergeCell ref="BO97:BO116"/>
    <mergeCell ref="BP97:BP116"/>
    <mergeCell ref="BQ97:BQ116"/>
    <mergeCell ref="BR97:BR116"/>
    <mergeCell ref="BG97:BG116"/>
    <mergeCell ref="BH97:BH116"/>
    <mergeCell ref="BI97:BI116"/>
    <mergeCell ref="BJ97:BJ116"/>
    <mergeCell ref="BK97:BK116"/>
    <mergeCell ref="BL97:BL116"/>
    <mergeCell ref="AO97:AO116"/>
    <mergeCell ref="AP97:AP116"/>
    <mergeCell ref="AQ97:AQ116"/>
    <mergeCell ref="AR97:AR116"/>
    <mergeCell ref="AS97:AS116"/>
    <mergeCell ref="AT97:AT116"/>
    <mergeCell ref="AI97:AI116"/>
    <mergeCell ref="AJ97:AJ116"/>
    <mergeCell ref="AK97:AK116"/>
    <mergeCell ref="AL97:AL116"/>
    <mergeCell ref="AM97:AM116"/>
    <mergeCell ref="AN97:AN116"/>
    <mergeCell ref="AC97:AC116"/>
    <mergeCell ref="AD97:AD116"/>
    <mergeCell ref="AE97:AE116"/>
    <mergeCell ref="AF97:AF116"/>
    <mergeCell ref="AG97:AG116"/>
    <mergeCell ref="AH97:AH116"/>
    <mergeCell ref="W97:W98"/>
    <mergeCell ref="X97:X98"/>
    <mergeCell ref="Y97:Y98"/>
    <mergeCell ref="Z97:Z98"/>
    <mergeCell ref="AA97:AA98"/>
    <mergeCell ref="AB97:AB116"/>
    <mergeCell ref="Y114:Y115"/>
    <mergeCell ref="Z114:Z115"/>
    <mergeCell ref="AA114:AA115"/>
    <mergeCell ref="W114:W115"/>
    <mergeCell ref="X114:X115"/>
    <mergeCell ref="O97:O116"/>
    <mergeCell ref="P97:P116"/>
    <mergeCell ref="BQ92:BQ96"/>
    <mergeCell ref="BR92:BR96"/>
    <mergeCell ref="V94:V95"/>
    <mergeCell ref="A97:A116"/>
    <mergeCell ref="B97:C116"/>
    <mergeCell ref="D97:D116"/>
    <mergeCell ref="E97:F116"/>
    <mergeCell ref="G97:G116"/>
    <mergeCell ref="H97:I116"/>
    <mergeCell ref="J97:J116"/>
    <mergeCell ref="BK92:BK96"/>
    <mergeCell ref="BL92:BL96"/>
    <mergeCell ref="BM92:BM96"/>
    <mergeCell ref="BN92:BN96"/>
    <mergeCell ref="BO92:BO96"/>
    <mergeCell ref="BP92:BP96"/>
    <mergeCell ref="BE92:BE96"/>
    <mergeCell ref="BF92:BF96"/>
    <mergeCell ref="BG92:BG96"/>
    <mergeCell ref="BH92:BH96"/>
    <mergeCell ref="BI92:BI96"/>
    <mergeCell ref="BJ92:BJ96"/>
    <mergeCell ref="AY92:AY96"/>
    <mergeCell ref="AZ92:AZ96"/>
    <mergeCell ref="BA92:BA96"/>
    <mergeCell ref="BB92:BB96"/>
    <mergeCell ref="BC92:BC96"/>
    <mergeCell ref="BD92:BD96"/>
    <mergeCell ref="AS92:AS96"/>
    <mergeCell ref="AT92:AT96"/>
    <mergeCell ref="AU92:AU96"/>
    <mergeCell ref="AV92:AV96"/>
    <mergeCell ref="AW92:AW96"/>
    <mergeCell ref="AX92:AX96"/>
    <mergeCell ref="AM92:AM96"/>
    <mergeCell ref="AN92:AN96"/>
    <mergeCell ref="AO92:AO96"/>
    <mergeCell ref="AP92:AP96"/>
    <mergeCell ref="AQ92:AQ96"/>
    <mergeCell ref="AR92:AR96"/>
    <mergeCell ref="AG92:AG96"/>
    <mergeCell ref="AH92:AH96"/>
    <mergeCell ref="AI92:AI96"/>
    <mergeCell ref="AJ92:AJ96"/>
    <mergeCell ref="AK92:AK96"/>
    <mergeCell ref="AL92:AL96"/>
    <mergeCell ref="V92:V93"/>
    <mergeCell ref="AB92:AB96"/>
    <mergeCell ref="AC92:AC96"/>
    <mergeCell ref="AD92:AD96"/>
    <mergeCell ref="AE92:AE96"/>
    <mergeCell ref="AF92:AF96"/>
    <mergeCell ref="P92:P96"/>
    <mergeCell ref="Q92:Q96"/>
    <mergeCell ref="R92:R96"/>
    <mergeCell ref="S92:S96"/>
    <mergeCell ref="T92:T96"/>
    <mergeCell ref="U92:U96"/>
    <mergeCell ref="J92:J96"/>
    <mergeCell ref="K92:K96"/>
    <mergeCell ref="L92:L96"/>
    <mergeCell ref="M92:M96"/>
    <mergeCell ref="N92:N96"/>
    <mergeCell ref="O92:O96"/>
    <mergeCell ref="BN82:BN91"/>
    <mergeCell ref="BO82:BO91"/>
    <mergeCell ref="BP82:BP91"/>
    <mergeCell ref="AQ82:AQ91"/>
    <mergeCell ref="AR82:AR91"/>
    <mergeCell ref="AS82:AS91"/>
    <mergeCell ref="AT82:AT91"/>
    <mergeCell ref="AU82:AU91"/>
    <mergeCell ref="AJ82:AJ91"/>
    <mergeCell ref="AK82:AK91"/>
    <mergeCell ref="AL82:AL91"/>
    <mergeCell ref="AM82:AM91"/>
    <mergeCell ref="AN82:AN91"/>
    <mergeCell ref="AO82:AO91"/>
    <mergeCell ref="AD82:AD91"/>
    <mergeCell ref="AE82:AE91"/>
    <mergeCell ref="AF82:AF91"/>
    <mergeCell ref="AG82:AG91"/>
    <mergeCell ref="BQ82:BQ91"/>
    <mergeCell ref="BR82:BR91"/>
    <mergeCell ref="V84:V85"/>
    <mergeCell ref="V86:V87"/>
    <mergeCell ref="V88:V89"/>
    <mergeCell ref="BH82:BH91"/>
    <mergeCell ref="BI82:BI91"/>
    <mergeCell ref="BJ82:BJ91"/>
    <mergeCell ref="BK82:BK91"/>
    <mergeCell ref="BL82:BL91"/>
    <mergeCell ref="BM82:BM91"/>
    <mergeCell ref="BB82:BB91"/>
    <mergeCell ref="BC82:BC91"/>
    <mergeCell ref="BD82:BD91"/>
    <mergeCell ref="BE82:BE91"/>
    <mergeCell ref="BF82:BF91"/>
    <mergeCell ref="BG82:BG91"/>
    <mergeCell ref="AV82:AV91"/>
    <mergeCell ref="AW82:AW91"/>
    <mergeCell ref="AX82:AX91"/>
    <mergeCell ref="AY82:AY91"/>
    <mergeCell ref="AZ82:AZ91"/>
    <mergeCell ref="BA82:BA91"/>
    <mergeCell ref="AP82:AP91"/>
    <mergeCell ref="AH82:AH91"/>
    <mergeCell ref="AI82:AI91"/>
    <mergeCell ref="S82:S91"/>
    <mergeCell ref="T82:T91"/>
    <mergeCell ref="U82:U87"/>
    <mergeCell ref="V82:V83"/>
    <mergeCell ref="AB82:AB91"/>
    <mergeCell ref="AC82:AC91"/>
    <mergeCell ref="U88:U91"/>
    <mergeCell ref="M82:M91"/>
    <mergeCell ref="N82:N91"/>
    <mergeCell ref="O82:O91"/>
    <mergeCell ref="P82:P91"/>
    <mergeCell ref="Q82:Q91"/>
    <mergeCell ref="R82:R91"/>
    <mergeCell ref="E82:F91"/>
    <mergeCell ref="G82:G91"/>
    <mergeCell ref="H82:I91"/>
    <mergeCell ref="J82:J91"/>
    <mergeCell ref="K82:K91"/>
    <mergeCell ref="L82:L91"/>
    <mergeCell ref="BQ66:BQ81"/>
    <mergeCell ref="BR66:BR81"/>
    <mergeCell ref="V68:V69"/>
    <mergeCell ref="V70:V71"/>
    <mergeCell ref="J78:J81"/>
    <mergeCell ref="K78:K81"/>
    <mergeCell ref="L78:L81"/>
    <mergeCell ref="M78:M81"/>
    <mergeCell ref="N78:N81"/>
    <mergeCell ref="R78:R81"/>
    <mergeCell ref="BK66:BK81"/>
    <mergeCell ref="BL66:BL81"/>
    <mergeCell ref="BM66:BM81"/>
    <mergeCell ref="BN66:BN81"/>
    <mergeCell ref="BO66:BO81"/>
    <mergeCell ref="BP66:BP81"/>
    <mergeCell ref="BE66:BE81"/>
    <mergeCell ref="BF66:BF81"/>
    <mergeCell ref="BG66:BG81"/>
    <mergeCell ref="BH66:BH81"/>
    <mergeCell ref="BI66:BI81"/>
    <mergeCell ref="BJ66:BJ81"/>
    <mergeCell ref="AY66:AY81"/>
    <mergeCell ref="AZ66:AZ81"/>
    <mergeCell ref="BA66:BA81"/>
    <mergeCell ref="BB66:BB81"/>
    <mergeCell ref="BC66:BC81"/>
    <mergeCell ref="BD66:BD81"/>
    <mergeCell ref="AS66:AS81"/>
    <mergeCell ref="AT66:AT81"/>
    <mergeCell ref="AU66:AU81"/>
    <mergeCell ref="AV66:AV81"/>
    <mergeCell ref="AW66:AW81"/>
    <mergeCell ref="AX66:AX81"/>
    <mergeCell ref="AM66:AM81"/>
    <mergeCell ref="AN66:AN81"/>
    <mergeCell ref="AO66:AO81"/>
    <mergeCell ref="AP66:AP81"/>
    <mergeCell ref="AQ66:AQ81"/>
    <mergeCell ref="AR66:AR81"/>
    <mergeCell ref="AG66:AG81"/>
    <mergeCell ref="AH66:AH81"/>
    <mergeCell ref="AI66:AI81"/>
    <mergeCell ref="AJ66:AJ81"/>
    <mergeCell ref="AK66:AK81"/>
    <mergeCell ref="AL66:AL81"/>
    <mergeCell ref="U66:U74"/>
    <mergeCell ref="AB66:AB81"/>
    <mergeCell ref="AC66:AC81"/>
    <mergeCell ref="AD66:AD81"/>
    <mergeCell ref="AE66:AE81"/>
    <mergeCell ref="AF66:AF81"/>
    <mergeCell ref="U78:U81"/>
    <mergeCell ref="V78:V79"/>
    <mergeCell ref="V80:V81"/>
    <mergeCell ref="O66:O81"/>
    <mergeCell ref="P66:P81"/>
    <mergeCell ref="Q66:Q81"/>
    <mergeCell ref="R66:R74"/>
    <mergeCell ref="S66:S81"/>
    <mergeCell ref="T66:T81"/>
    <mergeCell ref="BQ53:BQ63"/>
    <mergeCell ref="BR53:BR63"/>
    <mergeCell ref="U57:U61"/>
    <mergeCell ref="U62:U63"/>
    <mergeCell ref="BN53:BN63"/>
    <mergeCell ref="BO53:BO63"/>
    <mergeCell ref="BP53:BP63"/>
    <mergeCell ref="AV53:AV63"/>
    <mergeCell ref="AW53:AW63"/>
    <mergeCell ref="AX53:AX63"/>
    <mergeCell ref="AM53:AM63"/>
    <mergeCell ref="AN53:AN63"/>
    <mergeCell ref="AO53:AO63"/>
    <mergeCell ref="AP53:AP63"/>
    <mergeCell ref="AQ53:AQ63"/>
    <mergeCell ref="AR53:AR63"/>
    <mergeCell ref="AG53:AG63"/>
    <mergeCell ref="AH53:AH63"/>
    <mergeCell ref="F64:K64"/>
    <mergeCell ref="J66:J74"/>
    <mergeCell ref="K66:K74"/>
    <mergeCell ref="L66:L74"/>
    <mergeCell ref="M66:M74"/>
    <mergeCell ref="N66:N74"/>
    <mergeCell ref="BK53:BK63"/>
    <mergeCell ref="BL53:BL63"/>
    <mergeCell ref="BM53:BM63"/>
    <mergeCell ref="BE53:BE63"/>
    <mergeCell ref="BF53:BF63"/>
    <mergeCell ref="BG53:BG63"/>
    <mergeCell ref="BH53:BH63"/>
    <mergeCell ref="BI53:BI63"/>
    <mergeCell ref="BJ53:BJ63"/>
    <mergeCell ref="AY53:AY63"/>
    <mergeCell ref="AZ53:AZ63"/>
    <mergeCell ref="BA53:BA63"/>
    <mergeCell ref="BB53:BB63"/>
    <mergeCell ref="BC53:BC63"/>
    <mergeCell ref="BD53:BD63"/>
    <mergeCell ref="AS53:AS63"/>
    <mergeCell ref="AT53:AT63"/>
    <mergeCell ref="AU53:AU63"/>
    <mergeCell ref="AI53:AI63"/>
    <mergeCell ref="AJ53:AJ63"/>
    <mergeCell ref="AK53:AK63"/>
    <mergeCell ref="AL53:AL63"/>
    <mergeCell ref="U53:U56"/>
    <mergeCell ref="AB53:AB63"/>
    <mergeCell ref="AC53:AC63"/>
    <mergeCell ref="AD53:AD63"/>
    <mergeCell ref="AE53:AE63"/>
    <mergeCell ref="AF53:AF63"/>
    <mergeCell ref="O53:O63"/>
    <mergeCell ref="P53:P63"/>
    <mergeCell ref="Q53:Q63"/>
    <mergeCell ref="R53:R63"/>
    <mergeCell ref="S53:S63"/>
    <mergeCell ref="T53:T63"/>
    <mergeCell ref="BR35:BR50"/>
    <mergeCell ref="U45:U46"/>
    <mergeCell ref="U47:U50"/>
    <mergeCell ref="BN35:BN50"/>
    <mergeCell ref="BO35:BO50"/>
    <mergeCell ref="BP35:BP50"/>
    <mergeCell ref="BQ35:BQ50"/>
    <mergeCell ref="AW35:AW50"/>
    <mergeCell ref="AX35:AX50"/>
    <mergeCell ref="AY35:AY50"/>
    <mergeCell ref="AN35:AN50"/>
    <mergeCell ref="AO35:AO50"/>
    <mergeCell ref="AP35:AP50"/>
    <mergeCell ref="AQ35:AQ50"/>
    <mergeCell ref="AR35:AR50"/>
    <mergeCell ref="AS35:AS50"/>
    <mergeCell ref="AH35:AH50"/>
    <mergeCell ref="AI35:AI50"/>
    <mergeCell ref="E51:K51"/>
    <mergeCell ref="H52:K52"/>
    <mergeCell ref="J53:J63"/>
    <mergeCell ref="K53:K63"/>
    <mergeCell ref="L53:L63"/>
    <mergeCell ref="M53:M63"/>
    <mergeCell ref="N53:N63"/>
    <mergeCell ref="BL35:BL50"/>
    <mergeCell ref="BM35:BM50"/>
    <mergeCell ref="BF35:BF50"/>
    <mergeCell ref="BG35:BG50"/>
    <mergeCell ref="BH35:BH50"/>
    <mergeCell ref="BI35:BI50"/>
    <mergeCell ref="BJ35:BJ50"/>
    <mergeCell ref="BK35:BK50"/>
    <mergeCell ref="AZ35:AZ50"/>
    <mergeCell ref="BA35:BA50"/>
    <mergeCell ref="BB35:BB50"/>
    <mergeCell ref="BC35:BC50"/>
    <mergeCell ref="BD35:BD50"/>
    <mergeCell ref="BE35:BE50"/>
    <mergeCell ref="AT35:AT50"/>
    <mergeCell ref="AU35:AU50"/>
    <mergeCell ref="AV35:AV50"/>
    <mergeCell ref="AJ35:AJ50"/>
    <mergeCell ref="AK35:AK50"/>
    <mergeCell ref="AL35:AL50"/>
    <mergeCell ref="AM35:AM50"/>
    <mergeCell ref="AB35:AB50"/>
    <mergeCell ref="AC35:AC50"/>
    <mergeCell ref="AD35:AD50"/>
    <mergeCell ref="AE35:AE50"/>
    <mergeCell ref="AF35:AF50"/>
    <mergeCell ref="AG35:AG50"/>
    <mergeCell ref="P35:P50"/>
    <mergeCell ref="Q35:Q50"/>
    <mergeCell ref="R35:R50"/>
    <mergeCell ref="S35:S50"/>
    <mergeCell ref="T35:T50"/>
    <mergeCell ref="U35:U44"/>
    <mergeCell ref="BQ12:BQ33"/>
    <mergeCell ref="BR12:BR33"/>
    <mergeCell ref="U13:U33"/>
    <mergeCell ref="BM12:BM33"/>
    <mergeCell ref="BN12:BN33"/>
    <mergeCell ref="BO12:BO33"/>
    <mergeCell ref="BP12:BP33"/>
    <mergeCell ref="AV12:AV33"/>
    <mergeCell ref="AW12:AW33"/>
    <mergeCell ref="AX12:AX33"/>
    <mergeCell ref="AM12:AM33"/>
    <mergeCell ref="AN12:AN33"/>
    <mergeCell ref="AO12:AO33"/>
    <mergeCell ref="AP12:AP33"/>
    <mergeCell ref="AQ12:AQ33"/>
    <mergeCell ref="AR12:AR33"/>
    <mergeCell ref="AG12:AG33"/>
    <mergeCell ref="AH12:AH33"/>
    <mergeCell ref="H34:K34"/>
    <mergeCell ref="J35:J50"/>
    <mergeCell ref="K35:K50"/>
    <mergeCell ref="L35:L50"/>
    <mergeCell ref="M35:M50"/>
    <mergeCell ref="N35:N50"/>
    <mergeCell ref="O35:O50"/>
    <mergeCell ref="BK12:BK33"/>
    <mergeCell ref="BL12:BL33"/>
    <mergeCell ref="BE12:BE33"/>
    <mergeCell ref="BF12:BF33"/>
    <mergeCell ref="BG12:BG33"/>
    <mergeCell ref="BH12:BH33"/>
    <mergeCell ref="BI12:BI33"/>
    <mergeCell ref="BJ12:BJ33"/>
    <mergeCell ref="AY12:AY33"/>
    <mergeCell ref="AZ12:AZ33"/>
    <mergeCell ref="BA12:BA33"/>
    <mergeCell ref="BB12:BB33"/>
    <mergeCell ref="BC12:BC33"/>
    <mergeCell ref="BD12:BD33"/>
    <mergeCell ref="AS12:AS33"/>
    <mergeCell ref="AT12:AT33"/>
    <mergeCell ref="AU12:AU33"/>
    <mergeCell ref="B9:K9"/>
    <mergeCell ref="E10:K10"/>
    <mergeCell ref="J12:J33"/>
    <mergeCell ref="K12:K33"/>
    <mergeCell ref="L12:L33"/>
    <mergeCell ref="M12:M33"/>
    <mergeCell ref="AI12:AI33"/>
    <mergeCell ref="AJ12:AJ33"/>
    <mergeCell ref="AK12:AK33"/>
    <mergeCell ref="T12:T33"/>
    <mergeCell ref="AB12:AB33"/>
    <mergeCell ref="AC12:AC33"/>
    <mergeCell ref="AD12:AD33"/>
    <mergeCell ref="AE12:AE33"/>
    <mergeCell ref="AF12:AF33"/>
    <mergeCell ref="AX7:AY7"/>
    <mergeCell ref="AZ7:BA7"/>
    <mergeCell ref="BB7:BC7"/>
    <mergeCell ref="BD7:BE7"/>
    <mergeCell ref="BF6:BG7"/>
    <mergeCell ref="BH6:BM6"/>
    <mergeCell ref="N12:N33"/>
    <mergeCell ref="O12:O33"/>
    <mergeCell ref="P12:P33"/>
    <mergeCell ref="Q12:Q33"/>
    <mergeCell ref="R12:R33"/>
    <mergeCell ref="S12:S33"/>
    <mergeCell ref="AL12:AL33"/>
    <mergeCell ref="BR6:BR7"/>
    <mergeCell ref="AB7:AC7"/>
    <mergeCell ref="AD7:AE7"/>
    <mergeCell ref="AF7:AG7"/>
    <mergeCell ref="AH7:AI7"/>
    <mergeCell ref="AJ7:AK7"/>
    <mergeCell ref="Z6:Z8"/>
    <mergeCell ref="AA6:AA8"/>
    <mergeCell ref="AB6:AD6"/>
    <mergeCell ref="AF6:AM6"/>
    <mergeCell ref="AN6:AY6"/>
    <mergeCell ref="AZ6:BE6"/>
    <mergeCell ref="AL7:AM7"/>
    <mergeCell ref="AN7:AO7"/>
    <mergeCell ref="AP7:AQ7"/>
    <mergeCell ref="AR7:AS7"/>
    <mergeCell ref="BH7:BH8"/>
    <mergeCell ref="BI7:BI8"/>
    <mergeCell ref="BJ7:BJ8"/>
    <mergeCell ref="BK7:BK8"/>
    <mergeCell ref="BL7:BL8"/>
    <mergeCell ref="BM7:BM8"/>
    <mergeCell ref="AT7:AU7"/>
    <mergeCell ref="AV7:AW7"/>
    <mergeCell ref="A1:BN4"/>
    <mergeCell ref="A5:M5"/>
    <mergeCell ref="O5:BR5"/>
    <mergeCell ref="A6:A8"/>
    <mergeCell ref="B6:C8"/>
    <mergeCell ref="D6:D8"/>
    <mergeCell ref="E6:F8"/>
    <mergeCell ref="G6:G8"/>
    <mergeCell ref="H6:I8"/>
    <mergeCell ref="J6:J8"/>
    <mergeCell ref="R6:R8"/>
    <mergeCell ref="S6:S8"/>
    <mergeCell ref="T6:T8"/>
    <mergeCell ref="U6:U8"/>
    <mergeCell ref="V6:V8"/>
    <mergeCell ref="W6:Y7"/>
    <mergeCell ref="K6:K8"/>
    <mergeCell ref="L6:L8"/>
    <mergeCell ref="M6:N7"/>
    <mergeCell ref="O6:O8"/>
    <mergeCell ref="P6:P8"/>
    <mergeCell ref="Q6:Q8"/>
    <mergeCell ref="BN6:BO7"/>
    <mergeCell ref="BP6:BQ7"/>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U37"/>
  <sheetViews>
    <sheetView showGridLines="0" zoomScale="60" zoomScaleNormal="60" workbookViewId="0">
      <selection sqref="A1:BN4"/>
    </sheetView>
  </sheetViews>
  <sheetFormatPr baseColWidth="10" defaultColWidth="18.85546875" defaultRowHeight="15.75" x14ac:dyDescent="0.25"/>
  <cols>
    <col min="1" max="1" width="17" style="1786" customWidth="1"/>
    <col min="2" max="2" width="15.28515625" style="2" customWidth="1"/>
    <col min="3" max="3" width="8.42578125" style="2" customWidth="1"/>
    <col min="4" max="5" width="18.85546875" style="2"/>
    <col min="6" max="6" width="7.42578125" style="2" customWidth="1"/>
    <col min="7" max="7" width="15.5703125" style="2" customWidth="1"/>
    <col min="8" max="8" width="18.85546875" style="2"/>
    <col min="9" max="9" width="4.5703125" style="2" customWidth="1"/>
    <col min="10" max="10" width="18.28515625" style="2" customWidth="1"/>
    <col min="11" max="11" width="31.140625" style="912" customWidth="1"/>
    <col min="12" max="12" width="35" style="717" customWidth="1"/>
    <col min="13" max="14" width="18.85546875" style="913"/>
    <col min="15" max="15" width="41.5703125" style="717" customWidth="1"/>
    <col min="16" max="16" width="24.28515625" style="717" customWidth="1"/>
    <col min="17" max="17" width="27.7109375" style="912" customWidth="1"/>
    <col min="18" max="18" width="18.85546875" style="1790"/>
    <col min="19" max="19" width="29.5703125" style="1791" customWidth="1"/>
    <col min="20" max="20" width="44.7109375" style="912" customWidth="1"/>
    <col min="21" max="21" width="44.140625" style="912" customWidth="1"/>
    <col min="22" max="22" width="43.5703125" style="912" customWidth="1"/>
    <col min="23" max="23" width="30.85546875" style="1792" customWidth="1"/>
    <col min="24" max="25" width="26.28515625" style="1792" customWidth="1"/>
    <col min="26" max="26" width="13" style="1789" bestFit="1" customWidth="1"/>
    <col min="27" max="27" width="23.140625" style="912" customWidth="1"/>
    <col min="28" max="60" width="18.85546875" style="2"/>
    <col min="61" max="61" width="27.42578125" style="2" customWidth="1"/>
    <col min="62" max="62" width="28.140625" style="2" customWidth="1"/>
    <col min="63" max="63" width="21" style="2" customWidth="1"/>
    <col min="64" max="64" width="29.140625" style="2" customWidth="1"/>
    <col min="65" max="65" width="30.5703125" style="2" customWidth="1"/>
    <col min="66" max="67" width="18.85546875" style="919"/>
    <col min="68" max="69" width="18.85546875" style="651"/>
    <col min="70" max="70" width="27.140625" style="758" customWidth="1"/>
    <col min="71" max="281" width="18.85546875" style="2"/>
    <col min="282" max="16384" width="18.85546875" style="934"/>
  </cols>
  <sheetData>
    <row r="1" spans="1:281" ht="18" x14ac:dyDescent="0.25">
      <c r="A1" s="2988" t="s">
        <v>1727</v>
      </c>
      <c r="B1" s="2989"/>
      <c r="C1" s="2989"/>
      <c r="D1" s="2989"/>
      <c r="E1" s="2989"/>
      <c r="F1" s="2989"/>
      <c r="G1" s="2989"/>
      <c r="H1" s="2989"/>
      <c r="I1" s="2989"/>
      <c r="J1" s="2989"/>
      <c r="K1" s="2989"/>
      <c r="L1" s="2989"/>
      <c r="M1" s="2989"/>
      <c r="N1" s="2989"/>
      <c r="O1" s="2989"/>
      <c r="P1" s="2989"/>
      <c r="Q1" s="2989"/>
      <c r="R1" s="2989"/>
      <c r="S1" s="2989"/>
      <c r="T1" s="2989"/>
      <c r="U1" s="2989"/>
      <c r="V1" s="2989"/>
      <c r="W1" s="2989"/>
      <c r="X1" s="2989"/>
      <c r="Y1" s="2989"/>
      <c r="Z1" s="2989"/>
      <c r="AA1" s="2989"/>
      <c r="AB1" s="2989"/>
      <c r="AC1" s="2989"/>
      <c r="AD1" s="2989"/>
      <c r="AE1" s="2989"/>
      <c r="AF1" s="2989"/>
      <c r="AG1" s="2989"/>
      <c r="AH1" s="2989"/>
      <c r="AI1" s="2989"/>
      <c r="AJ1" s="2989"/>
      <c r="AK1" s="2989"/>
      <c r="AL1" s="2989"/>
      <c r="AM1" s="2989"/>
      <c r="AN1" s="2989"/>
      <c r="AO1" s="2989"/>
      <c r="AP1" s="2989"/>
      <c r="AQ1" s="2989"/>
      <c r="AR1" s="2989"/>
      <c r="AS1" s="2989"/>
      <c r="AT1" s="2989"/>
      <c r="AU1" s="2989"/>
      <c r="AV1" s="2989"/>
      <c r="AW1" s="2989"/>
      <c r="AX1" s="2989"/>
      <c r="AY1" s="2989"/>
      <c r="AZ1" s="2989"/>
      <c r="BA1" s="2989"/>
      <c r="BB1" s="2989"/>
      <c r="BC1" s="2989"/>
      <c r="BD1" s="2989"/>
      <c r="BE1" s="2989"/>
      <c r="BF1" s="2989"/>
      <c r="BG1" s="2989"/>
      <c r="BH1" s="2989"/>
      <c r="BI1" s="2989"/>
      <c r="BJ1" s="2989"/>
      <c r="BK1" s="2989"/>
      <c r="BL1" s="2989"/>
      <c r="BM1" s="2989"/>
      <c r="BN1" s="2989"/>
      <c r="BO1" s="1715"/>
      <c r="BP1" s="1716"/>
      <c r="BQ1" s="3" t="s">
        <v>1</v>
      </c>
      <c r="BR1" s="4" t="s">
        <v>2</v>
      </c>
      <c r="BS1" s="52"/>
      <c r="BT1" s="52"/>
      <c r="BW1" s="52"/>
      <c r="BX1" s="52"/>
      <c r="BY1" s="52"/>
      <c r="BZ1" s="52"/>
      <c r="CA1" s="52"/>
      <c r="CB1" s="52"/>
      <c r="CC1" s="52"/>
      <c r="CD1" s="52"/>
      <c r="CE1" s="52"/>
      <c r="CF1" s="52"/>
      <c r="CG1" s="52"/>
      <c r="CH1" s="52"/>
      <c r="CI1" s="52"/>
      <c r="CJ1" s="52"/>
      <c r="CK1" s="52"/>
      <c r="CL1" s="52"/>
    </row>
    <row r="2" spans="1:281" ht="18" x14ac:dyDescent="0.25">
      <c r="A2" s="2990"/>
      <c r="B2" s="2991"/>
      <c r="C2" s="2991"/>
      <c r="D2" s="2991"/>
      <c r="E2" s="2991"/>
      <c r="F2" s="2991"/>
      <c r="G2" s="2991"/>
      <c r="H2" s="2991"/>
      <c r="I2" s="2991"/>
      <c r="J2" s="2991"/>
      <c r="K2" s="2991"/>
      <c r="L2" s="2991"/>
      <c r="M2" s="2991"/>
      <c r="N2" s="2991"/>
      <c r="O2" s="2991"/>
      <c r="P2" s="2991"/>
      <c r="Q2" s="2991"/>
      <c r="R2" s="2991"/>
      <c r="S2" s="2991"/>
      <c r="T2" s="2991"/>
      <c r="U2" s="2991"/>
      <c r="V2" s="2991"/>
      <c r="W2" s="2991"/>
      <c r="X2" s="2991"/>
      <c r="Y2" s="2991"/>
      <c r="Z2" s="2991"/>
      <c r="AA2" s="2991"/>
      <c r="AB2" s="2991"/>
      <c r="AC2" s="2991"/>
      <c r="AD2" s="2991"/>
      <c r="AE2" s="2991"/>
      <c r="AF2" s="2991"/>
      <c r="AG2" s="2991"/>
      <c r="AH2" s="2991"/>
      <c r="AI2" s="2991"/>
      <c r="AJ2" s="2991"/>
      <c r="AK2" s="2991"/>
      <c r="AL2" s="2991"/>
      <c r="AM2" s="2991"/>
      <c r="AN2" s="2991"/>
      <c r="AO2" s="2991"/>
      <c r="AP2" s="2991"/>
      <c r="AQ2" s="2991"/>
      <c r="AR2" s="2991"/>
      <c r="AS2" s="2991"/>
      <c r="AT2" s="2991"/>
      <c r="AU2" s="2991"/>
      <c r="AV2" s="2991"/>
      <c r="AW2" s="2991"/>
      <c r="AX2" s="2991"/>
      <c r="AY2" s="2991"/>
      <c r="AZ2" s="2991"/>
      <c r="BA2" s="2991"/>
      <c r="BB2" s="2991"/>
      <c r="BC2" s="2991"/>
      <c r="BD2" s="2991"/>
      <c r="BE2" s="2991"/>
      <c r="BF2" s="2991"/>
      <c r="BG2" s="2991"/>
      <c r="BH2" s="2991"/>
      <c r="BI2" s="2991"/>
      <c r="BJ2" s="2991"/>
      <c r="BK2" s="2991"/>
      <c r="BL2" s="2991"/>
      <c r="BM2" s="2991"/>
      <c r="BN2" s="2991"/>
      <c r="BO2" s="1717"/>
      <c r="BP2" s="1718"/>
      <c r="BQ2" s="5" t="s">
        <v>3</v>
      </c>
      <c r="BR2" s="6">
        <v>6</v>
      </c>
      <c r="BS2" s="52"/>
      <c r="BT2" s="52"/>
      <c r="BW2" s="52"/>
      <c r="BX2" s="52"/>
      <c r="BY2" s="52"/>
      <c r="BZ2" s="52"/>
      <c r="CA2" s="52"/>
      <c r="CB2" s="52"/>
      <c r="CC2" s="52"/>
      <c r="CD2" s="52"/>
      <c r="CE2" s="52"/>
      <c r="CF2" s="52"/>
      <c r="CG2" s="52"/>
      <c r="CH2" s="52"/>
      <c r="CI2" s="52"/>
      <c r="CJ2" s="52"/>
      <c r="CK2" s="52"/>
      <c r="CL2" s="52"/>
    </row>
    <row r="3" spans="1:281" ht="18" x14ac:dyDescent="0.25">
      <c r="A3" s="2990"/>
      <c r="B3" s="2991"/>
      <c r="C3" s="2991"/>
      <c r="D3" s="2991"/>
      <c r="E3" s="2991"/>
      <c r="F3" s="2991"/>
      <c r="G3" s="2991"/>
      <c r="H3" s="2991"/>
      <c r="I3" s="2991"/>
      <c r="J3" s="2991"/>
      <c r="K3" s="2991"/>
      <c r="L3" s="2991"/>
      <c r="M3" s="2991"/>
      <c r="N3" s="2991"/>
      <c r="O3" s="2991"/>
      <c r="P3" s="2991"/>
      <c r="Q3" s="2991"/>
      <c r="R3" s="2991"/>
      <c r="S3" s="2991"/>
      <c r="T3" s="2991"/>
      <c r="U3" s="2991"/>
      <c r="V3" s="2991"/>
      <c r="W3" s="2991"/>
      <c r="X3" s="2991"/>
      <c r="Y3" s="2991"/>
      <c r="Z3" s="2991"/>
      <c r="AA3" s="2991"/>
      <c r="AB3" s="2991"/>
      <c r="AC3" s="2991"/>
      <c r="AD3" s="2991"/>
      <c r="AE3" s="2991"/>
      <c r="AF3" s="2991"/>
      <c r="AG3" s="2991"/>
      <c r="AH3" s="2991"/>
      <c r="AI3" s="2991"/>
      <c r="AJ3" s="2991"/>
      <c r="AK3" s="2991"/>
      <c r="AL3" s="2991"/>
      <c r="AM3" s="2991"/>
      <c r="AN3" s="2991"/>
      <c r="AO3" s="2991"/>
      <c r="AP3" s="2991"/>
      <c r="AQ3" s="2991"/>
      <c r="AR3" s="2991"/>
      <c r="AS3" s="2991"/>
      <c r="AT3" s="2991"/>
      <c r="AU3" s="2991"/>
      <c r="AV3" s="2991"/>
      <c r="AW3" s="2991"/>
      <c r="AX3" s="2991"/>
      <c r="AY3" s="2991"/>
      <c r="AZ3" s="2991"/>
      <c r="BA3" s="2991"/>
      <c r="BB3" s="2991"/>
      <c r="BC3" s="2991"/>
      <c r="BD3" s="2991"/>
      <c r="BE3" s="2991"/>
      <c r="BF3" s="2991"/>
      <c r="BG3" s="2991"/>
      <c r="BH3" s="2991"/>
      <c r="BI3" s="2991"/>
      <c r="BJ3" s="2991"/>
      <c r="BK3" s="2991"/>
      <c r="BL3" s="2991"/>
      <c r="BM3" s="2991"/>
      <c r="BN3" s="2991"/>
      <c r="BO3" s="1717"/>
      <c r="BP3" s="1718"/>
      <c r="BQ3" s="3" t="s">
        <v>4</v>
      </c>
      <c r="BR3" s="7" t="s">
        <v>5</v>
      </c>
      <c r="BS3" s="52"/>
      <c r="BT3" s="52"/>
      <c r="BW3" s="52"/>
      <c r="BX3" s="52"/>
      <c r="BY3" s="52"/>
      <c r="BZ3" s="52"/>
      <c r="CA3" s="52"/>
      <c r="CB3" s="52"/>
      <c r="CC3" s="52"/>
      <c r="CD3" s="52"/>
      <c r="CE3" s="52"/>
      <c r="CF3" s="52"/>
      <c r="CG3" s="52"/>
      <c r="CH3" s="52"/>
      <c r="CI3" s="52"/>
      <c r="CJ3" s="52"/>
      <c r="CK3" s="52"/>
      <c r="CL3" s="52"/>
    </row>
    <row r="4" spans="1:281" ht="18" x14ac:dyDescent="0.25">
      <c r="A4" s="2992"/>
      <c r="B4" s="2746"/>
      <c r="C4" s="2746"/>
      <c r="D4" s="2746"/>
      <c r="E4" s="2746"/>
      <c r="F4" s="2746"/>
      <c r="G4" s="2746"/>
      <c r="H4" s="2746"/>
      <c r="I4" s="2746"/>
      <c r="J4" s="2746"/>
      <c r="K4" s="2746"/>
      <c r="L4" s="2746"/>
      <c r="M4" s="2746"/>
      <c r="N4" s="2746"/>
      <c r="O4" s="2746"/>
      <c r="P4" s="2746"/>
      <c r="Q4" s="2746"/>
      <c r="R4" s="2746"/>
      <c r="S4" s="2746"/>
      <c r="T4" s="2746"/>
      <c r="U4" s="2746"/>
      <c r="V4" s="2746"/>
      <c r="W4" s="2746"/>
      <c r="X4" s="2746"/>
      <c r="Y4" s="2746"/>
      <c r="Z4" s="2746"/>
      <c r="AA4" s="2746"/>
      <c r="AB4" s="2746"/>
      <c r="AC4" s="2746"/>
      <c r="AD4" s="2746"/>
      <c r="AE4" s="2746"/>
      <c r="AF4" s="2746"/>
      <c r="AG4" s="2746"/>
      <c r="AH4" s="2746"/>
      <c r="AI4" s="2746"/>
      <c r="AJ4" s="2746"/>
      <c r="AK4" s="2746"/>
      <c r="AL4" s="2746"/>
      <c r="AM4" s="2746"/>
      <c r="AN4" s="2746"/>
      <c r="AO4" s="2746"/>
      <c r="AP4" s="2746"/>
      <c r="AQ4" s="2746"/>
      <c r="AR4" s="2746"/>
      <c r="AS4" s="2746"/>
      <c r="AT4" s="2746"/>
      <c r="AU4" s="2746"/>
      <c r="AV4" s="2746"/>
      <c r="AW4" s="2746"/>
      <c r="AX4" s="2746"/>
      <c r="AY4" s="2746"/>
      <c r="AZ4" s="2746"/>
      <c r="BA4" s="2746"/>
      <c r="BB4" s="2746"/>
      <c r="BC4" s="2746"/>
      <c r="BD4" s="2746"/>
      <c r="BE4" s="2746"/>
      <c r="BF4" s="2746"/>
      <c r="BG4" s="2746"/>
      <c r="BH4" s="2746"/>
      <c r="BI4" s="2746"/>
      <c r="BJ4" s="2746"/>
      <c r="BK4" s="2746"/>
      <c r="BL4" s="2746"/>
      <c r="BM4" s="2746"/>
      <c r="BN4" s="2746"/>
      <c r="BO4" s="8"/>
      <c r="BP4" s="1718"/>
      <c r="BQ4" s="3" t="s">
        <v>6</v>
      </c>
      <c r="BR4" s="10" t="s">
        <v>7</v>
      </c>
      <c r="BS4" s="52"/>
      <c r="BT4" s="52"/>
      <c r="BW4" s="52"/>
      <c r="BX4" s="52"/>
      <c r="BY4" s="52"/>
      <c r="BZ4" s="52"/>
      <c r="CA4" s="52"/>
      <c r="CB4" s="52"/>
      <c r="CC4" s="52"/>
      <c r="CD4" s="52"/>
      <c r="CE4" s="52"/>
      <c r="CF4" s="52"/>
      <c r="CG4" s="52"/>
      <c r="CH4" s="52"/>
      <c r="CI4" s="52"/>
      <c r="CJ4" s="52"/>
      <c r="CK4" s="52"/>
      <c r="CL4" s="52"/>
    </row>
    <row r="5" spans="1:281" x14ac:dyDescent="0.25">
      <c r="A5" s="2993" t="s">
        <v>8</v>
      </c>
      <c r="B5" s="2642"/>
      <c r="C5" s="2642"/>
      <c r="D5" s="2642"/>
      <c r="E5" s="2642"/>
      <c r="F5" s="2642"/>
      <c r="G5" s="2642"/>
      <c r="H5" s="2642"/>
      <c r="I5" s="2642"/>
      <c r="J5" s="2642"/>
      <c r="K5" s="2642"/>
      <c r="L5" s="2642"/>
      <c r="M5" s="2642"/>
      <c r="N5" s="11"/>
      <c r="O5" s="2644" t="s">
        <v>1728</v>
      </c>
      <c r="P5" s="2644"/>
      <c r="Q5" s="2644"/>
      <c r="R5" s="2644"/>
      <c r="S5" s="2644"/>
      <c r="T5" s="2644"/>
      <c r="U5" s="2644"/>
      <c r="V5" s="2644"/>
      <c r="W5" s="2644"/>
      <c r="X5" s="2644"/>
      <c r="Y5" s="2644"/>
      <c r="Z5" s="2644"/>
      <c r="AA5" s="2644"/>
      <c r="AB5" s="2644"/>
      <c r="AC5" s="2644"/>
      <c r="AD5" s="2644"/>
      <c r="AE5" s="2644"/>
      <c r="AF5" s="2644"/>
      <c r="AG5" s="2644"/>
      <c r="AH5" s="2644"/>
      <c r="AI5" s="2644"/>
      <c r="AJ5" s="2644"/>
      <c r="AK5" s="2644"/>
      <c r="AL5" s="2644"/>
      <c r="AM5" s="2644"/>
      <c r="AN5" s="2644"/>
      <c r="AO5" s="2644"/>
      <c r="AP5" s="2644"/>
      <c r="AQ5" s="2644"/>
      <c r="AR5" s="2644"/>
      <c r="AS5" s="2644"/>
      <c r="AT5" s="2644"/>
      <c r="AU5" s="2644"/>
      <c r="AV5" s="2644"/>
      <c r="AW5" s="2644"/>
      <c r="AX5" s="2644"/>
      <c r="AY5" s="2644"/>
      <c r="AZ5" s="2644"/>
      <c r="BA5" s="2644"/>
      <c r="BB5" s="2644"/>
      <c r="BC5" s="2644"/>
      <c r="BD5" s="2644"/>
      <c r="BE5" s="2644"/>
      <c r="BF5" s="2644"/>
      <c r="BG5" s="2644"/>
      <c r="BH5" s="2644"/>
      <c r="BI5" s="2644"/>
      <c r="BJ5" s="2644"/>
      <c r="BK5" s="2644"/>
      <c r="BL5" s="2644"/>
      <c r="BM5" s="2644"/>
      <c r="BN5" s="2644"/>
      <c r="BO5" s="2644"/>
      <c r="BP5" s="2644"/>
      <c r="BQ5" s="2994"/>
      <c r="BR5" s="2644"/>
      <c r="BS5" s="52"/>
      <c r="BT5" s="52"/>
      <c r="BU5" s="52"/>
      <c r="BV5" s="52"/>
      <c r="BW5" s="52"/>
      <c r="BX5" s="52"/>
      <c r="BY5" s="52"/>
      <c r="BZ5" s="52"/>
      <c r="CA5" s="52"/>
      <c r="CB5" s="52"/>
      <c r="CC5" s="52"/>
      <c r="CD5" s="52"/>
      <c r="CE5" s="52"/>
      <c r="CF5" s="52"/>
      <c r="CG5" s="52"/>
      <c r="CH5" s="52"/>
      <c r="CI5" s="52"/>
      <c r="CJ5" s="52"/>
      <c r="CK5" s="52"/>
      <c r="CL5" s="52"/>
    </row>
    <row r="6" spans="1:281" ht="57.75" customHeight="1" x14ac:dyDescent="0.25">
      <c r="A6" s="2645"/>
      <c r="B6" s="2643"/>
      <c r="C6" s="2643"/>
      <c r="D6" s="2643"/>
      <c r="E6" s="2643"/>
      <c r="F6" s="2643"/>
      <c r="G6" s="2643"/>
      <c r="H6" s="2643"/>
      <c r="I6" s="2643"/>
      <c r="J6" s="2643"/>
      <c r="K6" s="2643"/>
      <c r="L6" s="2643"/>
      <c r="M6" s="2643"/>
      <c r="N6" s="13"/>
      <c r="O6" s="499"/>
      <c r="P6" s="500"/>
      <c r="Q6" s="500"/>
      <c r="R6" s="13"/>
      <c r="S6" s="1719"/>
      <c r="T6" s="500"/>
      <c r="U6" s="500"/>
      <c r="V6" s="500"/>
      <c r="W6" s="1720"/>
      <c r="X6" s="1720"/>
      <c r="Y6" s="1720"/>
      <c r="Z6" s="502"/>
      <c r="AA6" s="500"/>
      <c r="AB6" s="2645" t="s">
        <v>449</v>
      </c>
      <c r="AC6" s="2643"/>
      <c r="AD6" s="2643"/>
      <c r="AE6" s="2643"/>
      <c r="AF6" s="2643"/>
      <c r="AG6" s="2643"/>
      <c r="AH6" s="2643"/>
      <c r="AI6" s="2643"/>
      <c r="AJ6" s="2643"/>
      <c r="AK6" s="2643"/>
      <c r="AL6" s="2643"/>
      <c r="AM6" s="2643"/>
      <c r="AN6" s="2643"/>
      <c r="AO6" s="2643"/>
      <c r="AP6" s="2643"/>
      <c r="AQ6" s="2643"/>
      <c r="AR6" s="2643"/>
      <c r="AS6" s="2643"/>
      <c r="AT6" s="2643"/>
      <c r="AU6" s="2643"/>
      <c r="AV6" s="2643"/>
      <c r="AW6" s="2643"/>
      <c r="AX6" s="2643"/>
      <c r="AY6" s="2643"/>
      <c r="AZ6" s="2643"/>
      <c r="BA6" s="2643"/>
      <c r="BB6" s="2643"/>
      <c r="BC6" s="2643"/>
      <c r="BD6" s="2646"/>
      <c r="BE6" s="13"/>
      <c r="BF6" s="13"/>
      <c r="BG6" s="13"/>
      <c r="BH6" s="13"/>
      <c r="BI6" s="13"/>
      <c r="BJ6" s="13"/>
      <c r="BK6" s="13"/>
      <c r="BL6" s="13"/>
      <c r="BM6" s="13"/>
      <c r="BN6" s="502"/>
      <c r="BO6" s="502"/>
      <c r="BP6" s="502"/>
      <c r="BQ6" s="502"/>
      <c r="BR6" s="504"/>
      <c r="BS6" s="52"/>
      <c r="BT6" s="52"/>
      <c r="BU6" s="52"/>
      <c r="BV6" s="52"/>
      <c r="BW6" s="52"/>
      <c r="BX6" s="52"/>
      <c r="BY6" s="52"/>
      <c r="BZ6" s="52"/>
      <c r="CA6" s="52"/>
      <c r="CB6" s="52"/>
      <c r="CC6" s="52"/>
      <c r="CD6" s="52"/>
      <c r="CE6" s="52"/>
      <c r="CF6" s="52"/>
      <c r="CG6" s="52"/>
      <c r="CH6" s="52"/>
      <c r="CI6" s="52"/>
      <c r="CJ6" s="52"/>
      <c r="CK6" s="52"/>
      <c r="CL6" s="52"/>
    </row>
    <row r="7" spans="1:281" s="2" customFormat="1" ht="69.75" customHeight="1" x14ac:dyDescent="0.2">
      <c r="A7" s="2995" t="s">
        <v>10</v>
      </c>
      <c r="B7" s="2996" t="s">
        <v>11</v>
      </c>
      <c r="C7" s="2996"/>
      <c r="D7" s="2996" t="s">
        <v>10</v>
      </c>
      <c r="E7" s="2996" t="s">
        <v>12</v>
      </c>
      <c r="F7" s="2996"/>
      <c r="G7" s="2996" t="s">
        <v>10</v>
      </c>
      <c r="H7" s="2996" t="s">
        <v>13</v>
      </c>
      <c r="I7" s="2996"/>
      <c r="J7" s="2996" t="s">
        <v>10</v>
      </c>
      <c r="K7" s="2996" t="s">
        <v>14</v>
      </c>
      <c r="L7" s="2996" t="s">
        <v>15</v>
      </c>
      <c r="M7" s="2999" t="s">
        <v>16</v>
      </c>
      <c r="N7" s="2999"/>
      <c r="O7" s="2996" t="s">
        <v>17</v>
      </c>
      <c r="P7" s="2996" t="s">
        <v>108</v>
      </c>
      <c r="Q7" s="2996" t="s">
        <v>9</v>
      </c>
      <c r="R7" s="3032" t="s">
        <v>19</v>
      </c>
      <c r="S7" s="2997" t="s">
        <v>20</v>
      </c>
      <c r="T7" s="2998" t="s">
        <v>21</v>
      </c>
      <c r="U7" s="2998" t="s">
        <v>22</v>
      </c>
      <c r="V7" s="2996" t="s">
        <v>23</v>
      </c>
      <c r="W7" s="3001" t="s">
        <v>20</v>
      </c>
      <c r="X7" s="3001"/>
      <c r="Y7" s="3001"/>
      <c r="Z7" s="3002" t="s">
        <v>10</v>
      </c>
      <c r="AA7" s="3000" t="s">
        <v>24</v>
      </c>
      <c r="AB7" s="3004" t="s">
        <v>25</v>
      </c>
      <c r="AC7" s="3005"/>
      <c r="AD7" s="3005"/>
      <c r="AE7" s="1721"/>
      <c r="AF7" s="3010" t="s">
        <v>26</v>
      </c>
      <c r="AG7" s="3011"/>
      <c r="AH7" s="3011"/>
      <c r="AI7" s="3011"/>
      <c r="AJ7" s="3011"/>
      <c r="AK7" s="3011"/>
      <c r="AL7" s="3011"/>
      <c r="AM7" s="1722"/>
      <c r="AN7" s="3006" t="s">
        <v>27</v>
      </c>
      <c r="AO7" s="3007"/>
      <c r="AP7" s="3007"/>
      <c r="AQ7" s="3007"/>
      <c r="AR7" s="3007"/>
      <c r="AS7" s="3007"/>
      <c r="AT7" s="3007"/>
      <c r="AU7" s="3007"/>
      <c r="AV7" s="3007"/>
      <c r="AW7" s="3007"/>
      <c r="AX7" s="3007"/>
      <c r="AY7" s="1723"/>
      <c r="AZ7" s="3010" t="s">
        <v>28</v>
      </c>
      <c r="BA7" s="3011"/>
      <c r="BB7" s="3011"/>
      <c r="BC7" s="3011"/>
      <c r="BD7" s="3011"/>
      <c r="BE7" s="1724"/>
      <c r="BF7" s="3012" t="s">
        <v>29</v>
      </c>
      <c r="BG7" s="3013"/>
      <c r="BH7" s="3016" t="s">
        <v>30</v>
      </c>
      <c r="BI7" s="3017"/>
      <c r="BJ7" s="3017"/>
      <c r="BK7" s="3017"/>
      <c r="BL7" s="3017"/>
      <c r="BM7" s="3018"/>
      <c r="BN7" s="3019" t="s">
        <v>31</v>
      </c>
      <c r="BO7" s="3020"/>
      <c r="BP7" s="3019" t="s">
        <v>32</v>
      </c>
      <c r="BQ7" s="3020"/>
      <c r="BR7" s="3023" t="s">
        <v>33</v>
      </c>
      <c r="BS7" s="52"/>
      <c r="BT7" s="52"/>
      <c r="BU7" s="52"/>
      <c r="BV7" s="52"/>
      <c r="BW7" s="52"/>
      <c r="BX7" s="52"/>
      <c r="BY7" s="52"/>
      <c r="BZ7" s="52"/>
      <c r="CA7" s="52"/>
      <c r="CB7" s="52"/>
      <c r="CC7" s="52"/>
      <c r="CD7" s="52"/>
      <c r="CE7" s="52"/>
      <c r="CF7" s="52"/>
      <c r="CG7" s="52"/>
      <c r="CH7" s="52"/>
      <c r="CI7" s="52"/>
      <c r="CJ7" s="52"/>
      <c r="CK7" s="52"/>
      <c r="CL7" s="52"/>
    </row>
    <row r="8" spans="1:281" s="2" customFormat="1" ht="144.75" customHeight="1" x14ac:dyDescent="0.2">
      <c r="A8" s="2995"/>
      <c r="B8" s="2996"/>
      <c r="C8" s="2996"/>
      <c r="D8" s="2996"/>
      <c r="E8" s="2996"/>
      <c r="F8" s="2996"/>
      <c r="G8" s="2996"/>
      <c r="H8" s="2996"/>
      <c r="I8" s="2996"/>
      <c r="J8" s="2996"/>
      <c r="K8" s="2996"/>
      <c r="L8" s="2996"/>
      <c r="M8" s="24" t="s">
        <v>58</v>
      </c>
      <c r="N8" s="24" t="s">
        <v>59</v>
      </c>
      <c r="O8" s="3000"/>
      <c r="P8" s="2996"/>
      <c r="Q8" s="2996"/>
      <c r="R8" s="3032"/>
      <c r="S8" s="2997"/>
      <c r="T8" s="2998"/>
      <c r="U8" s="2998"/>
      <c r="V8" s="2996"/>
      <c r="W8" s="1725" t="s">
        <v>34</v>
      </c>
      <c r="X8" s="1726" t="s">
        <v>35</v>
      </c>
      <c r="Y8" s="1726" t="s">
        <v>36</v>
      </c>
      <c r="Z8" s="3003"/>
      <c r="AA8" s="3000"/>
      <c r="AB8" s="3008" t="s">
        <v>37</v>
      </c>
      <c r="AC8" s="3009"/>
      <c r="AD8" s="3008" t="s">
        <v>38</v>
      </c>
      <c r="AE8" s="3009"/>
      <c r="AF8" s="3008" t="s">
        <v>39</v>
      </c>
      <c r="AG8" s="3009"/>
      <c r="AH8" s="3008" t="s">
        <v>40</v>
      </c>
      <c r="AI8" s="3009"/>
      <c r="AJ8" s="3008" t="s">
        <v>521</v>
      </c>
      <c r="AK8" s="3009"/>
      <c r="AL8" s="3008" t="s">
        <v>42</v>
      </c>
      <c r="AM8" s="3009"/>
      <c r="AN8" s="3008" t="s">
        <v>43</v>
      </c>
      <c r="AO8" s="3009"/>
      <c r="AP8" s="3008" t="s">
        <v>44</v>
      </c>
      <c r="AQ8" s="3009"/>
      <c r="AR8" s="3008" t="s">
        <v>45</v>
      </c>
      <c r="AS8" s="3009"/>
      <c r="AT8" s="3008" t="s">
        <v>46</v>
      </c>
      <c r="AU8" s="3009"/>
      <c r="AV8" s="3008" t="s">
        <v>47</v>
      </c>
      <c r="AW8" s="3009"/>
      <c r="AX8" s="3008" t="s">
        <v>48</v>
      </c>
      <c r="AY8" s="3009"/>
      <c r="AZ8" s="3008" t="s">
        <v>49</v>
      </c>
      <c r="BA8" s="3009"/>
      <c r="BB8" s="3008" t="s">
        <v>50</v>
      </c>
      <c r="BC8" s="3009"/>
      <c r="BD8" s="3008" t="s">
        <v>51</v>
      </c>
      <c r="BE8" s="3009"/>
      <c r="BF8" s="3014"/>
      <c r="BG8" s="3015"/>
      <c r="BH8" s="3026" t="s">
        <v>52</v>
      </c>
      <c r="BI8" s="3025" t="s">
        <v>53</v>
      </c>
      <c r="BJ8" s="3026" t="s">
        <v>54</v>
      </c>
      <c r="BK8" s="3027" t="s">
        <v>55</v>
      </c>
      <c r="BL8" s="3026" t="s">
        <v>56</v>
      </c>
      <c r="BM8" s="3028" t="s">
        <v>57</v>
      </c>
      <c r="BN8" s="3021"/>
      <c r="BO8" s="3022"/>
      <c r="BP8" s="3021"/>
      <c r="BQ8" s="3022"/>
      <c r="BR8" s="3024"/>
      <c r="BS8" s="52"/>
      <c r="BT8" s="52"/>
      <c r="BU8" s="52"/>
      <c r="BV8" s="52"/>
      <c r="BW8" s="52"/>
      <c r="BX8" s="52"/>
      <c r="BY8" s="52"/>
      <c r="BZ8" s="52"/>
      <c r="CA8" s="52"/>
      <c r="CB8" s="52"/>
      <c r="CC8" s="52"/>
      <c r="CD8" s="52"/>
      <c r="CE8" s="52"/>
      <c r="CF8" s="52"/>
      <c r="CG8" s="52"/>
      <c r="CH8" s="52"/>
      <c r="CI8" s="52"/>
      <c r="CJ8" s="52"/>
      <c r="CK8" s="52"/>
      <c r="CL8" s="52"/>
    </row>
    <row r="9" spans="1:281" s="2" customFormat="1" ht="27" customHeight="1" x14ac:dyDescent="0.2">
      <c r="A9" s="1727">
        <v>5</v>
      </c>
      <c r="B9" s="1728" t="s">
        <v>60</v>
      </c>
      <c r="C9" s="1728"/>
      <c r="D9" s="1729"/>
      <c r="E9" s="1729"/>
      <c r="F9" s="1728"/>
      <c r="G9" s="1728"/>
      <c r="H9" s="1728"/>
      <c r="I9" s="1728"/>
      <c r="J9" s="1728"/>
      <c r="K9" s="1730"/>
      <c r="L9" s="1730"/>
      <c r="M9" s="1731"/>
      <c r="N9" s="1731"/>
      <c r="O9" s="1730"/>
      <c r="P9" s="1730"/>
      <c r="Q9" s="1730"/>
      <c r="R9" s="1732"/>
      <c r="S9" s="1733"/>
      <c r="T9" s="1730"/>
      <c r="U9" s="1730"/>
      <c r="V9" s="1730"/>
      <c r="W9" s="1730"/>
      <c r="X9" s="1730"/>
      <c r="Y9" s="1730"/>
      <c r="Z9" s="1734"/>
      <c r="AA9" s="1730"/>
      <c r="AB9" s="23" t="s">
        <v>58</v>
      </c>
      <c r="AC9" s="23" t="s">
        <v>59</v>
      </c>
      <c r="AD9" s="23" t="s">
        <v>58</v>
      </c>
      <c r="AE9" s="23" t="s">
        <v>59</v>
      </c>
      <c r="AF9" s="23" t="s">
        <v>58</v>
      </c>
      <c r="AG9" s="23" t="s">
        <v>59</v>
      </c>
      <c r="AH9" s="23" t="s">
        <v>58</v>
      </c>
      <c r="AI9" s="23" t="s">
        <v>59</v>
      </c>
      <c r="AJ9" s="23" t="s">
        <v>58</v>
      </c>
      <c r="AK9" s="23" t="s">
        <v>59</v>
      </c>
      <c r="AL9" s="23" t="s">
        <v>58</v>
      </c>
      <c r="AM9" s="23" t="s">
        <v>59</v>
      </c>
      <c r="AN9" s="23" t="s">
        <v>58</v>
      </c>
      <c r="AO9" s="23" t="s">
        <v>59</v>
      </c>
      <c r="AP9" s="23" t="s">
        <v>58</v>
      </c>
      <c r="AQ9" s="23" t="s">
        <v>59</v>
      </c>
      <c r="AR9" s="23" t="s">
        <v>58</v>
      </c>
      <c r="AS9" s="23" t="s">
        <v>59</v>
      </c>
      <c r="AT9" s="23" t="s">
        <v>58</v>
      </c>
      <c r="AU9" s="23" t="s">
        <v>59</v>
      </c>
      <c r="AV9" s="23" t="s">
        <v>58</v>
      </c>
      <c r="AW9" s="23" t="s">
        <v>59</v>
      </c>
      <c r="AX9" s="23" t="s">
        <v>58</v>
      </c>
      <c r="AY9" s="23" t="s">
        <v>59</v>
      </c>
      <c r="AZ9" s="23" t="s">
        <v>58</v>
      </c>
      <c r="BA9" s="23" t="s">
        <v>59</v>
      </c>
      <c r="BB9" s="23" t="s">
        <v>58</v>
      </c>
      <c r="BC9" s="23" t="s">
        <v>59</v>
      </c>
      <c r="BD9" s="23" t="s">
        <v>58</v>
      </c>
      <c r="BE9" s="23" t="s">
        <v>59</v>
      </c>
      <c r="BF9" s="23" t="s">
        <v>58</v>
      </c>
      <c r="BG9" s="23" t="s">
        <v>59</v>
      </c>
      <c r="BH9" s="3026"/>
      <c r="BI9" s="3025"/>
      <c r="BJ9" s="3026"/>
      <c r="BK9" s="3027"/>
      <c r="BL9" s="3026"/>
      <c r="BM9" s="3029"/>
      <c r="BN9" s="1735" t="s">
        <v>58</v>
      </c>
      <c r="BO9" s="1735" t="s">
        <v>59</v>
      </c>
      <c r="BP9" s="1735" t="s">
        <v>58</v>
      </c>
      <c r="BQ9" s="1735" t="s">
        <v>59</v>
      </c>
      <c r="BR9" s="23"/>
      <c r="BS9" s="52"/>
      <c r="BT9" s="52"/>
      <c r="BU9" s="52"/>
      <c r="BV9" s="52"/>
      <c r="BW9" s="52"/>
      <c r="BX9" s="52"/>
      <c r="BY9" s="52"/>
      <c r="BZ9" s="52"/>
      <c r="CA9" s="52"/>
      <c r="CB9" s="52"/>
      <c r="CC9" s="52"/>
      <c r="CD9" s="52"/>
      <c r="CE9" s="52"/>
      <c r="CF9" s="52"/>
      <c r="CG9" s="52"/>
      <c r="CH9" s="52"/>
      <c r="CI9" s="52"/>
      <c r="CJ9" s="52"/>
      <c r="CK9" s="52"/>
      <c r="CL9" s="52"/>
    </row>
    <row r="10" spans="1:281" ht="27" customHeight="1" x14ac:dyDescent="0.25">
      <c r="A10" s="1736"/>
      <c r="B10" s="1737"/>
      <c r="C10" s="1737"/>
      <c r="D10" s="1738">
        <v>28</v>
      </c>
      <c r="E10" s="685" t="s">
        <v>1729</v>
      </c>
      <c r="F10" s="685"/>
      <c r="G10" s="685"/>
      <c r="H10" s="685"/>
      <c r="I10" s="685"/>
      <c r="J10" s="685"/>
      <c r="K10" s="678"/>
      <c r="L10" s="678"/>
      <c r="M10" s="679"/>
      <c r="N10" s="1739"/>
      <c r="O10" s="1740"/>
      <c r="P10" s="678"/>
      <c r="Q10" s="678"/>
      <c r="R10" s="1741"/>
      <c r="S10" s="1742"/>
      <c r="T10" s="678"/>
      <c r="U10" s="678"/>
      <c r="V10" s="678"/>
      <c r="W10" s="678"/>
      <c r="X10" s="678"/>
      <c r="Y10" s="678"/>
      <c r="Z10" s="1743"/>
      <c r="AA10" s="678"/>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85"/>
      <c r="BC10" s="685"/>
      <c r="BD10" s="685"/>
      <c r="BE10" s="685"/>
      <c r="BF10" s="685"/>
      <c r="BG10" s="685"/>
      <c r="BH10" s="685"/>
      <c r="BI10" s="685"/>
      <c r="BJ10" s="685"/>
      <c r="BK10" s="685"/>
      <c r="BL10" s="685"/>
      <c r="BM10" s="685"/>
      <c r="BN10" s="686"/>
      <c r="BO10" s="686"/>
      <c r="BP10" s="686"/>
      <c r="BQ10" s="686"/>
      <c r="BR10" s="1744"/>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c r="IW10" s="52"/>
      <c r="IX10" s="52"/>
      <c r="IY10" s="52"/>
      <c r="IZ10" s="52"/>
      <c r="JA10" s="52"/>
      <c r="JB10" s="52"/>
      <c r="JC10" s="52"/>
      <c r="JD10" s="52"/>
      <c r="JE10" s="52"/>
      <c r="JF10" s="52"/>
      <c r="JG10" s="52"/>
      <c r="JH10" s="52"/>
      <c r="JI10" s="52"/>
      <c r="JJ10" s="52"/>
      <c r="JK10" s="52"/>
      <c r="JL10" s="52"/>
      <c r="JM10" s="52"/>
      <c r="JN10" s="52"/>
      <c r="JO10" s="52"/>
      <c r="JP10" s="52"/>
      <c r="JQ10" s="52"/>
      <c r="JR10" s="52"/>
      <c r="JS10" s="52"/>
      <c r="JT10" s="52"/>
      <c r="JU10" s="52"/>
    </row>
    <row r="11" spans="1:281" ht="27" customHeight="1" x14ac:dyDescent="0.25">
      <c r="A11" s="1736"/>
      <c r="B11" s="1737"/>
      <c r="C11" s="1737"/>
      <c r="D11" s="1745"/>
      <c r="E11" s="1737"/>
      <c r="F11" s="1737"/>
      <c r="G11" s="1607">
        <v>89</v>
      </c>
      <c r="H11" s="692" t="s">
        <v>452</v>
      </c>
      <c r="I11" s="692"/>
      <c r="J11" s="692"/>
      <c r="K11" s="1746"/>
      <c r="L11" s="1746"/>
      <c r="M11" s="784"/>
      <c r="N11" s="784"/>
      <c r="O11" s="1747"/>
      <c r="P11" s="1746"/>
      <c r="Q11" s="1746"/>
      <c r="R11" s="1748"/>
      <c r="S11" s="1749"/>
      <c r="T11" s="1746"/>
      <c r="U11" s="1746"/>
      <c r="V11" s="1746"/>
      <c r="W11" s="1746"/>
      <c r="X11" s="1746"/>
      <c r="Y11" s="1746"/>
      <c r="Z11" s="1750"/>
      <c r="AA11" s="1746"/>
      <c r="AB11" s="1751"/>
      <c r="AC11" s="1751"/>
      <c r="AD11" s="1751"/>
      <c r="AE11" s="1751"/>
      <c r="AF11" s="1751"/>
      <c r="AG11" s="1751"/>
      <c r="AH11" s="1751"/>
      <c r="AI11" s="1751"/>
      <c r="AJ11" s="1751"/>
      <c r="AK11" s="1751"/>
      <c r="AL11" s="1751"/>
      <c r="AM11" s="1751"/>
      <c r="AN11" s="1751"/>
      <c r="AO11" s="1751"/>
      <c r="AP11" s="1751"/>
      <c r="AQ11" s="1751"/>
      <c r="AR11" s="1751"/>
      <c r="AS11" s="1751"/>
      <c r="AT11" s="1751"/>
      <c r="AU11" s="1751"/>
      <c r="AV11" s="1751"/>
      <c r="AW11" s="1751"/>
      <c r="AX11" s="1751"/>
      <c r="AY11" s="1751"/>
      <c r="AZ11" s="1751"/>
      <c r="BA11" s="1751"/>
      <c r="BB11" s="1751"/>
      <c r="BC11" s="1751"/>
      <c r="BD11" s="1751"/>
      <c r="BE11" s="1751"/>
      <c r="BF11" s="1751"/>
      <c r="BG11" s="1751"/>
      <c r="BH11" s="1751"/>
      <c r="BI11" s="1751"/>
      <c r="BJ11" s="1751"/>
      <c r="BK11" s="1751"/>
      <c r="BL11" s="1751"/>
      <c r="BM11" s="1751"/>
      <c r="BN11" s="1752"/>
      <c r="BO11" s="1752"/>
      <c r="BP11" s="1752"/>
      <c r="BQ11" s="1752"/>
      <c r="BR11" s="1753"/>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c r="IW11" s="52"/>
      <c r="IX11" s="52"/>
      <c r="IY11" s="52"/>
      <c r="IZ11" s="52"/>
      <c r="JA11" s="52"/>
      <c r="JB11" s="52"/>
      <c r="JC11" s="52"/>
      <c r="JD11" s="52"/>
      <c r="JE11" s="52"/>
      <c r="JF11" s="52"/>
      <c r="JG11" s="52"/>
      <c r="JH11" s="52"/>
      <c r="JI11" s="52"/>
      <c r="JJ11" s="52"/>
      <c r="JK11" s="52"/>
      <c r="JL11" s="52"/>
      <c r="JM11" s="52"/>
      <c r="JN11" s="52"/>
      <c r="JO11" s="52"/>
      <c r="JP11" s="52"/>
      <c r="JQ11" s="52"/>
      <c r="JR11" s="52"/>
      <c r="JS11" s="52"/>
      <c r="JT11" s="52"/>
      <c r="JU11" s="52"/>
    </row>
    <row r="12" spans="1:281" ht="78" customHeight="1" x14ac:dyDescent="0.25">
      <c r="A12" s="1754"/>
      <c r="B12" s="90"/>
      <c r="C12" s="90"/>
      <c r="D12" s="1755"/>
      <c r="E12" s="90"/>
      <c r="F12" s="90"/>
      <c r="G12" s="1756"/>
      <c r="H12" s="90"/>
      <c r="I12" s="90"/>
      <c r="J12" s="2708">
        <v>275</v>
      </c>
      <c r="K12" s="3030" t="s">
        <v>1730</v>
      </c>
      <c r="L12" s="3030" t="s">
        <v>1731</v>
      </c>
      <c r="M12" s="2708">
        <v>4</v>
      </c>
      <c r="N12" s="2708">
        <v>2</v>
      </c>
      <c r="O12" s="2708" t="s">
        <v>1732</v>
      </c>
      <c r="P12" s="2888" t="s">
        <v>1733</v>
      </c>
      <c r="Q12" s="2707" t="s">
        <v>1734</v>
      </c>
      <c r="R12" s="2851">
        <f>+SUM(W12:W13)/S12</f>
        <v>0.68858978648781655</v>
      </c>
      <c r="S12" s="3036">
        <f>SUM(W12:W18)</f>
        <v>1905945991</v>
      </c>
      <c r="T12" s="2707" t="s">
        <v>1735</v>
      </c>
      <c r="U12" s="3030" t="s">
        <v>1736</v>
      </c>
      <c r="V12" s="3037" t="s">
        <v>1737</v>
      </c>
      <c r="W12" s="1757">
        <v>952473039</v>
      </c>
      <c r="X12" s="1757">
        <v>671414895</v>
      </c>
      <c r="Y12" s="1757">
        <v>266265223.75</v>
      </c>
      <c r="Z12" s="1758">
        <v>20</v>
      </c>
      <c r="AA12" s="1759" t="s">
        <v>1738</v>
      </c>
      <c r="AB12" s="3033">
        <v>294321</v>
      </c>
      <c r="AC12" s="3033">
        <f>+AB12*0.45</f>
        <v>132444.45000000001</v>
      </c>
      <c r="AD12" s="3033">
        <v>283947</v>
      </c>
      <c r="AE12" s="3033">
        <f>+AD12*0.45</f>
        <v>127776.15000000001</v>
      </c>
      <c r="AF12" s="3033">
        <v>135754</v>
      </c>
      <c r="AG12" s="3033">
        <f>+AF12*0.45</f>
        <v>61089.3</v>
      </c>
      <c r="AH12" s="3033">
        <v>44640</v>
      </c>
      <c r="AI12" s="3033">
        <f>+AH12*0.45</f>
        <v>20088</v>
      </c>
      <c r="AJ12" s="3033">
        <v>308178</v>
      </c>
      <c r="AK12" s="3033">
        <f>+AJ12*0.45</f>
        <v>138680.1</v>
      </c>
      <c r="AL12" s="3033">
        <v>89696</v>
      </c>
      <c r="AM12" s="3033">
        <f>+AL12*0.45</f>
        <v>40363.200000000004</v>
      </c>
      <c r="AN12" s="3033">
        <v>2145</v>
      </c>
      <c r="AO12" s="3033">
        <f>+AN12*0.45</f>
        <v>965.25</v>
      </c>
      <c r="AP12" s="3033">
        <v>12718</v>
      </c>
      <c r="AQ12" s="3033">
        <f>+AP12*0.45</f>
        <v>5723.1</v>
      </c>
      <c r="AR12" s="3033">
        <v>26</v>
      </c>
      <c r="AS12" s="3033">
        <f>+AR12*0.45</f>
        <v>11.700000000000001</v>
      </c>
      <c r="AT12" s="3033">
        <v>37</v>
      </c>
      <c r="AU12" s="3033">
        <f>+AT12*0.45</f>
        <v>16.650000000000002</v>
      </c>
      <c r="AV12" s="3033">
        <v>0</v>
      </c>
      <c r="AW12" s="3033">
        <v>0</v>
      </c>
      <c r="AX12" s="3033">
        <v>0</v>
      </c>
      <c r="AY12" s="3033">
        <v>0</v>
      </c>
      <c r="AZ12" s="3033">
        <v>54612</v>
      </c>
      <c r="BA12" s="3033">
        <f>+AZ12*0.45</f>
        <v>24575.4</v>
      </c>
      <c r="BB12" s="3033">
        <v>21944</v>
      </c>
      <c r="BC12" s="3033">
        <f>+BB12*0.45</f>
        <v>9874.8000000000011</v>
      </c>
      <c r="BD12" s="3033">
        <v>1010</v>
      </c>
      <c r="BE12" s="3033">
        <f>+BD12*0.45</f>
        <v>454.5</v>
      </c>
      <c r="BF12" s="3033">
        <v>575010</v>
      </c>
      <c r="BG12" s="3033">
        <f>+BF12*0.45</f>
        <v>258754.5</v>
      </c>
      <c r="BH12" s="2703">
        <v>42</v>
      </c>
      <c r="BI12" s="3046">
        <v>853824961</v>
      </c>
      <c r="BJ12" s="3046">
        <v>397763289.75</v>
      </c>
      <c r="BK12" s="2887">
        <f>+BJ12/BI12</f>
        <v>0.46586046077188881</v>
      </c>
      <c r="BL12" s="3049" t="s">
        <v>1739</v>
      </c>
      <c r="BM12" s="2742" t="s">
        <v>1740</v>
      </c>
      <c r="BN12" s="2715">
        <v>43466</v>
      </c>
      <c r="BO12" s="2715">
        <v>43466</v>
      </c>
      <c r="BP12" s="2715">
        <v>43830</v>
      </c>
      <c r="BQ12" s="2715">
        <v>43830</v>
      </c>
      <c r="BR12" s="2718" t="s">
        <v>1741</v>
      </c>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c r="IW12" s="52"/>
      <c r="IX12" s="52"/>
      <c r="IY12" s="52"/>
      <c r="IZ12" s="52"/>
      <c r="JA12" s="52"/>
      <c r="JB12" s="52"/>
      <c r="JC12" s="52"/>
      <c r="JD12" s="52"/>
      <c r="JE12" s="52"/>
      <c r="JF12" s="52"/>
      <c r="JG12" s="52"/>
      <c r="JH12" s="52"/>
      <c r="JI12" s="52"/>
      <c r="JJ12" s="52"/>
      <c r="JK12" s="52"/>
      <c r="JL12" s="52"/>
      <c r="JM12" s="52"/>
      <c r="JN12" s="52"/>
      <c r="JO12" s="52"/>
      <c r="JP12" s="52"/>
      <c r="JQ12" s="52"/>
      <c r="JR12" s="52"/>
      <c r="JS12" s="52"/>
      <c r="JT12" s="52"/>
      <c r="JU12" s="52"/>
    </row>
    <row r="13" spans="1:281" ht="78" customHeight="1" x14ac:dyDescent="0.25">
      <c r="A13" s="1754"/>
      <c r="B13" s="90"/>
      <c r="C13" s="90"/>
      <c r="D13" s="1755"/>
      <c r="E13" s="90"/>
      <c r="F13" s="90"/>
      <c r="G13" s="1755"/>
      <c r="H13" s="90"/>
      <c r="I13" s="90"/>
      <c r="J13" s="2710"/>
      <c r="K13" s="3031"/>
      <c r="L13" s="3031"/>
      <c r="M13" s="2710"/>
      <c r="N13" s="2710"/>
      <c r="O13" s="2709"/>
      <c r="P13" s="2888"/>
      <c r="Q13" s="2707"/>
      <c r="R13" s="2853"/>
      <c r="S13" s="3036"/>
      <c r="T13" s="2707"/>
      <c r="U13" s="3031"/>
      <c r="V13" s="3038"/>
      <c r="W13" s="1757">
        <f>0+359941904</f>
        <v>359941904</v>
      </c>
      <c r="X13" s="1757"/>
      <c r="Y13" s="1757"/>
      <c r="Z13" s="1758">
        <v>88</v>
      </c>
      <c r="AA13" s="1759" t="s">
        <v>75</v>
      </c>
      <c r="AB13" s="3034"/>
      <c r="AC13" s="3034"/>
      <c r="AD13" s="3034"/>
      <c r="AE13" s="3034"/>
      <c r="AF13" s="3034"/>
      <c r="AG13" s="3034"/>
      <c r="AH13" s="3034"/>
      <c r="AI13" s="3034"/>
      <c r="AJ13" s="3034"/>
      <c r="AK13" s="3034"/>
      <c r="AL13" s="3034"/>
      <c r="AM13" s="3034"/>
      <c r="AN13" s="3034"/>
      <c r="AO13" s="3034"/>
      <c r="AP13" s="3034"/>
      <c r="AQ13" s="3034"/>
      <c r="AR13" s="3034"/>
      <c r="AS13" s="3034"/>
      <c r="AT13" s="3034"/>
      <c r="AU13" s="3034"/>
      <c r="AV13" s="3034"/>
      <c r="AW13" s="3034"/>
      <c r="AX13" s="3034"/>
      <c r="AY13" s="3034"/>
      <c r="AZ13" s="3034"/>
      <c r="BA13" s="3034"/>
      <c r="BB13" s="3034"/>
      <c r="BC13" s="3034"/>
      <c r="BD13" s="3034"/>
      <c r="BE13" s="3034"/>
      <c r="BF13" s="3034"/>
      <c r="BG13" s="3034"/>
      <c r="BH13" s="2704"/>
      <c r="BI13" s="3047"/>
      <c r="BJ13" s="3047"/>
      <c r="BK13" s="2916"/>
      <c r="BL13" s="2709"/>
      <c r="BM13" s="2743"/>
      <c r="BN13" s="2716"/>
      <c r="BO13" s="2716"/>
      <c r="BP13" s="2716"/>
      <c r="BQ13" s="2716"/>
      <c r="BR13" s="2718"/>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c r="IW13" s="52"/>
      <c r="IX13" s="52"/>
      <c r="IY13" s="52"/>
      <c r="IZ13" s="52"/>
      <c r="JA13" s="52"/>
      <c r="JB13" s="52"/>
      <c r="JC13" s="52"/>
      <c r="JD13" s="52"/>
      <c r="JE13" s="52"/>
      <c r="JF13" s="52"/>
      <c r="JG13" s="52"/>
      <c r="JH13" s="52"/>
      <c r="JI13" s="52"/>
      <c r="JJ13" s="52"/>
      <c r="JK13" s="52"/>
      <c r="JL13" s="52"/>
      <c r="JM13" s="52"/>
      <c r="JN13" s="52"/>
      <c r="JO13" s="52"/>
      <c r="JP13" s="52"/>
      <c r="JQ13" s="52"/>
      <c r="JR13" s="52"/>
      <c r="JS13" s="52"/>
      <c r="JT13" s="52"/>
      <c r="JU13" s="52"/>
    </row>
    <row r="14" spans="1:281" ht="78" customHeight="1" x14ac:dyDescent="0.25">
      <c r="A14" s="1754"/>
      <c r="B14" s="3045"/>
      <c r="C14" s="3045"/>
      <c r="D14" s="1755"/>
      <c r="E14" s="3045"/>
      <c r="F14" s="3045"/>
      <c r="G14" s="1755"/>
      <c r="H14" s="3045"/>
      <c r="I14" s="3045"/>
      <c r="J14" s="2708">
        <v>276</v>
      </c>
      <c r="K14" s="2872" t="s">
        <v>1742</v>
      </c>
      <c r="L14" s="2707" t="s">
        <v>1743</v>
      </c>
      <c r="M14" s="2740">
        <v>1</v>
      </c>
      <c r="N14" s="2708">
        <v>0.53</v>
      </c>
      <c r="O14" s="2709"/>
      <c r="P14" s="2888"/>
      <c r="Q14" s="2707"/>
      <c r="R14" s="3051">
        <f>+SUM(W14:W15)/S12</f>
        <v>0.18024175376541401</v>
      </c>
      <c r="S14" s="3036"/>
      <c r="T14" s="2707"/>
      <c r="U14" s="2707" t="s">
        <v>1744</v>
      </c>
      <c r="V14" s="2823" t="s">
        <v>1745</v>
      </c>
      <c r="W14" s="1760">
        <v>240000000</v>
      </c>
      <c r="X14" s="1760">
        <v>166516066</v>
      </c>
      <c r="Y14" s="1760">
        <v>131498066</v>
      </c>
      <c r="Z14" s="1758">
        <v>20</v>
      </c>
      <c r="AA14" s="1759" t="s">
        <v>1746</v>
      </c>
      <c r="AB14" s="3034"/>
      <c r="AC14" s="3034"/>
      <c r="AD14" s="3034"/>
      <c r="AE14" s="3034"/>
      <c r="AF14" s="3034"/>
      <c r="AG14" s="3034"/>
      <c r="AH14" s="3034"/>
      <c r="AI14" s="3034"/>
      <c r="AJ14" s="3034"/>
      <c r="AK14" s="3034"/>
      <c r="AL14" s="3034"/>
      <c r="AM14" s="3034"/>
      <c r="AN14" s="3034"/>
      <c r="AO14" s="3034"/>
      <c r="AP14" s="3034"/>
      <c r="AQ14" s="3034"/>
      <c r="AR14" s="3034"/>
      <c r="AS14" s="3034"/>
      <c r="AT14" s="3034"/>
      <c r="AU14" s="3034"/>
      <c r="AV14" s="3034"/>
      <c r="AW14" s="3034"/>
      <c r="AX14" s="3034"/>
      <c r="AY14" s="3034"/>
      <c r="AZ14" s="3034"/>
      <c r="BA14" s="3034"/>
      <c r="BB14" s="3034"/>
      <c r="BC14" s="3034"/>
      <c r="BD14" s="3034"/>
      <c r="BE14" s="3034"/>
      <c r="BF14" s="3034"/>
      <c r="BG14" s="3034"/>
      <c r="BH14" s="2704"/>
      <c r="BI14" s="3047"/>
      <c r="BJ14" s="3047"/>
      <c r="BK14" s="2916"/>
      <c r="BL14" s="2709"/>
      <c r="BM14" s="2743"/>
      <c r="BN14" s="2716"/>
      <c r="BO14" s="2716"/>
      <c r="BP14" s="2716"/>
      <c r="BQ14" s="2716"/>
      <c r="BR14" s="2718"/>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c r="IW14" s="52"/>
      <c r="IX14" s="52"/>
      <c r="IY14" s="52"/>
      <c r="IZ14" s="52"/>
      <c r="JA14" s="52"/>
      <c r="JB14" s="52"/>
      <c r="JC14" s="52"/>
      <c r="JD14" s="52"/>
      <c r="JE14" s="52"/>
      <c r="JF14" s="52"/>
      <c r="JG14" s="52"/>
      <c r="JH14" s="52"/>
      <c r="JI14" s="52"/>
      <c r="JJ14" s="52"/>
      <c r="JK14" s="52"/>
      <c r="JL14" s="52"/>
      <c r="JM14" s="52"/>
      <c r="JN14" s="52"/>
      <c r="JO14" s="52"/>
      <c r="JP14" s="52"/>
      <c r="JQ14" s="52"/>
      <c r="JR14" s="52"/>
      <c r="JS14" s="52"/>
      <c r="JT14" s="52"/>
      <c r="JU14" s="52"/>
    </row>
    <row r="15" spans="1:281" ht="78" customHeight="1" x14ac:dyDescent="0.25">
      <c r="A15" s="1754"/>
      <c r="B15" s="90"/>
      <c r="C15" s="90"/>
      <c r="D15" s="1755"/>
      <c r="E15" s="90"/>
      <c r="F15" s="90"/>
      <c r="G15" s="1755"/>
      <c r="H15" s="90"/>
      <c r="I15" s="90"/>
      <c r="J15" s="2710"/>
      <c r="K15" s="2872"/>
      <c r="L15" s="2707"/>
      <c r="M15" s="2740"/>
      <c r="N15" s="2710"/>
      <c r="O15" s="2709"/>
      <c r="P15" s="2888"/>
      <c r="Q15" s="2707"/>
      <c r="R15" s="3051"/>
      <c r="S15" s="3036"/>
      <c r="T15" s="2707"/>
      <c r="U15" s="2707"/>
      <c r="V15" s="2823"/>
      <c r="W15" s="1760">
        <f>0+103531048</f>
        <v>103531048</v>
      </c>
      <c r="X15" s="1760">
        <v>15894000</v>
      </c>
      <c r="Y15" s="1760">
        <v>0</v>
      </c>
      <c r="Z15" s="1758">
        <v>88</v>
      </c>
      <c r="AA15" s="1759" t="s">
        <v>75</v>
      </c>
      <c r="AB15" s="3034"/>
      <c r="AC15" s="3034"/>
      <c r="AD15" s="3034"/>
      <c r="AE15" s="3034"/>
      <c r="AF15" s="3034"/>
      <c r="AG15" s="3034"/>
      <c r="AH15" s="3034"/>
      <c r="AI15" s="3034"/>
      <c r="AJ15" s="3034"/>
      <c r="AK15" s="3034"/>
      <c r="AL15" s="3034"/>
      <c r="AM15" s="3034"/>
      <c r="AN15" s="3034"/>
      <c r="AO15" s="3034"/>
      <c r="AP15" s="3034"/>
      <c r="AQ15" s="3034"/>
      <c r="AR15" s="3034"/>
      <c r="AS15" s="3034"/>
      <c r="AT15" s="3034"/>
      <c r="AU15" s="3034"/>
      <c r="AV15" s="3034"/>
      <c r="AW15" s="3034"/>
      <c r="AX15" s="3034"/>
      <c r="AY15" s="3034"/>
      <c r="AZ15" s="3034"/>
      <c r="BA15" s="3034"/>
      <c r="BB15" s="3034"/>
      <c r="BC15" s="3034"/>
      <c r="BD15" s="3034"/>
      <c r="BE15" s="3034"/>
      <c r="BF15" s="3034"/>
      <c r="BG15" s="3034"/>
      <c r="BH15" s="2704"/>
      <c r="BI15" s="3047"/>
      <c r="BJ15" s="3047"/>
      <c r="BK15" s="2916"/>
      <c r="BL15" s="2709"/>
      <c r="BM15" s="2743"/>
      <c r="BN15" s="2716"/>
      <c r="BO15" s="2716"/>
      <c r="BP15" s="2716"/>
      <c r="BQ15" s="2716"/>
      <c r="BR15" s="2718"/>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c r="IW15" s="52"/>
      <c r="IX15" s="52"/>
      <c r="IY15" s="52"/>
      <c r="IZ15" s="52"/>
      <c r="JA15" s="52"/>
      <c r="JB15" s="52"/>
      <c r="JC15" s="52"/>
      <c r="JD15" s="52"/>
      <c r="JE15" s="52"/>
      <c r="JF15" s="52"/>
      <c r="JG15" s="52"/>
      <c r="JH15" s="52"/>
      <c r="JI15" s="52"/>
      <c r="JJ15" s="52"/>
      <c r="JK15" s="52"/>
      <c r="JL15" s="52"/>
      <c r="JM15" s="52"/>
      <c r="JN15" s="52"/>
      <c r="JO15" s="52"/>
      <c r="JP15" s="52"/>
      <c r="JQ15" s="52"/>
      <c r="JR15" s="52"/>
      <c r="JS15" s="52"/>
      <c r="JT15" s="52"/>
      <c r="JU15" s="52"/>
    </row>
    <row r="16" spans="1:281" ht="78" customHeight="1" x14ac:dyDescent="0.25">
      <c r="A16" s="1754"/>
      <c r="B16" s="90"/>
      <c r="C16" s="90"/>
      <c r="D16" s="1755"/>
      <c r="E16" s="90"/>
      <c r="F16" s="90"/>
      <c r="G16" s="1755"/>
      <c r="H16" s="90"/>
      <c r="I16" s="90"/>
      <c r="J16" s="2709">
        <v>277</v>
      </c>
      <c r="K16" s="2707" t="s">
        <v>1747</v>
      </c>
      <c r="L16" s="2707" t="s">
        <v>1748</v>
      </c>
      <c r="M16" s="2740">
        <v>1</v>
      </c>
      <c r="N16" s="2708">
        <v>0.25</v>
      </c>
      <c r="O16" s="2709"/>
      <c r="P16" s="2888"/>
      <c r="Q16" s="2707"/>
      <c r="R16" s="3051">
        <f>+W16/S12</f>
        <v>0.13116845974676938</v>
      </c>
      <c r="S16" s="3036"/>
      <c r="T16" s="2707"/>
      <c r="U16" s="2707" t="s">
        <v>1749</v>
      </c>
      <c r="V16" s="2823" t="s">
        <v>1750</v>
      </c>
      <c r="W16" s="3039">
        <v>250000000</v>
      </c>
      <c r="X16" s="3040"/>
      <c r="Y16" s="3040"/>
      <c r="Z16" s="3043">
        <v>56</v>
      </c>
      <c r="AA16" s="3044" t="s">
        <v>1751</v>
      </c>
      <c r="AB16" s="3034"/>
      <c r="AC16" s="3034"/>
      <c r="AD16" s="3034"/>
      <c r="AE16" s="3034"/>
      <c r="AF16" s="3034"/>
      <c r="AG16" s="3034"/>
      <c r="AH16" s="3034"/>
      <c r="AI16" s="3034"/>
      <c r="AJ16" s="3034"/>
      <c r="AK16" s="3034"/>
      <c r="AL16" s="3034"/>
      <c r="AM16" s="3034"/>
      <c r="AN16" s="3034"/>
      <c r="AO16" s="3034"/>
      <c r="AP16" s="3034"/>
      <c r="AQ16" s="3034"/>
      <c r="AR16" s="3034"/>
      <c r="AS16" s="3034"/>
      <c r="AT16" s="3034"/>
      <c r="AU16" s="3034"/>
      <c r="AV16" s="3034"/>
      <c r="AW16" s="3034"/>
      <c r="AX16" s="3034"/>
      <c r="AY16" s="3034"/>
      <c r="AZ16" s="3034"/>
      <c r="BA16" s="3034"/>
      <c r="BB16" s="3034"/>
      <c r="BC16" s="3034"/>
      <c r="BD16" s="3034"/>
      <c r="BE16" s="3034"/>
      <c r="BF16" s="3034"/>
      <c r="BG16" s="3034"/>
      <c r="BH16" s="2704"/>
      <c r="BI16" s="3047"/>
      <c r="BJ16" s="3047"/>
      <c r="BK16" s="2916"/>
      <c r="BL16" s="2709"/>
      <c r="BM16" s="2743"/>
      <c r="BN16" s="2716"/>
      <c r="BO16" s="2716"/>
      <c r="BP16" s="2716"/>
      <c r="BQ16" s="2716"/>
      <c r="BR16" s="2718"/>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c r="IU16" s="52"/>
      <c r="IV16" s="52"/>
      <c r="IW16" s="52"/>
      <c r="IX16" s="52"/>
      <c r="IY16" s="52"/>
      <c r="IZ16" s="52"/>
      <c r="JA16" s="52"/>
      <c r="JB16" s="52"/>
      <c r="JC16" s="52"/>
      <c r="JD16" s="52"/>
      <c r="JE16" s="52"/>
      <c r="JF16" s="52"/>
      <c r="JG16" s="52"/>
      <c r="JH16" s="52"/>
      <c r="JI16" s="52"/>
      <c r="JJ16" s="52"/>
      <c r="JK16" s="52"/>
      <c r="JL16" s="52"/>
      <c r="JM16" s="52"/>
      <c r="JN16" s="52"/>
      <c r="JO16" s="52"/>
      <c r="JP16" s="52"/>
      <c r="JQ16" s="52"/>
      <c r="JR16" s="52"/>
      <c r="JS16" s="52"/>
      <c r="JT16" s="52"/>
      <c r="JU16" s="52"/>
    </row>
    <row r="17" spans="1:281" ht="78" customHeight="1" x14ac:dyDescent="0.25">
      <c r="A17" s="1754"/>
      <c r="B17" s="90"/>
      <c r="C17" s="90"/>
      <c r="D17" s="1755"/>
      <c r="E17" s="90"/>
      <c r="F17" s="90"/>
      <c r="G17" s="1755"/>
      <c r="H17" s="90"/>
      <c r="I17" s="90"/>
      <c r="J17" s="2709"/>
      <c r="K17" s="2707"/>
      <c r="L17" s="2707"/>
      <c r="M17" s="2740"/>
      <c r="N17" s="2709"/>
      <c r="O17" s="2709"/>
      <c r="P17" s="2888"/>
      <c r="Q17" s="2707"/>
      <c r="R17" s="3051"/>
      <c r="S17" s="3036"/>
      <c r="T17" s="2707"/>
      <c r="U17" s="2707"/>
      <c r="V17" s="2823"/>
      <c r="W17" s="3039"/>
      <c r="X17" s="3041"/>
      <c r="Y17" s="3041"/>
      <c r="Z17" s="3043"/>
      <c r="AA17" s="3044"/>
      <c r="AB17" s="3034"/>
      <c r="AC17" s="3034"/>
      <c r="AD17" s="3034"/>
      <c r="AE17" s="3034"/>
      <c r="AF17" s="3034"/>
      <c r="AG17" s="3034"/>
      <c r="AH17" s="3034"/>
      <c r="AI17" s="3034"/>
      <c r="AJ17" s="3034"/>
      <c r="AK17" s="3034"/>
      <c r="AL17" s="3034"/>
      <c r="AM17" s="3034"/>
      <c r="AN17" s="3034"/>
      <c r="AO17" s="3034"/>
      <c r="AP17" s="3034"/>
      <c r="AQ17" s="3034"/>
      <c r="AR17" s="3034"/>
      <c r="AS17" s="3034"/>
      <c r="AT17" s="3034"/>
      <c r="AU17" s="3034"/>
      <c r="AV17" s="3034"/>
      <c r="AW17" s="3034"/>
      <c r="AX17" s="3034"/>
      <c r="AY17" s="3034"/>
      <c r="AZ17" s="3034"/>
      <c r="BA17" s="3034"/>
      <c r="BB17" s="3034"/>
      <c r="BC17" s="3034"/>
      <c r="BD17" s="3034"/>
      <c r="BE17" s="3034"/>
      <c r="BF17" s="3034"/>
      <c r="BG17" s="3034"/>
      <c r="BH17" s="2704"/>
      <c r="BI17" s="3047"/>
      <c r="BJ17" s="3047"/>
      <c r="BK17" s="2916"/>
      <c r="BL17" s="2709"/>
      <c r="BM17" s="2743"/>
      <c r="BN17" s="2716"/>
      <c r="BO17" s="2716"/>
      <c r="BP17" s="2716"/>
      <c r="BQ17" s="2716"/>
      <c r="BR17" s="2718"/>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c r="IW17" s="52"/>
      <c r="IX17" s="52"/>
      <c r="IY17" s="52"/>
      <c r="IZ17" s="52"/>
      <c r="JA17" s="52"/>
      <c r="JB17" s="52"/>
      <c r="JC17" s="52"/>
      <c r="JD17" s="52"/>
      <c r="JE17" s="52"/>
      <c r="JF17" s="52"/>
      <c r="JG17" s="52"/>
      <c r="JH17" s="52"/>
      <c r="JI17" s="52"/>
      <c r="JJ17" s="52"/>
      <c r="JK17" s="52"/>
      <c r="JL17" s="52"/>
      <c r="JM17" s="52"/>
      <c r="JN17" s="52"/>
      <c r="JO17" s="52"/>
      <c r="JP17" s="52"/>
      <c r="JQ17" s="52"/>
      <c r="JR17" s="52"/>
      <c r="JS17" s="52"/>
      <c r="JT17" s="52"/>
      <c r="JU17" s="52"/>
    </row>
    <row r="18" spans="1:281" ht="78" customHeight="1" x14ac:dyDescent="0.25">
      <c r="A18" s="1754"/>
      <c r="B18" s="90"/>
      <c r="C18" s="90"/>
      <c r="D18" s="1755"/>
      <c r="E18" s="90"/>
      <c r="F18" s="90"/>
      <c r="G18" s="1755"/>
      <c r="H18" s="90"/>
      <c r="I18" s="90"/>
      <c r="J18" s="2709"/>
      <c r="K18" s="2707"/>
      <c r="L18" s="2707"/>
      <c r="M18" s="2740"/>
      <c r="N18" s="2710"/>
      <c r="O18" s="2710"/>
      <c r="P18" s="2888"/>
      <c r="Q18" s="2707"/>
      <c r="R18" s="3051"/>
      <c r="S18" s="3036"/>
      <c r="T18" s="2707"/>
      <c r="U18" s="2707"/>
      <c r="V18" s="2823"/>
      <c r="W18" s="3039"/>
      <c r="X18" s="3042"/>
      <c r="Y18" s="3042"/>
      <c r="Z18" s="3043"/>
      <c r="AA18" s="3044"/>
      <c r="AB18" s="3035"/>
      <c r="AC18" s="3035"/>
      <c r="AD18" s="3035"/>
      <c r="AE18" s="3035"/>
      <c r="AF18" s="3035"/>
      <c r="AG18" s="3035"/>
      <c r="AH18" s="3035"/>
      <c r="AI18" s="3035"/>
      <c r="AJ18" s="3035"/>
      <c r="AK18" s="3035"/>
      <c r="AL18" s="3035"/>
      <c r="AM18" s="3035"/>
      <c r="AN18" s="3035"/>
      <c r="AO18" s="3035"/>
      <c r="AP18" s="3035"/>
      <c r="AQ18" s="3035"/>
      <c r="AR18" s="3035"/>
      <c r="AS18" s="3035"/>
      <c r="AT18" s="3035"/>
      <c r="AU18" s="3035"/>
      <c r="AV18" s="3035"/>
      <c r="AW18" s="3035"/>
      <c r="AX18" s="3035"/>
      <c r="AY18" s="3035"/>
      <c r="AZ18" s="3035"/>
      <c r="BA18" s="3035"/>
      <c r="BB18" s="3035"/>
      <c r="BC18" s="3035"/>
      <c r="BD18" s="3035"/>
      <c r="BE18" s="3035"/>
      <c r="BF18" s="3035"/>
      <c r="BG18" s="3035"/>
      <c r="BH18" s="2705"/>
      <c r="BI18" s="3048"/>
      <c r="BJ18" s="3048"/>
      <c r="BK18" s="2917"/>
      <c r="BL18" s="2710"/>
      <c r="BM18" s="3050"/>
      <c r="BN18" s="2717"/>
      <c r="BO18" s="2717"/>
      <c r="BP18" s="2717"/>
      <c r="BQ18" s="2717"/>
      <c r="BR18" s="2718"/>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c r="IW18" s="52"/>
      <c r="IX18" s="52"/>
      <c r="IY18" s="52"/>
      <c r="IZ18" s="52"/>
      <c r="JA18" s="52"/>
      <c r="JB18" s="52"/>
      <c r="JC18" s="52"/>
      <c r="JD18" s="52"/>
      <c r="JE18" s="52"/>
      <c r="JF18" s="52"/>
      <c r="JG18" s="52"/>
      <c r="JH18" s="52"/>
      <c r="JI18" s="52"/>
      <c r="JJ18" s="52"/>
      <c r="JK18" s="52"/>
      <c r="JL18" s="52"/>
      <c r="JM18" s="52"/>
      <c r="JN18" s="52"/>
      <c r="JO18" s="52"/>
      <c r="JP18" s="52"/>
      <c r="JQ18" s="52"/>
      <c r="JR18" s="52"/>
      <c r="JS18" s="52"/>
      <c r="JT18" s="52"/>
      <c r="JU18" s="52"/>
    </row>
    <row r="19" spans="1:281" ht="78" customHeight="1" x14ac:dyDescent="0.25">
      <c r="A19" s="1754"/>
      <c r="B19" s="3045"/>
      <c r="C19" s="3045"/>
      <c r="D19" s="1755"/>
      <c r="E19" s="3045"/>
      <c r="F19" s="3045"/>
      <c r="G19" s="1755"/>
      <c r="H19" s="3045"/>
      <c r="I19" s="3045"/>
      <c r="J19" s="566">
        <v>278</v>
      </c>
      <c r="K19" s="563" t="s">
        <v>1752</v>
      </c>
      <c r="L19" s="563" t="s">
        <v>1753</v>
      </c>
      <c r="M19" s="588">
        <v>1</v>
      </c>
      <c r="N19" s="566">
        <v>0.25</v>
      </c>
      <c r="O19" s="2708" t="s">
        <v>1754</v>
      </c>
      <c r="P19" s="2888" t="s">
        <v>1755</v>
      </c>
      <c r="Q19" s="2707" t="s">
        <v>1756</v>
      </c>
      <c r="R19" s="1761">
        <f>+W19/S19</f>
        <v>2.259748877542057E-2</v>
      </c>
      <c r="S19" s="3036">
        <f>SUM(W19:W21)</f>
        <v>442527048</v>
      </c>
      <c r="T19" s="2707" t="s">
        <v>1757</v>
      </c>
      <c r="U19" s="563" t="s">
        <v>1758</v>
      </c>
      <c r="V19" s="737" t="s">
        <v>1759</v>
      </c>
      <c r="W19" s="1757">
        <v>10000000</v>
      </c>
      <c r="X19" s="1757"/>
      <c r="Y19" s="1757"/>
      <c r="Z19" s="1758">
        <v>20</v>
      </c>
      <c r="AA19" s="1759" t="s">
        <v>697</v>
      </c>
      <c r="AB19" s="3052">
        <v>294321</v>
      </c>
      <c r="AC19" s="3052">
        <f>+AB19*0.5</f>
        <v>147160.5</v>
      </c>
      <c r="AD19" s="3052">
        <v>283947</v>
      </c>
      <c r="AE19" s="3052">
        <f>+AD19*0.5</f>
        <v>141973.5</v>
      </c>
      <c r="AF19" s="3052">
        <v>135754</v>
      </c>
      <c r="AG19" s="3052">
        <f>+AF19*0.5</f>
        <v>67877</v>
      </c>
      <c r="AH19" s="3052">
        <v>44640</v>
      </c>
      <c r="AI19" s="3052">
        <f>+AH19*0.5</f>
        <v>22320</v>
      </c>
      <c r="AJ19" s="3052">
        <v>308178</v>
      </c>
      <c r="AK19" s="3052">
        <f>+AJ19*0.5</f>
        <v>154089</v>
      </c>
      <c r="AL19" s="3052">
        <v>89696</v>
      </c>
      <c r="AM19" s="3052">
        <f>+AL19*0.5</f>
        <v>44848</v>
      </c>
      <c r="AN19" s="3052">
        <v>2145</v>
      </c>
      <c r="AO19" s="3052">
        <f>+AN19*0.5</f>
        <v>1072.5</v>
      </c>
      <c r="AP19" s="3052">
        <v>12718</v>
      </c>
      <c r="AQ19" s="3052">
        <f>+AP19*0.5</f>
        <v>6359</v>
      </c>
      <c r="AR19" s="3052">
        <v>26</v>
      </c>
      <c r="AS19" s="3052">
        <f>+AR19*0.5</f>
        <v>13</v>
      </c>
      <c r="AT19" s="3052">
        <v>37</v>
      </c>
      <c r="AU19" s="3052">
        <f>+AT19*0.5</f>
        <v>18.5</v>
      </c>
      <c r="AV19" s="3052">
        <v>0</v>
      </c>
      <c r="AW19" s="3052">
        <v>0</v>
      </c>
      <c r="AX19" s="3052">
        <v>0</v>
      </c>
      <c r="AY19" s="3052">
        <v>0</v>
      </c>
      <c r="AZ19" s="3052">
        <v>54612</v>
      </c>
      <c r="BA19" s="3052">
        <f>+AZ19*0.5</f>
        <v>27306</v>
      </c>
      <c r="BB19" s="3052">
        <v>21944</v>
      </c>
      <c r="BC19" s="3052">
        <f>+BB19*0.5</f>
        <v>10972</v>
      </c>
      <c r="BD19" s="3052">
        <v>1010</v>
      </c>
      <c r="BE19" s="3052">
        <f>+BD19*0.5</f>
        <v>505</v>
      </c>
      <c r="BF19" s="3052">
        <v>575010</v>
      </c>
      <c r="BG19" s="3052">
        <f>+BF19*0.5</f>
        <v>287505</v>
      </c>
      <c r="BH19" s="3054">
        <v>16</v>
      </c>
      <c r="BI19" s="3056">
        <v>223416000</v>
      </c>
      <c r="BJ19" s="3056">
        <v>181440000</v>
      </c>
      <c r="BK19" s="3071">
        <f>+BJ19/BI19</f>
        <v>0.81211730583306474</v>
      </c>
      <c r="BL19" s="3054" t="s">
        <v>1760</v>
      </c>
      <c r="BM19" s="3054" t="s">
        <v>1761</v>
      </c>
      <c r="BN19" s="3062">
        <v>43470</v>
      </c>
      <c r="BO19" s="3062">
        <v>43481</v>
      </c>
      <c r="BP19" s="3062">
        <v>43830</v>
      </c>
      <c r="BQ19" s="3062">
        <v>43826</v>
      </c>
      <c r="BR19" s="3064" t="s">
        <v>1762</v>
      </c>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c r="IW19" s="52"/>
      <c r="IX19" s="52"/>
      <c r="IY19" s="52"/>
      <c r="IZ19" s="52"/>
      <c r="JA19" s="52"/>
      <c r="JB19" s="52"/>
      <c r="JC19" s="52"/>
      <c r="JD19" s="52"/>
      <c r="JE19" s="52"/>
      <c r="JF19" s="52"/>
      <c r="JG19" s="52"/>
      <c r="JH19" s="52"/>
      <c r="JI19" s="52"/>
      <c r="JJ19" s="52"/>
      <c r="JK19" s="52"/>
      <c r="JL19" s="52"/>
      <c r="JM19" s="52"/>
      <c r="JN19" s="52"/>
      <c r="JO19" s="52"/>
      <c r="JP19" s="52"/>
      <c r="JQ19" s="52"/>
      <c r="JR19" s="52"/>
      <c r="JS19" s="52"/>
      <c r="JT19" s="52"/>
      <c r="JU19" s="52"/>
    </row>
    <row r="20" spans="1:281" ht="78" customHeight="1" x14ac:dyDescent="0.25">
      <c r="A20" s="1754"/>
      <c r="B20" s="90"/>
      <c r="C20" s="90"/>
      <c r="D20" s="1755"/>
      <c r="E20" s="90"/>
      <c r="F20" s="90"/>
      <c r="G20" s="1755"/>
      <c r="H20" s="90"/>
      <c r="I20" s="90"/>
      <c r="J20" s="2708">
        <v>279</v>
      </c>
      <c r="K20" s="3030" t="s">
        <v>1763</v>
      </c>
      <c r="L20" s="3030" t="s">
        <v>1764</v>
      </c>
      <c r="M20" s="2708">
        <v>1</v>
      </c>
      <c r="N20" s="2706">
        <v>0.52</v>
      </c>
      <c r="O20" s="2709"/>
      <c r="P20" s="2888"/>
      <c r="Q20" s="2707"/>
      <c r="R20" s="2851">
        <f>+SUM(W20:W21)/S19</f>
        <v>0.97740251122457944</v>
      </c>
      <c r="S20" s="3036"/>
      <c r="T20" s="2707"/>
      <c r="U20" s="3030" t="s">
        <v>1765</v>
      </c>
      <c r="V20" s="3069" t="s">
        <v>1766</v>
      </c>
      <c r="W20" s="1757">
        <v>306000000</v>
      </c>
      <c r="X20" s="1757">
        <v>223416000</v>
      </c>
      <c r="Y20" s="1757">
        <v>181440000</v>
      </c>
      <c r="Z20" s="1758">
        <v>20</v>
      </c>
      <c r="AA20" s="1759" t="s">
        <v>697</v>
      </c>
      <c r="AB20" s="3053"/>
      <c r="AC20" s="3053"/>
      <c r="AD20" s="3053"/>
      <c r="AE20" s="3053"/>
      <c r="AF20" s="3053"/>
      <c r="AG20" s="3053"/>
      <c r="AH20" s="3053"/>
      <c r="AI20" s="3053"/>
      <c r="AJ20" s="3053"/>
      <c r="AK20" s="3053"/>
      <c r="AL20" s="3053"/>
      <c r="AM20" s="3053"/>
      <c r="AN20" s="3053"/>
      <c r="AO20" s="3053"/>
      <c r="AP20" s="3053"/>
      <c r="AQ20" s="3053"/>
      <c r="AR20" s="3053"/>
      <c r="AS20" s="3053"/>
      <c r="AT20" s="3053"/>
      <c r="AU20" s="3053"/>
      <c r="AV20" s="3053"/>
      <c r="AW20" s="3053"/>
      <c r="AX20" s="3053"/>
      <c r="AY20" s="3053"/>
      <c r="AZ20" s="3053"/>
      <c r="BA20" s="3053"/>
      <c r="BB20" s="3053"/>
      <c r="BC20" s="3053"/>
      <c r="BD20" s="3053"/>
      <c r="BE20" s="3053"/>
      <c r="BF20" s="3053"/>
      <c r="BG20" s="3053"/>
      <c r="BH20" s="3055"/>
      <c r="BI20" s="3057"/>
      <c r="BJ20" s="3057"/>
      <c r="BK20" s="3072"/>
      <c r="BL20" s="3055"/>
      <c r="BM20" s="3055"/>
      <c r="BN20" s="3063"/>
      <c r="BO20" s="3063"/>
      <c r="BP20" s="3063"/>
      <c r="BQ20" s="3063"/>
      <c r="BR20" s="3065"/>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c r="IW20" s="52"/>
      <c r="IX20" s="52"/>
      <c r="IY20" s="52"/>
      <c r="IZ20" s="52"/>
      <c r="JA20" s="52"/>
      <c r="JB20" s="52"/>
      <c r="JC20" s="52"/>
      <c r="JD20" s="52"/>
      <c r="JE20" s="52"/>
      <c r="JF20" s="52"/>
      <c r="JG20" s="52"/>
      <c r="JH20" s="52"/>
      <c r="JI20" s="52"/>
      <c r="JJ20" s="52"/>
      <c r="JK20" s="52"/>
      <c r="JL20" s="52"/>
      <c r="JM20" s="52"/>
      <c r="JN20" s="52"/>
      <c r="JO20" s="52"/>
      <c r="JP20" s="52"/>
      <c r="JQ20" s="52"/>
      <c r="JR20" s="52"/>
      <c r="JS20" s="52"/>
      <c r="JT20" s="52"/>
      <c r="JU20" s="52"/>
    </row>
    <row r="21" spans="1:281" ht="78" customHeight="1" thickBot="1" x14ac:dyDescent="0.3">
      <c r="A21" s="1754"/>
      <c r="B21" s="90"/>
      <c r="C21" s="90"/>
      <c r="D21" s="1755"/>
      <c r="E21" s="90"/>
      <c r="F21" s="90"/>
      <c r="G21" s="1755"/>
      <c r="H21" s="90"/>
      <c r="I21" s="90"/>
      <c r="J21" s="3066"/>
      <c r="K21" s="3067"/>
      <c r="L21" s="3067"/>
      <c r="M21" s="3066"/>
      <c r="N21" s="2706"/>
      <c r="O21" s="2709"/>
      <c r="P21" s="2706"/>
      <c r="Q21" s="2707"/>
      <c r="R21" s="3068"/>
      <c r="S21" s="3036"/>
      <c r="T21" s="2707"/>
      <c r="U21" s="3067"/>
      <c r="V21" s="3070"/>
      <c r="W21" s="1762">
        <f>0+126527048</f>
        <v>126527048</v>
      </c>
      <c r="X21" s="1762"/>
      <c r="Y21" s="1762"/>
      <c r="Z21" s="1763">
        <v>88</v>
      </c>
      <c r="AA21" s="1764" t="s">
        <v>75</v>
      </c>
      <c r="AB21" s="3053"/>
      <c r="AC21" s="3053"/>
      <c r="AD21" s="3053"/>
      <c r="AE21" s="3053"/>
      <c r="AF21" s="3053"/>
      <c r="AG21" s="3053"/>
      <c r="AH21" s="3053"/>
      <c r="AI21" s="3053"/>
      <c r="AJ21" s="3053"/>
      <c r="AK21" s="3053"/>
      <c r="AL21" s="3053"/>
      <c r="AM21" s="3053"/>
      <c r="AN21" s="3053"/>
      <c r="AO21" s="3053"/>
      <c r="AP21" s="3053"/>
      <c r="AQ21" s="3053"/>
      <c r="AR21" s="3053"/>
      <c r="AS21" s="3053"/>
      <c r="AT21" s="3053"/>
      <c r="AU21" s="3053"/>
      <c r="AV21" s="3053"/>
      <c r="AW21" s="3053"/>
      <c r="AX21" s="3053"/>
      <c r="AY21" s="3053"/>
      <c r="AZ21" s="3053"/>
      <c r="BA21" s="3053"/>
      <c r="BB21" s="3053"/>
      <c r="BC21" s="3053"/>
      <c r="BD21" s="3053"/>
      <c r="BE21" s="3053"/>
      <c r="BF21" s="3053"/>
      <c r="BG21" s="3053"/>
      <c r="BH21" s="3055"/>
      <c r="BI21" s="3057"/>
      <c r="BJ21" s="3057"/>
      <c r="BK21" s="3072"/>
      <c r="BL21" s="3055"/>
      <c r="BM21" s="3055"/>
      <c r="BN21" s="3063"/>
      <c r="BO21" s="3063"/>
      <c r="BP21" s="3063"/>
      <c r="BQ21" s="3063"/>
      <c r="BR21" s="3065"/>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c r="IW21" s="52"/>
      <c r="IX21" s="52"/>
      <c r="IY21" s="52"/>
      <c r="IZ21" s="52"/>
      <c r="JA21" s="52"/>
      <c r="JB21" s="52"/>
      <c r="JC21" s="52"/>
      <c r="JD21" s="52"/>
      <c r="JE21" s="52"/>
      <c r="JF21" s="52"/>
      <c r="JG21" s="52"/>
      <c r="JH21" s="52"/>
      <c r="JI21" s="52"/>
      <c r="JJ21" s="52"/>
      <c r="JK21" s="52"/>
      <c r="JL21" s="52"/>
      <c r="JM21" s="52"/>
      <c r="JN21" s="52"/>
      <c r="JO21" s="52"/>
      <c r="JP21" s="52"/>
      <c r="JQ21" s="52"/>
      <c r="JR21" s="52"/>
      <c r="JS21" s="52"/>
      <c r="JT21" s="52"/>
      <c r="JU21" s="52"/>
    </row>
    <row r="22" spans="1:281" ht="33.75" customHeight="1" thickBot="1" x14ac:dyDescent="0.3">
      <c r="A22" s="1765"/>
      <c r="B22" s="1766"/>
      <c r="C22" s="1766"/>
      <c r="D22" s="1766"/>
      <c r="E22" s="1766"/>
      <c r="F22" s="1766"/>
      <c r="G22" s="1766"/>
      <c r="H22" s="1766"/>
      <c r="I22" s="1766"/>
      <c r="J22" s="1767"/>
      <c r="K22" s="1768"/>
      <c r="L22" s="1768"/>
      <c r="M22" s="891"/>
      <c r="N22" s="1769"/>
      <c r="O22" s="1768"/>
      <c r="P22" s="1768"/>
      <c r="Q22" s="1768"/>
      <c r="R22" s="1770"/>
      <c r="S22" s="1771">
        <f>SUM(S12:S21)</f>
        <v>2348473039</v>
      </c>
      <c r="T22" s="1772"/>
      <c r="U22" s="1768"/>
      <c r="V22" s="1768"/>
      <c r="W22" s="1773">
        <f>SUM(W12:W21)</f>
        <v>2348473039</v>
      </c>
      <c r="X22" s="1774">
        <f t="shared" ref="X22:Y22" si="0">SUM(X12:X21)</f>
        <v>1077240961</v>
      </c>
      <c r="Y22" s="1775">
        <f t="shared" si="0"/>
        <v>579203289.75</v>
      </c>
      <c r="Z22" s="1776"/>
      <c r="AA22" s="892"/>
      <c r="AB22" s="1766"/>
      <c r="AC22" s="1766"/>
      <c r="AD22" s="1766"/>
      <c r="AE22" s="1766"/>
      <c r="AF22" s="1766"/>
      <c r="AG22" s="1766"/>
      <c r="AH22" s="1766"/>
      <c r="AI22" s="1766"/>
      <c r="AJ22" s="1766"/>
      <c r="AK22" s="1766"/>
      <c r="AL22" s="1766"/>
      <c r="AM22" s="1766"/>
      <c r="AN22" s="1766"/>
      <c r="AO22" s="1766"/>
      <c r="AP22" s="1766"/>
      <c r="AQ22" s="1766"/>
      <c r="AR22" s="1766"/>
      <c r="AS22" s="1766"/>
      <c r="AT22" s="1766"/>
      <c r="AU22" s="1766"/>
      <c r="AV22" s="1766"/>
      <c r="AW22" s="1766"/>
      <c r="AX22" s="1766"/>
      <c r="AY22" s="1766"/>
      <c r="AZ22" s="1766"/>
      <c r="BA22" s="1766"/>
      <c r="BB22" s="1766"/>
      <c r="BC22" s="1766"/>
      <c r="BD22" s="1766"/>
      <c r="BE22" s="1766"/>
      <c r="BF22" s="1766"/>
      <c r="BG22" s="1766"/>
      <c r="BH22" s="1766"/>
      <c r="BI22" s="1777">
        <f>SUM(BI12:BI21)</f>
        <v>1077240961</v>
      </c>
      <c r="BJ22" s="1777">
        <f>SUM(BJ12:BJ21)</f>
        <v>579203289.75</v>
      </c>
      <c r="BK22" s="1766"/>
      <c r="BL22" s="1766"/>
      <c r="BM22" s="1766"/>
      <c r="BN22" s="906"/>
      <c r="BO22" s="906"/>
      <c r="BP22" s="1778"/>
      <c r="BQ22" s="1778"/>
      <c r="BR22" s="908"/>
      <c r="BS22" s="1673"/>
      <c r="BT22" s="1673"/>
      <c r="BU22" s="1673"/>
      <c r="BV22" s="1673"/>
      <c r="BW22" s="1673"/>
      <c r="BX22" s="1673"/>
      <c r="BY22" s="1673"/>
      <c r="BZ22" s="1673"/>
      <c r="CA22" s="1673"/>
      <c r="CB22" s="1673"/>
      <c r="CC22" s="1673"/>
      <c r="CD22" s="1673"/>
      <c r="CE22" s="1673"/>
      <c r="CF22" s="1673"/>
      <c r="CG22" s="1673"/>
      <c r="CH22" s="1673"/>
      <c r="CI22" s="1673"/>
      <c r="CJ22" s="1673"/>
      <c r="CK22" s="1673"/>
      <c r="CL22" s="1673"/>
      <c r="CM22" s="1673"/>
      <c r="CN22" s="1673"/>
      <c r="CO22" s="1673"/>
      <c r="CP22" s="1673"/>
      <c r="CQ22" s="1673"/>
      <c r="CR22" s="1673"/>
      <c r="CS22" s="1673"/>
      <c r="CT22" s="1673"/>
      <c r="CU22" s="1673"/>
      <c r="CV22" s="1673"/>
      <c r="CW22" s="1673"/>
      <c r="CX22" s="1673"/>
      <c r="CY22" s="1673"/>
      <c r="CZ22" s="1673"/>
      <c r="DA22" s="1673"/>
      <c r="DB22" s="1673"/>
      <c r="DC22" s="1673"/>
      <c r="DD22" s="1673"/>
      <c r="DE22" s="1673"/>
      <c r="DF22" s="1673"/>
      <c r="DG22" s="1673"/>
      <c r="DH22" s="1673"/>
      <c r="DI22" s="1673"/>
      <c r="DJ22" s="1673"/>
      <c r="DK22" s="1673"/>
      <c r="DL22" s="1673"/>
      <c r="DM22" s="1673"/>
      <c r="DN22" s="1673"/>
      <c r="DO22" s="1673"/>
      <c r="DP22" s="1673"/>
      <c r="DQ22" s="1673"/>
      <c r="DR22" s="1673"/>
      <c r="DS22" s="1673"/>
      <c r="DT22" s="1673"/>
      <c r="DU22" s="1673"/>
      <c r="DV22" s="1673"/>
      <c r="DW22" s="1673"/>
      <c r="DX22" s="1673"/>
      <c r="DY22" s="1673"/>
      <c r="DZ22" s="1673"/>
      <c r="EA22" s="1673"/>
      <c r="EB22" s="1673"/>
      <c r="EC22" s="1673"/>
      <c r="ED22" s="1673"/>
      <c r="EE22" s="1673"/>
      <c r="EF22" s="1673"/>
      <c r="EG22" s="1673"/>
      <c r="EH22" s="1673"/>
      <c r="EI22" s="1673"/>
      <c r="EJ22" s="1673"/>
      <c r="EK22" s="1673"/>
      <c r="EL22" s="1673"/>
      <c r="EM22" s="1673"/>
      <c r="EN22" s="1673"/>
      <c r="EO22" s="1673"/>
      <c r="EP22" s="1673"/>
      <c r="EQ22" s="1673"/>
      <c r="ER22" s="1673"/>
      <c r="ES22" s="1673"/>
      <c r="ET22" s="1673"/>
      <c r="EU22" s="1673"/>
      <c r="EV22" s="1673"/>
      <c r="EW22" s="1673"/>
      <c r="EX22" s="1673"/>
      <c r="EY22" s="1673"/>
      <c r="EZ22" s="1673"/>
      <c r="FA22" s="1673"/>
      <c r="FB22" s="1673"/>
      <c r="FC22" s="1673"/>
      <c r="FD22" s="1673"/>
      <c r="FE22" s="1673"/>
      <c r="FF22" s="1673"/>
      <c r="FG22" s="1673"/>
      <c r="FH22" s="1673"/>
      <c r="FI22" s="1673"/>
      <c r="FJ22" s="1673"/>
      <c r="FK22" s="1673"/>
      <c r="FL22" s="1673"/>
      <c r="FM22" s="1673"/>
      <c r="FN22" s="1673"/>
      <c r="FO22" s="1673"/>
      <c r="FP22" s="1673"/>
      <c r="FQ22" s="1673"/>
      <c r="FR22" s="1673"/>
      <c r="FS22" s="1673"/>
      <c r="FT22" s="1673"/>
      <c r="FU22" s="1673"/>
      <c r="FV22" s="1673"/>
      <c r="FW22" s="1673"/>
      <c r="FX22" s="1673"/>
      <c r="FY22" s="1673"/>
      <c r="FZ22" s="1673"/>
      <c r="GA22" s="1673"/>
      <c r="GB22" s="1673"/>
      <c r="GC22" s="1673"/>
      <c r="GD22" s="1673"/>
      <c r="GE22" s="1673"/>
      <c r="GF22" s="1673"/>
      <c r="GG22" s="1673"/>
      <c r="GH22" s="1673"/>
      <c r="GI22" s="1673"/>
      <c r="GJ22" s="1673"/>
      <c r="GK22" s="1673"/>
      <c r="GL22" s="1673"/>
      <c r="GM22" s="1673"/>
      <c r="GN22" s="1673"/>
      <c r="GO22" s="1673"/>
      <c r="GP22" s="1673"/>
      <c r="GQ22" s="1673"/>
      <c r="GR22" s="1673"/>
      <c r="GS22" s="1673"/>
      <c r="GT22" s="1673"/>
      <c r="GU22" s="1673"/>
      <c r="GV22" s="1673"/>
      <c r="GW22" s="1673"/>
      <c r="GX22" s="1673"/>
      <c r="GY22" s="1673"/>
      <c r="GZ22" s="1673"/>
      <c r="HA22" s="1673"/>
      <c r="HB22" s="1673"/>
      <c r="HC22" s="1673"/>
      <c r="HD22" s="1673"/>
      <c r="HE22" s="1673"/>
      <c r="HF22" s="1673"/>
      <c r="HG22" s="1673"/>
      <c r="HH22" s="1673"/>
      <c r="HI22" s="1673"/>
      <c r="HJ22" s="1673"/>
      <c r="HK22" s="1673"/>
      <c r="HL22" s="1673"/>
      <c r="HM22" s="1673"/>
      <c r="HN22" s="1673"/>
      <c r="HO22" s="1673"/>
      <c r="HP22" s="1673"/>
      <c r="HQ22" s="1673"/>
      <c r="HR22" s="1673"/>
      <c r="HS22" s="1673"/>
      <c r="HT22" s="1673"/>
      <c r="HU22" s="1673"/>
      <c r="HV22" s="1673"/>
      <c r="HW22" s="1673"/>
      <c r="HX22" s="1673"/>
      <c r="HY22" s="1673"/>
      <c r="HZ22" s="1673"/>
      <c r="IA22" s="1673"/>
      <c r="IB22" s="1673"/>
      <c r="IC22" s="1673"/>
      <c r="ID22" s="1673"/>
      <c r="IE22" s="1673"/>
      <c r="IF22" s="1673"/>
      <c r="IG22" s="1673"/>
      <c r="IH22" s="1673"/>
      <c r="II22" s="1673"/>
      <c r="IJ22" s="1673"/>
      <c r="IK22" s="1673"/>
      <c r="IL22" s="1673"/>
      <c r="IM22" s="1673"/>
      <c r="IN22" s="1673"/>
      <c r="IO22" s="1673"/>
      <c r="IP22" s="1673"/>
      <c r="IQ22" s="1673"/>
      <c r="IR22" s="1673"/>
      <c r="IS22" s="1673"/>
      <c r="IT22" s="1673"/>
      <c r="IU22" s="1673"/>
      <c r="IV22" s="1673"/>
      <c r="IW22" s="1673"/>
      <c r="IX22" s="1673"/>
      <c r="IY22" s="1673"/>
      <c r="IZ22" s="1673"/>
      <c r="JA22" s="1673"/>
      <c r="JB22" s="1673"/>
      <c r="JC22" s="1673"/>
      <c r="JD22" s="1673"/>
      <c r="JE22" s="1673"/>
      <c r="JF22" s="1673"/>
      <c r="JG22" s="1673"/>
      <c r="JH22" s="1673"/>
      <c r="JI22" s="1673"/>
      <c r="JJ22" s="1673"/>
      <c r="JK22" s="1673"/>
      <c r="JL22" s="1673"/>
      <c r="JM22" s="1673"/>
      <c r="JN22" s="1673"/>
      <c r="JO22" s="1673"/>
      <c r="JP22" s="1673"/>
      <c r="JQ22" s="1673"/>
      <c r="JR22" s="1673"/>
      <c r="JS22" s="1673"/>
      <c r="JT22" s="1673"/>
      <c r="JU22" s="1673"/>
    </row>
    <row r="23" spans="1:281" x14ac:dyDescent="0.25">
      <c r="A23" s="3058"/>
      <c r="B23" s="3058"/>
      <c r="C23" s="3058"/>
      <c r="D23" s="3058"/>
      <c r="E23" s="3058"/>
      <c r="F23" s="3058"/>
      <c r="G23" s="3058"/>
      <c r="H23" s="3058"/>
      <c r="I23" s="3058"/>
      <c r="J23" s="3058"/>
      <c r="K23" s="3058"/>
      <c r="L23" s="3058"/>
      <c r="M23" s="3058"/>
      <c r="N23" s="3058"/>
      <c r="O23" s="3058"/>
      <c r="P23" s="3058"/>
      <c r="Q23" s="3058"/>
      <c r="R23" s="3058"/>
      <c r="S23" s="1779" t="s">
        <v>1767</v>
      </c>
      <c r="T23" s="3059"/>
      <c r="U23" s="3059"/>
      <c r="V23" s="3059"/>
      <c r="W23" s="1780"/>
      <c r="X23" s="1780"/>
      <c r="Y23" s="1780"/>
      <c r="Z23" s="1781"/>
      <c r="AA23" s="717"/>
      <c r="AB23" s="52"/>
      <c r="AC23" s="52"/>
      <c r="AD23" s="1782"/>
      <c r="AE23" s="1782"/>
      <c r="AF23" s="1782"/>
      <c r="AG23" s="1782"/>
      <c r="AH23" s="1782"/>
      <c r="AI23" s="1782"/>
      <c r="AJ23" s="1783"/>
      <c r="AK23" s="1783"/>
      <c r="AL23" s="1783"/>
      <c r="AM23" s="1783"/>
      <c r="AN23" s="1783"/>
      <c r="AO23" s="1783"/>
      <c r="AP23" s="1783"/>
      <c r="AQ23" s="1783"/>
      <c r="AR23" s="1783"/>
      <c r="AS23" s="1783"/>
      <c r="AT23" s="1783"/>
      <c r="AU23" s="1783"/>
      <c r="AV23" s="1783"/>
      <c r="AW23" s="1783"/>
      <c r="AX23" s="1783"/>
      <c r="AY23" s="1783"/>
      <c r="AZ23" s="1783"/>
      <c r="BA23" s="1783"/>
      <c r="BB23" s="1783"/>
      <c r="BC23" s="1783"/>
      <c r="BD23" s="1783"/>
      <c r="BE23" s="1783"/>
      <c r="BF23" s="1783"/>
      <c r="BG23" s="1783"/>
      <c r="BH23" s="1783"/>
      <c r="BI23" s="1783"/>
      <c r="BJ23" s="1783"/>
      <c r="BK23" s="1783"/>
      <c r="BL23" s="1783"/>
      <c r="BM23" s="1783"/>
      <c r="BN23" s="1783"/>
      <c r="BO23" s="1783"/>
      <c r="BP23" s="1783"/>
      <c r="BQ23" s="1783"/>
      <c r="BR23" s="1783"/>
      <c r="BS23" s="1783"/>
      <c r="BT23" s="1783"/>
      <c r="BU23" s="1783"/>
      <c r="BV23" s="1783"/>
      <c r="BW23" s="1783"/>
      <c r="BX23" s="1783"/>
      <c r="BY23" s="1783"/>
      <c r="BZ23" s="1783"/>
      <c r="CA23" s="1783"/>
      <c r="CB23" s="1783"/>
      <c r="CC23" s="1783"/>
      <c r="CD23" s="1783"/>
      <c r="CE23" s="1782"/>
      <c r="CF23" s="1782"/>
      <c r="CG23" s="1783"/>
      <c r="CH23" s="1783"/>
      <c r="CI23" s="1783"/>
      <c r="CJ23" s="1783"/>
      <c r="CK23" s="1783"/>
      <c r="CL23" s="1783"/>
      <c r="CM23" s="1783"/>
      <c r="CN23" s="1783"/>
    </row>
    <row r="24" spans="1:281" x14ac:dyDescent="0.25">
      <c r="A24" s="1565"/>
      <c r="B24" s="1565"/>
      <c r="C24" s="1565"/>
      <c r="D24" s="1565"/>
      <c r="E24" s="1565"/>
      <c r="F24" s="1565"/>
      <c r="G24" s="1565"/>
      <c r="H24" s="1565"/>
      <c r="I24" s="1565"/>
      <c r="J24" s="1565"/>
      <c r="K24" s="1565"/>
      <c r="L24" s="1565"/>
      <c r="M24" s="1565"/>
      <c r="N24" s="1565"/>
      <c r="O24" s="1565"/>
      <c r="P24" s="1565"/>
      <c r="Q24" s="1565"/>
      <c r="R24" s="1565"/>
      <c r="S24" s="1779"/>
      <c r="T24" s="1784"/>
      <c r="U24" s="1784"/>
      <c r="V24" s="1784"/>
      <c r="W24" s="1780"/>
      <c r="X24" s="1780"/>
      <c r="Y24" s="1780"/>
      <c r="Z24" s="1781"/>
      <c r="AA24" s="717"/>
      <c r="AB24" s="1785"/>
      <c r="AC24" s="1785"/>
      <c r="AD24" s="1785"/>
      <c r="AE24" s="1785"/>
      <c r="AF24" s="1785"/>
      <c r="AG24" s="1785"/>
      <c r="AH24" s="1785"/>
      <c r="AI24" s="1785"/>
      <c r="AJ24" s="1785"/>
      <c r="AK24" s="1785"/>
      <c r="AL24" s="1785"/>
      <c r="AM24" s="1785"/>
      <c r="AN24" s="1785"/>
      <c r="AO24" s="1785"/>
      <c r="AP24" s="1785"/>
      <c r="AQ24" s="1785"/>
      <c r="AR24" s="1785"/>
      <c r="AS24" s="1785"/>
      <c r="AT24" s="1785"/>
      <c r="AU24" s="1785"/>
      <c r="AV24" s="1785"/>
      <c r="AW24" s="1785"/>
      <c r="AX24" s="1785"/>
      <c r="AY24" s="1785"/>
      <c r="AZ24" s="1785"/>
      <c r="BA24" s="1785"/>
      <c r="BB24" s="1785"/>
      <c r="BC24" s="1785"/>
      <c r="BD24" s="1785"/>
      <c r="BE24" s="1785"/>
      <c r="BF24" s="1785"/>
      <c r="BG24" s="1785"/>
      <c r="BH24" s="1785"/>
      <c r="BI24" s="1785"/>
      <c r="BJ24" s="1785"/>
      <c r="BK24" s="1785"/>
      <c r="BL24" s="1785"/>
      <c r="BM24" s="1785"/>
      <c r="BN24" s="1783"/>
      <c r="BO24" s="1783"/>
      <c r="BP24" s="1783"/>
      <c r="BQ24" s="1783"/>
      <c r="BR24" s="1783"/>
      <c r="BS24" s="1783"/>
      <c r="BT24" s="1783"/>
      <c r="BU24" s="1783"/>
      <c r="BV24" s="1783"/>
      <c r="BW24" s="1783"/>
      <c r="BX24" s="1783"/>
      <c r="BY24" s="1783"/>
      <c r="BZ24" s="1783"/>
      <c r="CA24" s="1783"/>
      <c r="CB24" s="1783"/>
      <c r="CC24" s="1783"/>
      <c r="CD24" s="1783"/>
      <c r="CE24" s="1782"/>
      <c r="CF24" s="1782"/>
      <c r="CG24" s="1783"/>
      <c r="CH24" s="1783"/>
      <c r="CI24" s="1783"/>
      <c r="CJ24" s="1783"/>
      <c r="CK24" s="1783"/>
      <c r="CL24" s="1783"/>
      <c r="CM24" s="1783"/>
      <c r="CN24" s="1783"/>
    </row>
    <row r="25" spans="1:281" x14ac:dyDescent="0.25">
      <c r="A25" s="1565"/>
      <c r="B25" s="1565"/>
      <c r="C25" s="1565"/>
      <c r="D25" s="1565"/>
      <c r="E25" s="1565"/>
      <c r="F25" s="1565"/>
      <c r="G25" s="1565"/>
      <c r="H25" s="1565"/>
      <c r="I25" s="1565"/>
      <c r="J25" s="1565"/>
      <c r="K25" s="1565"/>
      <c r="L25" s="1565"/>
      <c r="M25" s="1565"/>
      <c r="N25" s="1565"/>
      <c r="O25" s="1565"/>
      <c r="P25" s="1565"/>
      <c r="Q25" s="1565"/>
      <c r="R25" s="1565"/>
      <c r="S25" s="1779"/>
      <c r="T25" s="1784"/>
      <c r="U25" s="1784"/>
      <c r="V25" s="1784"/>
      <c r="W25" s="1780"/>
      <c r="X25" s="1780"/>
      <c r="Y25" s="1780"/>
      <c r="Z25" s="1781"/>
      <c r="AA25" s="717"/>
      <c r="AB25" s="52"/>
      <c r="AC25" s="52"/>
      <c r="AD25" s="1782"/>
      <c r="AE25" s="1782"/>
      <c r="AF25" s="1782"/>
      <c r="AG25" s="1782"/>
      <c r="AH25" s="1782"/>
      <c r="AI25" s="1782"/>
      <c r="AJ25" s="1783"/>
      <c r="AK25" s="1783"/>
      <c r="AL25" s="1783"/>
      <c r="AM25" s="1783"/>
      <c r="AN25" s="1783"/>
      <c r="AO25" s="1783"/>
      <c r="AP25" s="1783"/>
      <c r="AQ25" s="1783"/>
      <c r="AR25" s="1783"/>
      <c r="AS25" s="1783"/>
      <c r="AT25" s="1783"/>
      <c r="AU25" s="1783"/>
      <c r="AV25" s="1783"/>
      <c r="AW25" s="1783"/>
      <c r="AX25" s="1783"/>
      <c r="AY25" s="1783"/>
      <c r="AZ25" s="1783"/>
      <c r="BA25" s="1783"/>
      <c r="BB25" s="1783"/>
      <c r="BC25" s="1783"/>
      <c r="BD25" s="1783"/>
      <c r="BE25" s="1783"/>
      <c r="BF25" s="1783"/>
      <c r="BG25" s="1783"/>
      <c r="BH25" s="1783"/>
      <c r="BI25" s="1783"/>
      <c r="BJ25" s="1783"/>
      <c r="BK25" s="1783"/>
      <c r="BL25" s="1783"/>
      <c r="BM25" s="1783"/>
      <c r="BN25" s="1783"/>
      <c r="BO25" s="1783"/>
      <c r="BP25" s="1783"/>
      <c r="BQ25" s="1783"/>
      <c r="BR25" s="1783"/>
      <c r="BS25" s="1783"/>
      <c r="BT25" s="1783"/>
      <c r="BU25" s="1783"/>
      <c r="BV25" s="1783"/>
      <c r="BW25" s="1783"/>
      <c r="BX25" s="1783"/>
      <c r="BY25" s="1783"/>
      <c r="BZ25" s="1783"/>
      <c r="CA25" s="1783"/>
      <c r="CB25" s="1783"/>
      <c r="CC25" s="1783"/>
      <c r="CD25" s="1783"/>
      <c r="CE25" s="1782"/>
      <c r="CF25" s="1782"/>
      <c r="CG25" s="1783"/>
      <c r="CH25" s="1783"/>
      <c r="CI25" s="1783"/>
      <c r="CJ25" s="1783"/>
      <c r="CK25" s="1783"/>
      <c r="CL25" s="1783"/>
      <c r="CM25" s="1783"/>
      <c r="CN25" s="1783"/>
    </row>
    <row r="26" spans="1:281" x14ac:dyDescent="0.25">
      <c r="A26" s="1565"/>
      <c r="B26" s="1565"/>
      <c r="C26" s="1565"/>
      <c r="D26" s="1565"/>
      <c r="E26" s="1565"/>
      <c r="F26" s="1565"/>
      <c r="G26" s="1565"/>
      <c r="H26" s="1565"/>
      <c r="I26" s="1565"/>
      <c r="J26" s="1565"/>
      <c r="K26" s="1565"/>
      <c r="L26" s="1565"/>
      <c r="M26" s="1565"/>
      <c r="N26" s="1565"/>
      <c r="O26" s="1565"/>
      <c r="P26" s="1565"/>
      <c r="Q26" s="1565"/>
      <c r="R26" s="1565"/>
      <c r="S26" s="1779"/>
      <c r="T26" s="1784"/>
      <c r="U26" s="1784"/>
      <c r="V26" s="1784"/>
      <c r="W26" s="1780"/>
      <c r="X26" s="1780"/>
      <c r="Y26" s="1780"/>
      <c r="Z26" s="1781"/>
      <c r="AA26" s="717"/>
      <c r="AB26" s="1785"/>
      <c r="AC26" s="1785"/>
      <c r="AD26" s="1785"/>
      <c r="AE26" s="1785"/>
      <c r="AF26" s="1785"/>
      <c r="AG26" s="1785"/>
      <c r="AH26" s="1785"/>
      <c r="AI26" s="1785"/>
      <c r="AJ26" s="1785"/>
      <c r="AK26" s="1785"/>
      <c r="AL26" s="1785"/>
      <c r="AM26" s="1785"/>
      <c r="AN26" s="1785"/>
      <c r="AO26" s="1785"/>
      <c r="AP26" s="1785"/>
      <c r="AQ26" s="1785"/>
      <c r="AR26" s="1785"/>
      <c r="AS26" s="1785"/>
      <c r="AT26" s="1785"/>
      <c r="AU26" s="1785"/>
      <c r="AV26" s="1785"/>
      <c r="AW26" s="1785"/>
      <c r="AX26" s="1785"/>
      <c r="AY26" s="1785"/>
      <c r="AZ26" s="1785"/>
      <c r="BA26" s="1785"/>
      <c r="BB26" s="1785"/>
      <c r="BC26" s="1785"/>
      <c r="BD26" s="1785"/>
      <c r="BE26" s="1785"/>
      <c r="BF26" s="1785"/>
      <c r="BG26" s="1785"/>
      <c r="BH26" s="1785"/>
      <c r="BI26" s="1785"/>
      <c r="BJ26" s="1785"/>
      <c r="BK26" s="1785"/>
      <c r="BL26" s="1785"/>
      <c r="BM26" s="1785"/>
      <c r="BN26" s="1785"/>
      <c r="BO26" s="1785"/>
      <c r="BP26" s="1783"/>
      <c r="BQ26" s="1783"/>
      <c r="BR26" s="1783"/>
      <c r="BS26" s="1783"/>
      <c r="BT26" s="1783"/>
      <c r="BU26" s="1783"/>
      <c r="BV26" s="1783"/>
      <c r="BW26" s="1783"/>
      <c r="BX26" s="1783"/>
      <c r="BY26" s="1783"/>
      <c r="BZ26" s="1783"/>
      <c r="CA26" s="1783"/>
      <c r="CB26" s="1783"/>
      <c r="CC26" s="1783"/>
      <c r="CD26" s="1783"/>
      <c r="CE26" s="1782"/>
      <c r="CF26" s="1782"/>
      <c r="CG26" s="1783"/>
      <c r="CH26" s="1783"/>
      <c r="CI26" s="1783"/>
      <c r="CJ26" s="1783"/>
      <c r="CK26" s="1783"/>
      <c r="CL26" s="1783"/>
      <c r="CM26" s="1783"/>
      <c r="CN26" s="1783"/>
    </row>
    <row r="27" spans="1:281" x14ac:dyDescent="0.25">
      <c r="J27" s="572"/>
      <c r="K27" s="758"/>
      <c r="L27" s="647"/>
      <c r="M27" s="920"/>
      <c r="N27" s="920"/>
      <c r="O27" s="647"/>
      <c r="P27" s="647"/>
      <c r="Q27" s="647"/>
      <c r="R27" s="920"/>
      <c r="S27" s="1787"/>
      <c r="T27" s="647"/>
      <c r="U27" s="758"/>
      <c r="V27" s="758"/>
      <c r="W27" s="1788"/>
      <c r="X27" s="1788"/>
      <c r="Y27" s="1788"/>
    </row>
    <row r="28" spans="1:281" x14ac:dyDescent="0.25">
      <c r="J28" s="572"/>
      <c r="K28" s="758"/>
      <c r="L28" s="647"/>
      <c r="M28" s="3060" t="s">
        <v>1768</v>
      </c>
      <c r="N28" s="3060"/>
      <c r="O28" s="3060"/>
      <c r="P28" s="3060"/>
      <c r="Q28" s="3060"/>
      <c r="R28" s="3060"/>
      <c r="S28" s="3060"/>
      <c r="T28" s="3060"/>
      <c r="U28" s="758"/>
      <c r="V28" s="758"/>
      <c r="W28" s="1788"/>
      <c r="X28" s="1788"/>
      <c r="Y28" s="1788"/>
    </row>
    <row r="29" spans="1:281" x14ac:dyDescent="0.25">
      <c r="J29" s="572"/>
      <c r="K29" s="758"/>
      <c r="L29" s="647"/>
      <c r="M29" s="2901" t="s">
        <v>1769</v>
      </c>
      <c r="N29" s="2901"/>
      <c r="O29" s="2901"/>
      <c r="P29" s="2901"/>
      <c r="Q29" s="2901"/>
      <c r="R29" s="2901"/>
      <c r="S29" s="2901"/>
      <c r="T29" s="2901"/>
      <c r="U29" s="758"/>
      <c r="V29" s="758"/>
      <c r="W29" s="1788"/>
      <c r="X29" s="1788"/>
      <c r="Y29" s="1788"/>
    </row>
    <row r="30" spans="1:281" x14ac:dyDescent="0.25">
      <c r="BL30" s="851"/>
    </row>
    <row r="31" spans="1:281" x14ac:dyDescent="0.25">
      <c r="BL31" s="851"/>
    </row>
    <row r="32" spans="1:281" x14ac:dyDescent="0.25">
      <c r="BL32" s="851"/>
    </row>
    <row r="33" spans="64:64" x14ac:dyDescent="0.25">
      <c r="BL33" s="3061"/>
    </row>
    <row r="34" spans="64:64" x14ac:dyDescent="0.25">
      <c r="BL34" s="3061"/>
    </row>
    <row r="35" spans="64:64" x14ac:dyDescent="0.25">
      <c r="BL35" s="3061"/>
    </row>
    <row r="36" spans="64:64" x14ac:dyDescent="0.25">
      <c r="BL36" s="851"/>
    </row>
    <row r="37" spans="64:64" x14ac:dyDescent="0.25">
      <c r="BL37" s="851"/>
    </row>
  </sheetData>
  <sheetProtection password="CBEB" sheet="1" objects="1" scenarios="1"/>
  <mergeCells count="199">
    <mergeCell ref="A23:R23"/>
    <mergeCell ref="T23:V23"/>
    <mergeCell ref="M28:T28"/>
    <mergeCell ref="M29:T29"/>
    <mergeCell ref="BL33:BL35"/>
    <mergeCell ref="BQ19:BQ21"/>
    <mergeCell ref="BR19:BR21"/>
    <mergeCell ref="J20:J21"/>
    <mergeCell ref="K20:K21"/>
    <mergeCell ref="L20:L21"/>
    <mergeCell ref="M20:M21"/>
    <mergeCell ref="N20:N21"/>
    <mergeCell ref="R20:R21"/>
    <mergeCell ref="U20:U21"/>
    <mergeCell ref="V20:V21"/>
    <mergeCell ref="BK19:BK21"/>
    <mergeCell ref="BL19:BL21"/>
    <mergeCell ref="BM19:BM21"/>
    <mergeCell ref="BN19:BN21"/>
    <mergeCell ref="BO19:BO21"/>
    <mergeCell ref="BP19:BP21"/>
    <mergeCell ref="BE19:BE21"/>
    <mergeCell ref="BF19:BF21"/>
    <mergeCell ref="BG19:BG21"/>
    <mergeCell ref="BH19:BH21"/>
    <mergeCell ref="BI19:BI21"/>
    <mergeCell ref="BJ19:BJ21"/>
    <mergeCell ref="AY19:AY21"/>
    <mergeCell ref="AZ19:AZ21"/>
    <mergeCell ref="BA19:BA21"/>
    <mergeCell ref="BB19:BB21"/>
    <mergeCell ref="BC19:BC21"/>
    <mergeCell ref="BD19:BD21"/>
    <mergeCell ref="AS19:AS21"/>
    <mergeCell ref="AT19:AT21"/>
    <mergeCell ref="AU19:AU21"/>
    <mergeCell ref="AV19:AV21"/>
    <mergeCell ref="AW19:AW21"/>
    <mergeCell ref="AX19:AX21"/>
    <mergeCell ref="AM19:AM21"/>
    <mergeCell ref="AN19:AN21"/>
    <mergeCell ref="AO19:AO21"/>
    <mergeCell ref="AP19:AP21"/>
    <mergeCell ref="AQ19:AQ21"/>
    <mergeCell ref="AR19:AR21"/>
    <mergeCell ref="AG19:AG21"/>
    <mergeCell ref="AH19:AH21"/>
    <mergeCell ref="AI19:AI21"/>
    <mergeCell ref="AJ19:AJ21"/>
    <mergeCell ref="AK19:AK21"/>
    <mergeCell ref="AL19:AL21"/>
    <mergeCell ref="T19:T21"/>
    <mergeCell ref="AB19:AB21"/>
    <mergeCell ref="AC19:AC21"/>
    <mergeCell ref="AD19:AD21"/>
    <mergeCell ref="AE19:AE21"/>
    <mergeCell ref="AF19:AF21"/>
    <mergeCell ref="B19:C19"/>
    <mergeCell ref="E19:F19"/>
    <mergeCell ref="H19:I19"/>
    <mergeCell ref="O19:O21"/>
    <mergeCell ref="P19:P21"/>
    <mergeCell ref="Q19:Q21"/>
    <mergeCell ref="S19:S21"/>
    <mergeCell ref="J16:J18"/>
    <mergeCell ref="K16:K18"/>
    <mergeCell ref="L16:L18"/>
    <mergeCell ref="M16:M18"/>
    <mergeCell ref="N16:N18"/>
    <mergeCell ref="R16:R18"/>
    <mergeCell ref="L14:L15"/>
    <mergeCell ref="M14:M15"/>
    <mergeCell ref="N14:N15"/>
    <mergeCell ref="R14:R15"/>
    <mergeCell ref="U14:U15"/>
    <mergeCell ref="V14:V15"/>
    <mergeCell ref="BN12:BN18"/>
    <mergeCell ref="BO12:BO18"/>
    <mergeCell ref="BP12:BP18"/>
    <mergeCell ref="BA12:BA18"/>
    <mergeCell ref="AP12:AP18"/>
    <mergeCell ref="AQ12:AQ18"/>
    <mergeCell ref="AR12:AR18"/>
    <mergeCell ref="AS12:AS18"/>
    <mergeCell ref="AT12:AT18"/>
    <mergeCell ref="AU12:AU18"/>
    <mergeCell ref="AJ12:AJ18"/>
    <mergeCell ref="AK12:AK18"/>
    <mergeCell ref="AL12:AL18"/>
    <mergeCell ref="AM12:AM18"/>
    <mergeCell ref="AN12:AN18"/>
    <mergeCell ref="AO12:AO18"/>
    <mergeCell ref="AD12:AD18"/>
    <mergeCell ref="AE12:AE18"/>
    <mergeCell ref="BQ12:BQ18"/>
    <mergeCell ref="BR12:BR18"/>
    <mergeCell ref="B14:C14"/>
    <mergeCell ref="E14:F14"/>
    <mergeCell ref="H14:I14"/>
    <mergeCell ref="J14:J15"/>
    <mergeCell ref="K14:K15"/>
    <mergeCell ref="BH12:BH18"/>
    <mergeCell ref="BI12:BI18"/>
    <mergeCell ref="BJ12:BJ18"/>
    <mergeCell ref="BK12:BK18"/>
    <mergeCell ref="BL12:BL18"/>
    <mergeCell ref="BM12:BM18"/>
    <mergeCell ref="BB12:BB18"/>
    <mergeCell ref="BC12:BC18"/>
    <mergeCell ref="BD12:BD18"/>
    <mergeCell ref="BE12:BE18"/>
    <mergeCell ref="BF12:BF18"/>
    <mergeCell ref="BG12:BG18"/>
    <mergeCell ref="AV12:AV18"/>
    <mergeCell ref="AW12:AW18"/>
    <mergeCell ref="AX12:AX18"/>
    <mergeCell ref="AY12:AY18"/>
    <mergeCell ref="AZ12:AZ18"/>
    <mergeCell ref="Q7:Q8"/>
    <mergeCell ref="R7:R8"/>
    <mergeCell ref="AF12:AF18"/>
    <mergeCell ref="AG12:AG18"/>
    <mergeCell ref="AH12:AH18"/>
    <mergeCell ref="AI12:AI18"/>
    <mergeCell ref="S12:S18"/>
    <mergeCell ref="T12:T18"/>
    <mergeCell ref="U12:U13"/>
    <mergeCell ref="V12:V13"/>
    <mergeCell ref="AB12:AB18"/>
    <mergeCell ref="AC12:AC18"/>
    <mergeCell ref="U16:U18"/>
    <mergeCell ref="V16:V18"/>
    <mergeCell ref="W16:W18"/>
    <mergeCell ref="X16:X18"/>
    <mergeCell ref="Y16:Y18"/>
    <mergeCell ref="Z16:Z18"/>
    <mergeCell ref="AA16:AA18"/>
    <mergeCell ref="AF7:AL7"/>
    <mergeCell ref="BN7:BO8"/>
    <mergeCell ref="BP7:BQ8"/>
    <mergeCell ref="BR7:BR8"/>
    <mergeCell ref="BI8:BI9"/>
    <mergeCell ref="BJ8:BJ9"/>
    <mergeCell ref="BK8:BK9"/>
    <mergeCell ref="BL8:BL9"/>
    <mergeCell ref="BM8:BM9"/>
    <mergeCell ref="J12:J13"/>
    <mergeCell ref="K12:K13"/>
    <mergeCell ref="L12:L13"/>
    <mergeCell ref="M12:M13"/>
    <mergeCell ref="N12:N13"/>
    <mergeCell ref="O12:O18"/>
    <mergeCell ref="P12:P18"/>
    <mergeCell ref="Q12:Q18"/>
    <mergeCell ref="R12:R13"/>
    <mergeCell ref="AV8:AW8"/>
    <mergeCell ref="AX8:AY8"/>
    <mergeCell ref="AZ8:BA8"/>
    <mergeCell ref="BB8:BC8"/>
    <mergeCell ref="BD8:BE8"/>
    <mergeCell ref="BH8:BH9"/>
    <mergeCell ref="AJ8:AK8"/>
    <mergeCell ref="AN7:AX7"/>
    <mergeCell ref="AB8:AC8"/>
    <mergeCell ref="AD8:AE8"/>
    <mergeCell ref="AF8:AG8"/>
    <mergeCell ref="AH8:AI8"/>
    <mergeCell ref="AZ7:BD7"/>
    <mergeCell ref="BF7:BG8"/>
    <mergeCell ref="BH7:BM7"/>
    <mergeCell ref="AL8:AM8"/>
    <mergeCell ref="AN8:AO8"/>
    <mergeCell ref="AP8:AQ8"/>
    <mergeCell ref="AR8:AS8"/>
    <mergeCell ref="AT8:AU8"/>
    <mergeCell ref="A1:BN4"/>
    <mergeCell ref="A5:M6"/>
    <mergeCell ref="O5:BR5"/>
    <mergeCell ref="AB6:BD6"/>
    <mergeCell ref="A7:A8"/>
    <mergeCell ref="B7:C8"/>
    <mergeCell ref="D7:D8"/>
    <mergeCell ref="E7:F8"/>
    <mergeCell ref="G7:G8"/>
    <mergeCell ref="H7:I8"/>
    <mergeCell ref="S7:S8"/>
    <mergeCell ref="T7:T8"/>
    <mergeCell ref="U7:U8"/>
    <mergeCell ref="V7:V8"/>
    <mergeCell ref="J7:J8"/>
    <mergeCell ref="K7:K8"/>
    <mergeCell ref="L7:L8"/>
    <mergeCell ref="M7:N7"/>
    <mergeCell ref="O7:O8"/>
    <mergeCell ref="P7:P8"/>
    <mergeCell ref="W7:Y7"/>
    <mergeCell ref="Z7:Z8"/>
    <mergeCell ref="AA7:AA8"/>
    <mergeCell ref="AB7:AD7"/>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BR68"/>
  <sheetViews>
    <sheetView showGridLines="0" zoomScale="70" zoomScaleNormal="70" workbookViewId="0">
      <selection sqref="A1:BP5"/>
    </sheetView>
  </sheetViews>
  <sheetFormatPr baseColWidth="10" defaultColWidth="11.42578125" defaultRowHeight="14.25" x14ac:dyDescent="0.2"/>
  <cols>
    <col min="1" max="1" width="15.28515625" style="657" customWidth="1"/>
    <col min="2" max="2" width="12.140625" style="657" customWidth="1"/>
    <col min="3" max="3" width="4.7109375" style="657" customWidth="1"/>
    <col min="4" max="4" width="14.5703125" style="657" customWidth="1"/>
    <col min="5" max="5" width="12.28515625" style="657" customWidth="1"/>
    <col min="6" max="6" width="4.28515625" style="657" customWidth="1"/>
    <col min="7" max="7" width="14.5703125" style="657" customWidth="1"/>
    <col min="8" max="8" width="2.28515625" style="657" customWidth="1"/>
    <col min="9" max="9" width="15.5703125" style="657" customWidth="1"/>
    <col min="10" max="10" width="11.7109375" style="657" customWidth="1"/>
    <col min="11" max="11" width="33.85546875" style="657" customWidth="1"/>
    <col min="12" max="12" width="33.28515625" style="657" customWidth="1"/>
    <col min="13" max="13" width="12.85546875" style="657" customWidth="1"/>
    <col min="14" max="14" width="14.5703125" style="657" customWidth="1"/>
    <col min="15" max="15" width="37.85546875" style="2419" customWidth="1"/>
    <col min="16" max="16" width="21.140625" style="657" bestFit="1" customWidth="1"/>
    <col min="17" max="17" width="27.85546875" style="657" customWidth="1"/>
    <col min="18" max="18" width="16.7109375" style="657" customWidth="1"/>
    <col min="19" max="19" width="28.7109375" style="657" customWidth="1"/>
    <col min="20" max="20" width="28.28515625" style="657" customWidth="1"/>
    <col min="21" max="21" width="90.7109375" style="657" customWidth="1"/>
    <col min="22" max="22" width="40.85546875" style="657" customWidth="1"/>
    <col min="23" max="23" width="31.5703125" style="657" customWidth="1"/>
    <col min="24" max="24" width="26.7109375" style="657" customWidth="1"/>
    <col min="25" max="25" width="24.85546875" style="657" customWidth="1"/>
    <col min="26" max="26" width="10.7109375" style="657" customWidth="1"/>
    <col min="27" max="27" width="34" style="657" bestFit="1" customWidth="1"/>
    <col min="28" max="28" width="11.28515625" style="657" customWidth="1"/>
    <col min="29" max="29" width="9.85546875" style="657" customWidth="1"/>
    <col min="30" max="30" width="10.7109375" style="657" bestFit="1" customWidth="1"/>
    <col min="31" max="31" width="11.140625" style="657" customWidth="1"/>
    <col min="32" max="32" width="10.85546875" style="657" customWidth="1"/>
    <col min="33" max="33" width="9.42578125" style="657" customWidth="1"/>
    <col min="34" max="34" width="9.5703125" style="657" bestFit="1" customWidth="1"/>
    <col min="35" max="35" width="8.85546875" style="657" customWidth="1"/>
    <col min="36" max="36" width="10.140625" style="657" bestFit="1" customWidth="1"/>
    <col min="37" max="37" width="7.140625" style="657" customWidth="1"/>
    <col min="38" max="38" width="8" style="657" bestFit="1" customWidth="1"/>
    <col min="39" max="39" width="7.140625" style="657" customWidth="1"/>
    <col min="40" max="40" width="11" style="657" customWidth="1"/>
    <col min="41" max="41" width="10.85546875" style="657" customWidth="1"/>
    <col min="42" max="42" width="7.7109375" style="657" bestFit="1" customWidth="1"/>
    <col min="43" max="43" width="10.28515625" style="657" customWidth="1"/>
    <col min="44" max="44" width="8.28515625" style="657" customWidth="1"/>
    <col min="45" max="45" width="9.7109375" style="657" customWidth="1"/>
    <col min="46" max="57" width="8.7109375" style="657" customWidth="1"/>
    <col min="58" max="58" width="11.28515625" style="657" customWidth="1"/>
    <col min="59" max="59" width="8.7109375" style="657" customWidth="1"/>
    <col min="60" max="60" width="19.5703125" style="656" customWidth="1"/>
    <col min="61" max="61" width="21.85546875" style="657" customWidth="1"/>
    <col min="62" max="62" width="21.140625" style="657" customWidth="1"/>
    <col min="63" max="63" width="14" style="657" customWidth="1"/>
    <col min="64" max="64" width="20" style="657" customWidth="1"/>
    <col min="65" max="65" width="18.7109375" style="657" customWidth="1"/>
    <col min="66" max="66" width="16.140625" style="657" customWidth="1"/>
    <col min="67" max="67" width="14.7109375" style="657" customWidth="1"/>
    <col min="68" max="68" width="16" style="657" customWidth="1"/>
    <col min="69" max="69" width="18.42578125" style="657" customWidth="1"/>
    <col min="70" max="70" width="19.85546875" style="657" customWidth="1"/>
    <col min="71" max="83" width="14.85546875" style="657" customWidth="1"/>
    <col min="84" max="16384" width="11.42578125" style="657"/>
  </cols>
  <sheetData>
    <row r="1" spans="1:70" ht="15" customHeight="1" x14ac:dyDescent="0.25">
      <c r="A1" s="3212" t="s">
        <v>2538</v>
      </c>
      <c r="B1" s="3213"/>
      <c r="C1" s="3213"/>
      <c r="D1" s="3213"/>
      <c r="E1" s="3213"/>
      <c r="F1" s="3213"/>
      <c r="G1" s="3213"/>
      <c r="H1" s="3213"/>
      <c r="I1" s="3213"/>
      <c r="J1" s="3213"/>
      <c r="K1" s="3213"/>
      <c r="L1" s="3213"/>
      <c r="M1" s="3213"/>
      <c r="N1" s="3213"/>
      <c r="O1" s="3213"/>
      <c r="P1" s="3213"/>
      <c r="Q1" s="3213"/>
      <c r="R1" s="3213"/>
      <c r="S1" s="3213"/>
      <c r="T1" s="3213"/>
      <c r="U1" s="3213"/>
      <c r="V1" s="3213"/>
      <c r="W1" s="3213"/>
      <c r="X1" s="3213"/>
      <c r="Y1" s="3213"/>
      <c r="Z1" s="3213"/>
      <c r="AA1" s="3213"/>
      <c r="AB1" s="3213"/>
      <c r="AC1" s="3213"/>
      <c r="AD1" s="3213"/>
      <c r="AE1" s="3213"/>
      <c r="AF1" s="3213"/>
      <c r="AG1" s="3213"/>
      <c r="AH1" s="3213"/>
      <c r="AI1" s="3213"/>
      <c r="AJ1" s="3213"/>
      <c r="AK1" s="3213"/>
      <c r="AL1" s="3213"/>
      <c r="AM1" s="3213"/>
      <c r="AN1" s="3213"/>
      <c r="AO1" s="3213"/>
      <c r="AP1" s="3213"/>
      <c r="AQ1" s="3213"/>
      <c r="AR1" s="3213"/>
      <c r="AS1" s="3213"/>
      <c r="AT1" s="3213"/>
      <c r="AU1" s="3213"/>
      <c r="AV1" s="3213"/>
      <c r="AW1" s="3213"/>
      <c r="AX1" s="3213"/>
      <c r="AY1" s="3213"/>
      <c r="AZ1" s="3213"/>
      <c r="BA1" s="3213"/>
      <c r="BB1" s="3213"/>
      <c r="BC1" s="3213"/>
      <c r="BD1" s="3213"/>
      <c r="BE1" s="3213"/>
      <c r="BF1" s="3213"/>
      <c r="BG1" s="3213"/>
      <c r="BH1" s="3213"/>
      <c r="BI1" s="3213"/>
      <c r="BJ1" s="3213"/>
      <c r="BK1" s="3213"/>
      <c r="BL1" s="3213"/>
      <c r="BM1" s="3213"/>
      <c r="BN1" s="3213"/>
      <c r="BO1" s="3213"/>
      <c r="BP1" s="3214"/>
      <c r="BQ1" s="4" t="s">
        <v>1</v>
      </c>
      <c r="BR1" s="4" t="s">
        <v>2</v>
      </c>
    </row>
    <row r="2" spans="1:70" ht="15" x14ac:dyDescent="0.25">
      <c r="A2" s="3212"/>
      <c r="B2" s="3213"/>
      <c r="C2" s="3213"/>
      <c r="D2" s="3213"/>
      <c r="E2" s="3213"/>
      <c r="F2" s="3213"/>
      <c r="G2" s="3213"/>
      <c r="H2" s="3213"/>
      <c r="I2" s="3213"/>
      <c r="J2" s="3213"/>
      <c r="K2" s="3213"/>
      <c r="L2" s="3213"/>
      <c r="M2" s="3213"/>
      <c r="N2" s="3213"/>
      <c r="O2" s="3213"/>
      <c r="P2" s="3213"/>
      <c r="Q2" s="3213"/>
      <c r="R2" s="3213"/>
      <c r="S2" s="3213"/>
      <c r="T2" s="3213"/>
      <c r="U2" s="3213"/>
      <c r="V2" s="3213"/>
      <c r="W2" s="3213"/>
      <c r="X2" s="3213"/>
      <c r="Y2" s="3213"/>
      <c r="Z2" s="3213"/>
      <c r="AA2" s="3213"/>
      <c r="AB2" s="3213"/>
      <c r="AC2" s="3213"/>
      <c r="AD2" s="3213"/>
      <c r="AE2" s="3213"/>
      <c r="AF2" s="3213"/>
      <c r="AG2" s="3213"/>
      <c r="AH2" s="3213"/>
      <c r="AI2" s="3213"/>
      <c r="AJ2" s="3213"/>
      <c r="AK2" s="3213"/>
      <c r="AL2" s="3213"/>
      <c r="AM2" s="3213"/>
      <c r="AN2" s="3213"/>
      <c r="AO2" s="3213"/>
      <c r="AP2" s="3213"/>
      <c r="AQ2" s="3213"/>
      <c r="AR2" s="3213"/>
      <c r="AS2" s="3213"/>
      <c r="AT2" s="3213"/>
      <c r="AU2" s="3213"/>
      <c r="AV2" s="3213"/>
      <c r="AW2" s="3213"/>
      <c r="AX2" s="3213"/>
      <c r="AY2" s="3213"/>
      <c r="AZ2" s="3213"/>
      <c r="BA2" s="3213"/>
      <c r="BB2" s="3213"/>
      <c r="BC2" s="3213"/>
      <c r="BD2" s="3213"/>
      <c r="BE2" s="3213"/>
      <c r="BF2" s="3213"/>
      <c r="BG2" s="3213"/>
      <c r="BH2" s="3213"/>
      <c r="BI2" s="3213"/>
      <c r="BJ2" s="3213"/>
      <c r="BK2" s="3213"/>
      <c r="BL2" s="3213"/>
      <c r="BM2" s="3213"/>
      <c r="BN2" s="3213"/>
      <c r="BO2" s="3213"/>
      <c r="BP2" s="3214"/>
      <c r="BQ2" s="1173" t="s">
        <v>3</v>
      </c>
      <c r="BR2" s="6">
        <v>6</v>
      </c>
    </row>
    <row r="3" spans="1:70" ht="15" x14ac:dyDescent="0.25">
      <c r="A3" s="3212"/>
      <c r="B3" s="3213"/>
      <c r="C3" s="3213"/>
      <c r="D3" s="3213"/>
      <c r="E3" s="3213"/>
      <c r="F3" s="3213"/>
      <c r="G3" s="3213"/>
      <c r="H3" s="3213"/>
      <c r="I3" s="3213"/>
      <c r="J3" s="3213"/>
      <c r="K3" s="3213"/>
      <c r="L3" s="3213"/>
      <c r="M3" s="3213"/>
      <c r="N3" s="3213"/>
      <c r="O3" s="3213"/>
      <c r="P3" s="3213"/>
      <c r="Q3" s="3213"/>
      <c r="R3" s="3213"/>
      <c r="S3" s="3213"/>
      <c r="T3" s="3213"/>
      <c r="U3" s="3213"/>
      <c r="V3" s="3213"/>
      <c r="W3" s="3213"/>
      <c r="X3" s="3213"/>
      <c r="Y3" s="3213"/>
      <c r="Z3" s="3213"/>
      <c r="AA3" s="3213"/>
      <c r="AB3" s="3213"/>
      <c r="AC3" s="3213"/>
      <c r="AD3" s="3213"/>
      <c r="AE3" s="3213"/>
      <c r="AF3" s="3213"/>
      <c r="AG3" s="3213"/>
      <c r="AH3" s="3213"/>
      <c r="AI3" s="3213"/>
      <c r="AJ3" s="3213"/>
      <c r="AK3" s="3213"/>
      <c r="AL3" s="3213"/>
      <c r="AM3" s="3213"/>
      <c r="AN3" s="3213"/>
      <c r="AO3" s="3213"/>
      <c r="AP3" s="3213"/>
      <c r="AQ3" s="3213"/>
      <c r="AR3" s="3213"/>
      <c r="AS3" s="3213"/>
      <c r="AT3" s="3213"/>
      <c r="AU3" s="3213"/>
      <c r="AV3" s="3213"/>
      <c r="AW3" s="3213"/>
      <c r="AX3" s="3213"/>
      <c r="AY3" s="3213"/>
      <c r="AZ3" s="3213"/>
      <c r="BA3" s="3213"/>
      <c r="BB3" s="3213"/>
      <c r="BC3" s="3213"/>
      <c r="BD3" s="3213"/>
      <c r="BE3" s="3213"/>
      <c r="BF3" s="3213"/>
      <c r="BG3" s="3213"/>
      <c r="BH3" s="3213"/>
      <c r="BI3" s="3213"/>
      <c r="BJ3" s="3213"/>
      <c r="BK3" s="3213"/>
      <c r="BL3" s="3213"/>
      <c r="BM3" s="3213"/>
      <c r="BN3" s="3213"/>
      <c r="BO3" s="3213"/>
      <c r="BP3" s="3214"/>
      <c r="BQ3" s="4" t="s">
        <v>4</v>
      </c>
      <c r="BR3" s="7" t="s">
        <v>5</v>
      </c>
    </row>
    <row r="4" spans="1:70" s="928" customFormat="1" ht="15" x14ac:dyDescent="0.2">
      <c r="A4" s="3212"/>
      <c r="B4" s="3213"/>
      <c r="C4" s="3213"/>
      <c r="D4" s="3213"/>
      <c r="E4" s="3213"/>
      <c r="F4" s="3213"/>
      <c r="G4" s="3213"/>
      <c r="H4" s="3213"/>
      <c r="I4" s="3213"/>
      <c r="J4" s="3213"/>
      <c r="K4" s="3213"/>
      <c r="L4" s="3213"/>
      <c r="M4" s="3213"/>
      <c r="N4" s="3213"/>
      <c r="O4" s="3213"/>
      <c r="P4" s="3213"/>
      <c r="Q4" s="3213"/>
      <c r="R4" s="3213"/>
      <c r="S4" s="3213"/>
      <c r="T4" s="3213"/>
      <c r="U4" s="3213"/>
      <c r="V4" s="3213"/>
      <c r="W4" s="3213"/>
      <c r="X4" s="3213"/>
      <c r="Y4" s="3213"/>
      <c r="Z4" s="3213"/>
      <c r="AA4" s="3213"/>
      <c r="AB4" s="3213"/>
      <c r="AC4" s="3213"/>
      <c r="AD4" s="3213"/>
      <c r="AE4" s="3213"/>
      <c r="AF4" s="3213"/>
      <c r="AG4" s="3213"/>
      <c r="AH4" s="3213"/>
      <c r="AI4" s="3213"/>
      <c r="AJ4" s="3213"/>
      <c r="AK4" s="3213"/>
      <c r="AL4" s="3213"/>
      <c r="AM4" s="3213"/>
      <c r="AN4" s="3213"/>
      <c r="AO4" s="3213"/>
      <c r="AP4" s="3213"/>
      <c r="AQ4" s="3213"/>
      <c r="AR4" s="3213"/>
      <c r="AS4" s="3213"/>
      <c r="AT4" s="3213"/>
      <c r="AU4" s="3213"/>
      <c r="AV4" s="3213"/>
      <c r="AW4" s="3213"/>
      <c r="AX4" s="3213"/>
      <c r="AY4" s="3213"/>
      <c r="AZ4" s="3213"/>
      <c r="BA4" s="3213"/>
      <c r="BB4" s="3213"/>
      <c r="BC4" s="3213"/>
      <c r="BD4" s="3213"/>
      <c r="BE4" s="3213"/>
      <c r="BF4" s="3213"/>
      <c r="BG4" s="3213"/>
      <c r="BH4" s="3213"/>
      <c r="BI4" s="3213"/>
      <c r="BJ4" s="3213"/>
      <c r="BK4" s="3213"/>
      <c r="BL4" s="3213"/>
      <c r="BM4" s="3213"/>
      <c r="BN4" s="3213"/>
      <c r="BO4" s="3213"/>
      <c r="BP4" s="3214"/>
      <c r="BQ4" s="1176" t="s">
        <v>6</v>
      </c>
      <c r="BR4" s="10" t="s">
        <v>7</v>
      </c>
    </row>
    <row r="5" spans="1:70" ht="15" x14ac:dyDescent="0.2">
      <c r="A5" s="3215"/>
      <c r="B5" s="3216"/>
      <c r="C5" s="3216"/>
      <c r="D5" s="3216"/>
      <c r="E5" s="3216"/>
      <c r="F5" s="3216"/>
      <c r="G5" s="3216"/>
      <c r="H5" s="3216"/>
      <c r="I5" s="3216"/>
      <c r="J5" s="3216"/>
      <c r="K5" s="3216"/>
      <c r="L5" s="3216"/>
      <c r="M5" s="3216"/>
      <c r="N5" s="3216"/>
      <c r="O5" s="3216"/>
      <c r="P5" s="3216"/>
      <c r="Q5" s="3216"/>
      <c r="R5" s="3216"/>
      <c r="S5" s="3216"/>
      <c r="T5" s="3216"/>
      <c r="U5" s="3216"/>
      <c r="V5" s="3216"/>
      <c r="W5" s="3216"/>
      <c r="X5" s="3216"/>
      <c r="Y5" s="3216"/>
      <c r="Z5" s="3216"/>
      <c r="AA5" s="3216"/>
      <c r="AB5" s="3216"/>
      <c r="AC5" s="3216"/>
      <c r="AD5" s="3216"/>
      <c r="AE5" s="3216"/>
      <c r="AF5" s="3216"/>
      <c r="AG5" s="3216"/>
      <c r="AH5" s="3216"/>
      <c r="AI5" s="3216"/>
      <c r="AJ5" s="3216"/>
      <c r="AK5" s="3216"/>
      <c r="AL5" s="3216"/>
      <c r="AM5" s="3216"/>
      <c r="AN5" s="3216"/>
      <c r="AO5" s="3216"/>
      <c r="AP5" s="3216"/>
      <c r="AQ5" s="3216"/>
      <c r="AR5" s="3216"/>
      <c r="AS5" s="3216"/>
      <c r="AT5" s="3216"/>
      <c r="AU5" s="3216"/>
      <c r="AV5" s="3216"/>
      <c r="AW5" s="3216"/>
      <c r="AX5" s="3216"/>
      <c r="AY5" s="3216"/>
      <c r="AZ5" s="3216"/>
      <c r="BA5" s="3216"/>
      <c r="BB5" s="3216"/>
      <c r="BC5" s="3216"/>
      <c r="BD5" s="3216"/>
      <c r="BE5" s="3216"/>
      <c r="BF5" s="3216"/>
      <c r="BG5" s="3216"/>
      <c r="BH5" s="3216"/>
      <c r="BI5" s="3216"/>
      <c r="BJ5" s="3216"/>
      <c r="BK5" s="3216"/>
      <c r="BL5" s="3216"/>
      <c r="BM5" s="3216"/>
      <c r="BN5" s="3216"/>
      <c r="BO5" s="3216"/>
      <c r="BP5" s="3217"/>
      <c r="BQ5" s="2420"/>
      <c r="BR5" s="2420"/>
    </row>
    <row r="6" spans="1:70" ht="29.25" customHeight="1" x14ac:dyDescent="0.2">
      <c r="A6" s="3218" t="s">
        <v>8</v>
      </c>
      <c r="B6" s="3219"/>
      <c r="C6" s="3219"/>
      <c r="D6" s="3219"/>
      <c r="E6" s="3219"/>
      <c r="F6" s="3219"/>
      <c r="G6" s="3219"/>
      <c r="H6" s="3219"/>
      <c r="I6" s="3219"/>
      <c r="J6" s="3219"/>
      <c r="K6" s="3219"/>
      <c r="L6" s="3219"/>
      <c r="M6" s="3219"/>
      <c r="N6" s="3220"/>
      <c r="O6" s="3218"/>
      <c r="P6" s="3219"/>
      <c r="Q6" s="3219"/>
      <c r="R6" s="3219"/>
      <c r="S6" s="3219"/>
      <c r="T6" s="3219"/>
      <c r="U6" s="3219"/>
      <c r="V6" s="3219"/>
      <c r="W6" s="3219"/>
      <c r="X6" s="3219"/>
      <c r="Y6" s="3219"/>
      <c r="Z6" s="3219"/>
      <c r="AA6" s="3219"/>
      <c r="AB6" s="3219"/>
      <c r="AC6" s="3219"/>
      <c r="AD6" s="3219"/>
      <c r="AE6" s="3219"/>
      <c r="AF6" s="3219"/>
      <c r="AG6" s="3219"/>
      <c r="AH6" s="3219"/>
      <c r="AI6" s="3219"/>
      <c r="AJ6" s="3219"/>
      <c r="AK6" s="3219"/>
      <c r="AL6" s="3219"/>
      <c r="AM6" s="3219"/>
      <c r="AN6" s="3219"/>
      <c r="AO6" s="3219"/>
      <c r="AP6" s="3219"/>
      <c r="AQ6" s="3219"/>
      <c r="AR6" s="3219"/>
      <c r="AS6" s="3219"/>
      <c r="AT6" s="3219"/>
      <c r="AU6" s="3219"/>
      <c r="AV6" s="3219"/>
      <c r="AW6" s="3219"/>
      <c r="AX6" s="3219"/>
      <c r="AY6" s="3219"/>
      <c r="AZ6" s="3219"/>
      <c r="BA6" s="3219"/>
      <c r="BB6" s="3219"/>
      <c r="BC6" s="3219"/>
      <c r="BD6" s="3219"/>
      <c r="BE6" s="3219"/>
      <c r="BF6" s="3219"/>
      <c r="BG6" s="3219"/>
      <c r="BH6" s="3219"/>
      <c r="BI6" s="3219"/>
      <c r="BJ6" s="3219"/>
      <c r="BK6" s="3219"/>
      <c r="BL6" s="3219"/>
      <c r="BM6" s="3219"/>
      <c r="BN6" s="3219"/>
      <c r="BO6" s="3219"/>
      <c r="BP6" s="3219"/>
      <c r="BQ6" s="3219"/>
      <c r="BR6" s="3220"/>
    </row>
    <row r="7" spans="1:70" s="2348" customFormat="1" ht="20.25" customHeight="1" x14ac:dyDescent="0.2">
      <c r="A7" s="2633" t="s">
        <v>10</v>
      </c>
      <c r="B7" s="2761" t="s">
        <v>11</v>
      </c>
      <c r="C7" s="2762"/>
      <c r="D7" s="2633" t="s">
        <v>10</v>
      </c>
      <c r="E7" s="2761" t="s">
        <v>12</v>
      </c>
      <c r="F7" s="2762"/>
      <c r="G7" s="2761" t="s">
        <v>10</v>
      </c>
      <c r="H7" s="2762"/>
      <c r="I7" s="2761" t="s">
        <v>10</v>
      </c>
      <c r="J7" s="2762"/>
      <c r="K7" s="2633" t="s">
        <v>14</v>
      </c>
      <c r="L7" s="2633" t="s">
        <v>15</v>
      </c>
      <c r="M7" s="2661" t="s">
        <v>16</v>
      </c>
      <c r="N7" s="2663"/>
      <c r="O7" s="2634" t="s">
        <v>17</v>
      </c>
      <c r="P7" s="2691" t="s">
        <v>18</v>
      </c>
      <c r="Q7" s="2634" t="s">
        <v>9</v>
      </c>
      <c r="R7" s="2634" t="s">
        <v>19</v>
      </c>
      <c r="S7" s="2634" t="s">
        <v>20</v>
      </c>
      <c r="T7" s="2634" t="s">
        <v>21</v>
      </c>
      <c r="U7" s="2634" t="s">
        <v>22</v>
      </c>
      <c r="V7" s="2634" t="s">
        <v>23</v>
      </c>
      <c r="W7" s="2664" t="s">
        <v>20</v>
      </c>
      <c r="X7" s="2665"/>
      <c r="Y7" s="2666"/>
      <c r="Z7" s="2691" t="s">
        <v>10</v>
      </c>
      <c r="AA7" s="2634" t="s">
        <v>24</v>
      </c>
      <c r="AB7" s="3201" t="s">
        <v>25</v>
      </c>
      <c r="AC7" s="3202"/>
      <c r="AD7" s="3202"/>
      <c r="AE7" s="3203"/>
      <c r="AF7" s="3204" t="s">
        <v>26</v>
      </c>
      <c r="AG7" s="3205"/>
      <c r="AH7" s="3205"/>
      <c r="AI7" s="3205"/>
      <c r="AJ7" s="3205"/>
      <c r="AK7" s="3205"/>
      <c r="AL7" s="3205"/>
      <c r="AM7" s="3206"/>
      <c r="AN7" s="3204" t="s">
        <v>27</v>
      </c>
      <c r="AO7" s="3205"/>
      <c r="AP7" s="3205"/>
      <c r="AQ7" s="3205"/>
      <c r="AR7" s="3205"/>
      <c r="AS7" s="3205"/>
      <c r="AT7" s="3205"/>
      <c r="AU7" s="3205"/>
      <c r="AV7" s="3205"/>
      <c r="AW7" s="3205"/>
      <c r="AX7" s="3205"/>
      <c r="AY7" s="3206"/>
      <c r="AZ7" s="3209" t="s">
        <v>28</v>
      </c>
      <c r="BA7" s="3210"/>
      <c r="BB7" s="3210"/>
      <c r="BC7" s="3210"/>
      <c r="BD7" s="3210"/>
      <c r="BE7" s="3211"/>
      <c r="BF7" s="3197" t="s">
        <v>29</v>
      </c>
      <c r="BG7" s="3198"/>
      <c r="BH7" s="3223" t="s">
        <v>30</v>
      </c>
      <c r="BI7" s="3224"/>
      <c r="BJ7" s="3224"/>
      <c r="BK7" s="3224"/>
      <c r="BL7" s="3224"/>
      <c r="BM7" s="3225"/>
      <c r="BN7" s="3226" t="s">
        <v>31</v>
      </c>
      <c r="BO7" s="3227"/>
      <c r="BP7" s="3226" t="s">
        <v>32</v>
      </c>
      <c r="BQ7" s="3227"/>
      <c r="BR7" s="3228" t="s">
        <v>33</v>
      </c>
    </row>
    <row r="8" spans="1:70" s="2348" customFormat="1" ht="96.75" customHeight="1" x14ac:dyDescent="0.2">
      <c r="A8" s="2634"/>
      <c r="B8" s="3221"/>
      <c r="C8" s="3222"/>
      <c r="D8" s="2634"/>
      <c r="E8" s="3221"/>
      <c r="F8" s="3222"/>
      <c r="G8" s="3221"/>
      <c r="H8" s="3222"/>
      <c r="I8" s="3221"/>
      <c r="J8" s="3222"/>
      <c r="K8" s="2634"/>
      <c r="L8" s="2634"/>
      <c r="M8" s="3191"/>
      <c r="N8" s="3192"/>
      <c r="O8" s="2634"/>
      <c r="P8" s="2691"/>
      <c r="Q8" s="2634"/>
      <c r="R8" s="2634"/>
      <c r="S8" s="2634"/>
      <c r="T8" s="2634"/>
      <c r="U8" s="2634"/>
      <c r="V8" s="2634"/>
      <c r="W8" s="3191"/>
      <c r="X8" s="3208"/>
      <c r="Y8" s="3192"/>
      <c r="Z8" s="2691"/>
      <c r="AA8" s="2634"/>
      <c r="AB8" s="3189" t="s">
        <v>37</v>
      </c>
      <c r="AC8" s="3190"/>
      <c r="AD8" s="3229" t="s">
        <v>38</v>
      </c>
      <c r="AE8" s="3230"/>
      <c r="AF8" s="3189" t="s">
        <v>39</v>
      </c>
      <c r="AG8" s="3190"/>
      <c r="AH8" s="3189" t="s">
        <v>40</v>
      </c>
      <c r="AI8" s="3190"/>
      <c r="AJ8" s="3189" t="s">
        <v>754</v>
      </c>
      <c r="AK8" s="3190"/>
      <c r="AL8" s="3189" t="s">
        <v>42</v>
      </c>
      <c r="AM8" s="3190"/>
      <c r="AN8" s="3189" t="s">
        <v>43</v>
      </c>
      <c r="AO8" s="3190"/>
      <c r="AP8" s="3189" t="s">
        <v>44</v>
      </c>
      <c r="AQ8" s="3190"/>
      <c r="AR8" s="3189" t="s">
        <v>45</v>
      </c>
      <c r="AS8" s="3190"/>
      <c r="AT8" s="3189" t="s">
        <v>46</v>
      </c>
      <c r="AU8" s="3190"/>
      <c r="AV8" s="3189" t="s">
        <v>47</v>
      </c>
      <c r="AW8" s="3190"/>
      <c r="AX8" s="3189" t="s">
        <v>48</v>
      </c>
      <c r="AY8" s="3190"/>
      <c r="AZ8" s="3189" t="s">
        <v>49</v>
      </c>
      <c r="BA8" s="3190"/>
      <c r="BB8" s="3189" t="s">
        <v>50</v>
      </c>
      <c r="BC8" s="3190"/>
      <c r="BD8" s="3189" t="s">
        <v>51</v>
      </c>
      <c r="BE8" s="3190"/>
      <c r="BF8" s="3199"/>
      <c r="BG8" s="3200"/>
      <c r="BH8" s="3193" t="s">
        <v>52</v>
      </c>
      <c r="BI8" s="3193" t="s">
        <v>53</v>
      </c>
      <c r="BJ8" s="2698" t="s">
        <v>54</v>
      </c>
      <c r="BK8" s="3195" t="s">
        <v>55</v>
      </c>
      <c r="BL8" s="2698" t="s">
        <v>56</v>
      </c>
      <c r="BM8" s="2698" t="s">
        <v>57</v>
      </c>
      <c r="BN8" s="2678"/>
      <c r="BO8" s="2679"/>
      <c r="BP8" s="2678"/>
      <c r="BQ8" s="2679"/>
      <c r="BR8" s="3228"/>
    </row>
    <row r="9" spans="1:70" s="1305" customFormat="1" ht="38.25" customHeight="1" x14ac:dyDescent="0.2">
      <c r="A9" s="2635"/>
      <c r="B9" s="2763"/>
      <c r="C9" s="2764"/>
      <c r="D9" s="2635"/>
      <c r="E9" s="2763"/>
      <c r="F9" s="2764"/>
      <c r="G9" s="2763"/>
      <c r="H9" s="2764"/>
      <c r="I9" s="2763"/>
      <c r="J9" s="2764"/>
      <c r="K9" s="2635"/>
      <c r="L9" s="2635"/>
      <c r="M9" s="2376" t="s">
        <v>58</v>
      </c>
      <c r="N9" s="2376" t="s">
        <v>59</v>
      </c>
      <c r="O9" s="2635"/>
      <c r="P9" s="2692"/>
      <c r="Q9" s="2635"/>
      <c r="R9" s="2635"/>
      <c r="S9" s="2635"/>
      <c r="T9" s="2635"/>
      <c r="U9" s="2635"/>
      <c r="V9" s="2635"/>
      <c r="W9" s="2377" t="s">
        <v>34</v>
      </c>
      <c r="X9" s="2377" t="s">
        <v>35</v>
      </c>
      <c r="Y9" s="2377" t="s">
        <v>36</v>
      </c>
      <c r="Z9" s="2692"/>
      <c r="AA9" s="2635"/>
      <c r="AB9" s="2377" t="s">
        <v>58</v>
      </c>
      <c r="AC9" s="2377" t="s">
        <v>59</v>
      </c>
      <c r="AD9" s="2377" t="s">
        <v>58</v>
      </c>
      <c r="AE9" s="2377" t="s">
        <v>59</v>
      </c>
      <c r="AF9" s="2377" t="s">
        <v>58</v>
      </c>
      <c r="AG9" s="2377" t="s">
        <v>59</v>
      </c>
      <c r="AH9" s="2377" t="s">
        <v>58</v>
      </c>
      <c r="AI9" s="2377" t="s">
        <v>59</v>
      </c>
      <c r="AJ9" s="2377" t="s">
        <v>58</v>
      </c>
      <c r="AK9" s="2377" t="s">
        <v>59</v>
      </c>
      <c r="AL9" s="2377" t="s">
        <v>58</v>
      </c>
      <c r="AM9" s="2377" t="s">
        <v>59</v>
      </c>
      <c r="AN9" s="2377" t="s">
        <v>58</v>
      </c>
      <c r="AO9" s="2377" t="s">
        <v>59</v>
      </c>
      <c r="AP9" s="2377" t="s">
        <v>58</v>
      </c>
      <c r="AQ9" s="2377" t="s">
        <v>59</v>
      </c>
      <c r="AR9" s="2377" t="s">
        <v>58</v>
      </c>
      <c r="AS9" s="2377" t="s">
        <v>59</v>
      </c>
      <c r="AT9" s="2377" t="s">
        <v>58</v>
      </c>
      <c r="AU9" s="2377" t="s">
        <v>59</v>
      </c>
      <c r="AV9" s="2377" t="s">
        <v>58</v>
      </c>
      <c r="AW9" s="2377" t="s">
        <v>59</v>
      </c>
      <c r="AX9" s="2377" t="s">
        <v>58</v>
      </c>
      <c r="AY9" s="2377" t="s">
        <v>59</v>
      </c>
      <c r="AZ9" s="2377" t="s">
        <v>58</v>
      </c>
      <c r="BA9" s="2377" t="s">
        <v>59</v>
      </c>
      <c r="BB9" s="2377" t="s">
        <v>58</v>
      </c>
      <c r="BC9" s="2377" t="s">
        <v>59</v>
      </c>
      <c r="BD9" s="2377" t="s">
        <v>58</v>
      </c>
      <c r="BE9" s="2377" t="s">
        <v>59</v>
      </c>
      <c r="BF9" s="2377" t="s">
        <v>58</v>
      </c>
      <c r="BG9" s="2377" t="s">
        <v>59</v>
      </c>
      <c r="BH9" s="3194"/>
      <c r="BI9" s="3194"/>
      <c r="BJ9" s="2699"/>
      <c r="BK9" s="3196"/>
      <c r="BL9" s="2699"/>
      <c r="BM9" s="2699"/>
      <c r="BN9" s="2383" t="s">
        <v>58</v>
      </c>
      <c r="BO9" s="2383" t="s">
        <v>59</v>
      </c>
      <c r="BP9" s="2383" t="s">
        <v>58</v>
      </c>
      <c r="BQ9" s="2383" t="s">
        <v>59</v>
      </c>
      <c r="BR9" s="2770"/>
    </row>
    <row r="10" spans="1:70" ht="15" x14ac:dyDescent="0.2">
      <c r="A10" s="2417">
        <v>1</v>
      </c>
      <c r="B10" s="671" t="s">
        <v>1414</v>
      </c>
      <c r="C10" s="2386"/>
      <c r="D10" s="2386"/>
      <c r="E10" s="2386"/>
      <c r="F10" s="1799"/>
      <c r="G10" s="1799"/>
      <c r="H10" s="1799"/>
      <c r="I10" s="1799"/>
      <c r="J10" s="1799"/>
      <c r="K10" s="1799"/>
      <c r="L10" s="1799"/>
      <c r="M10" s="1799"/>
      <c r="N10" s="1799"/>
      <c r="O10" s="1800"/>
      <c r="P10" s="1799"/>
      <c r="Q10" s="1799"/>
      <c r="R10" s="1799"/>
      <c r="S10" s="1799"/>
      <c r="T10" s="1799"/>
      <c r="U10" s="1799"/>
      <c r="V10" s="1799"/>
      <c r="W10" s="1799"/>
      <c r="X10" s="1799"/>
      <c r="Y10" s="1799"/>
      <c r="Z10" s="1799"/>
      <c r="AA10" s="1799"/>
      <c r="AB10" s="1799"/>
      <c r="AC10" s="1799"/>
      <c r="AD10" s="1799"/>
      <c r="AE10" s="1799"/>
      <c r="AF10" s="1799"/>
      <c r="AG10" s="1799"/>
      <c r="AH10" s="1799"/>
      <c r="AI10" s="1799"/>
      <c r="AJ10" s="1799"/>
      <c r="AK10" s="1799"/>
      <c r="AL10" s="1799"/>
      <c r="AM10" s="1799"/>
      <c r="AN10" s="1799"/>
      <c r="AO10" s="1799"/>
      <c r="AP10" s="1799"/>
      <c r="AQ10" s="1799"/>
      <c r="AR10" s="1799"/>
      <c r="AS10" s="1799"/>
      <c r="AT10" s="1799"/>
      <c r="AU10" s="1799"/>
      <c r="AV10" s="1799"/>
      <c r="AW10" s="1799"/>
      <c r="AX10" s="1799"/>
      <c r="AY10" s="1799"/>
      <c r="AZ10" s="1799"/>
      <c r="BA10" s="1799"/>
      <c r="BB10" s="1799"/>
      <c r="BC10" s="1799"/>
      <c r="BD10" s="1799"/>
      <c r="BE10" s="1799"/>
      <c r="BF10" s="1799"/>
      <c r="BG10" s="1799"/>
      <c r="BH10" s="1799"/>
      <c r="BI10" s="1799"/>
      <c r="BJ10" s="1799"/>
      <c r="BK10" s="1799"/>
      <c r="BL10" s="1799"/>
      <c r="BM10" s="1799"/>
      <c r="BN10" s="1799"/>
      <c r="BO10" s="1799"/>
      <c r="BP10" s="1799"/>
      <c r="BQ10" s="1799"/>
      <c r="BR10" s="1802"/>
    </row>
    <row r="11" spans="1:70" ht="20.25" customHeight="1" x14ac:dyDescent="0.2">
      <c r="A11" s="2409"/>
      <c r="B11" s="2421"/>
      <c r="C11" s="2410"/>
      <c r="D11" s="2279">
        <v>1</v>
      </c>
      <c r="E11" s="1965" t="s">
        <v>2539</v>
      </c>
      <c r="F11" s="2422"/>
      <c r="G11" s="2422"/>
      <c r="H11" s="2351"/>
      <c r="I11" s="2352"/>
      <c r="J11" s="2422"/>
      <c r="K11" s="2422"/>
      <c r="L11" s="2422"/>
      <c r="M11" s="2422"/>
      <c r="N11" s="2422"/>
      <c r="O11" s="2279"/>
      <c r="P11" s="2422"/>
      <c r="Q11" s="2422"/>
      <c r="R11" s="2422"/>
      <c r="S11" s="2422"/>
      <c r="T11" s="2422"/>
      <c r="U11" s="2422"/>
      <c r="V11" s="2422"/>
      <c r="W11" s="2422"/>
      <c r="X11" s="2422"/>
      <c r="Y11" s="2422"/>
      <c r="Z11" s="2422"/>
      <c r="AA11" s="2422"/>
      <c r="AB11" s="2422"/>
      <c r="AC11" s="2422"/>
      <c r="AD11" s="2422"/>
      <c r="AE11" s="2422"/>
      <c r="AF11" s="2422"/>
      <c r="AG11" s="2422"/>
      <c r="AH11" s="2422"/>
      <c r="AI11" s="2422"/>
      <c r="AJ11" s="2422"/>
      <c r="AK11" s="2422"/>
      <c r="AL11" s="2422"/>
      <c r="AM11" s="2422"/>
      <c r="AN11" s="2422"/>
      <c r="AO11" s="2422"/>
      <c r="AP11" s="2422"/>
      <c r="AQ11" s="2422"/>
      <c r="AR11" s="2422"/>
      <c r="AS11" s="2422"/>
      <c r="AT11" s="2422"/>
      <c r="AU11" s="2422"/>
      <c r="AV11" s="2422"/>
      <c r="AW11" s="2422"/>
      <c r="AX11" s="2422"/>
      <c r="AY11" s="2422"/>
      <c r="AZ11" s="2422"/>
      <c r="BA11" s="2422"/>
      <c r="BB11" s="2422"/>
      <c r="BC11" s="2422"/>
      <c r="BD11" s="2422"/>
      <c r="BE11" s="2422"/>
      <c r="BF11" s="2422"/>
      <c r="BG11" s="2422"/>
      <c r="BH11" s="2422"/>
      <c r="BI11" s="2422"/>
      <c r="BJ11" s="2422"/>
      <c r="BK11" s="2422"/>
      <c r="BL11" s="2422"/>
      <c r="BM11" s="2422"/>
      <c r="BN11" s="2422"/>
      <c r="BO11" s="2422"/>
      <c r="BP11" s="2422"/>
      <c r="BQ11" s="2422"/>
      <c r="BR11" s="2422"/>
    </row>
    <row r="12" spans="1:70" ht="23.25" customHeight="1" x14ac:dyDescent="0.2">
      <c r="A12" s="2393"/>
      <c r="B12" s="1915"/>
      <c r="C12" s="2411"/>
      <c r="D12" s="2409"/>
      <c r="E12" s="2421"/>
      <c r="F12" s="2410"/>
      <c r="G12" s="2423">
        <v>2</v>
      </c>
      <c r="H12" s="1402" t="s">
        <v>2540</v>
      </c>
      <c r="I12" s="2424"/>
      <c r="J12" s="2424"/>
      <c r="K12" s="2424"/>
      <c r="L12" s="2424"/>
      <c r="M12" s="2424"/>
      <c r="N12" s="2424"/>
      <c r="O12" s="2423"/>
      <c r="P12" s="2424"/>
      <c r="Q12" s="2424"/>
      <c r="R12" s="2424"/>
      <c r="S12" s="2424"/>
      <c r="T12" s="2424"/>
      <c r="U12" s="2424"/>
      <c r="V12" s="2424"/>
      <c r="W12" s="2424"/>
      <c r="X12" s="2424"/>
      <c r="Y12" s="2424"/>
      <c r="Z12" s="2424"/>
      <c r="AA12" s="2424"/>
      <c r="AB12" s="2424"/>
      <c r="AC12" s="2424"/>
      <c r="AD12" s="2424"/>
      <c r="AE12" s="2424"/>
      <c r="AF12" s="2424"/>
      <c r="AG12" s="2424"/>
      <c r="AH12" s="2424"/>
      <c r="AI12" s="2424"/>
      <c r="AJ12" s="2424"/>
      <c r="AK12" s="2424"/>
      <c r="AL12" s="2424"/>
      <c r="AM12" s="2424"/>
      <c r="AN12" s="2424"/>
      <c r="AO12" s="2424"/>
      <c r="AP12" s="2424"/>
      <c r="AQ12" s="2424"/>
      <c r="AR12" s="2424"/>
      <c r="AS12" s="2424"/>
      <c r="AT12" s="2424"/>
      <c r="AU12" s="2424"/>
      <c r="AV12" s="2424"/>
      <c r="AW12" s="2424"/>
      <c r="AX12" s="2424"/>
      <c r="AY12" s="2424"/>
      <c r="AZ12" s="2424"/>
      <c r="BA12" s="2424"/>
      <c r="BB12" s="2424"/>
      <c r="BC12" s="2424"/>
      <c r="BD12" s="2424"/>
      <c r="BE12" s="2424"/>
      <c r="BF12" s="2424"/>
      <c r="BG12" s="2424"/>
      <c r="BH12" s="2424"/>
      <c r="BI12" s="2424"/>
      <c r="BJ12" s="2424"/>
      <c r="BK12" s="2424"/>
      <c r="BL12" s="2424"/>
      <c r="BM12" s="2424"/>
      <c r="BN12" s="2424"/>
      <c r="BO12" s="2424"/>
      <c r="BP12" s="2424"/>
      <c r="BQ12" s="2424"/>
      <c r="BR12" s="2424"/>
    </row>
    <row r="13" spans="1:70" ht="81" customHeight="1" x14ac:dyDescent="0.2">
      <c r="A13" s="2393"/>
      <c r="B13" s="1915"/>
      <c r="C13" s="2411"/>
      <c r="D13" s="2393"/>
      <c r="E13" s="1915"/>
      <c r="F13" s="2411"/>
      <c r="G13" s="2409"/>
      <c r="H13" s="2421"/>
      <c r="I13" s="2410"/>
      <c r="J13" s="3080">
        <v>9</v>
      </c>
      <c r="K13" s="3078" t="s">
        <v>2541</v>
      </c>
      <c r="L13" s="3078" t="s">
        <v>2542</v>
      </c>
      <c r="M13" s="2977">
        <v>5</v>
      </c>
      <c r="N13" s="2977">
        <v>3</v>
      </c>
      <c r="O13" s="3080" t="s">
        <v>2543</v>
      </c>
      <c r="P13" s="3080" t="s">
        <v>2544</v>
      </c>
      <c r="Q13" s="3078" t="s">
        <v>2545</v>
      </c>
      <c r="R13" s="3071">
        <f>SUM(W13:W16)/S13</f>
        <v>1</v>
      </c>
      <c r="S13" s="3040">
        <f>SUM(W13:W16)</f>
        <v>2440979994</v>
      </c>
      <c r="T13" s="3078" t="s">
        <v>2546</v>
      </c>
      <c r="U13" s="3054" t="s">
        <v>2547</v>
      </c>
      <c r="V13" s="2789" t="s">
        <v>2548</v>
      </c>
      <c r="W13" s="1760">
        <f>2000000000</f>
        <v>2000000000</v>
      </c>
      <c r="X13" s="1831">
        <f>+'[1]EJECUCION HACIENDA'!H6</f>
        <v>432485798</v>
      </c>
      <c r="Y13" s="1831">
        <v>0</v>
      </c>
      <c r="Z13" s="2425" t="s">
        <v>1798</v>
      </c>
      <c r="AA13" s="2384" t="s">
        <v>2549</v>
      </c>
      <c r="AB13" s="3163">
        <v>294321</v>
      </c>
      <c r="AC13" s="3163">
        <f>AB13*BK13</f>
        <v>52146.946253570153</v>
      </c>
      <c r="AD13" s="3163">
        <v>283947</v>
      </c>
      <c r="AE13" s="3163">
        <f>AD13*BK13</f>
        <v>50308.910841776444</v>
      </c>
      <c r="AF13" s="3163">
        <v>135754</v>
      </c>
      <c r="AG13" s="3163">
        <f>AF13*BK13</f>
        <v>24052.502341685315</v>
      </c>
      <c r="AH13" s="3163">
        <v>44640</v>
      </c>
      <c r="AI13" s="3163">
        <f>AH13*BK13</f>
        <v>7909.1865030336667</v>
      </c>
      <c r="AJ13" s="3163">
        <v>308178</v>
      </c>
      <c r="AK13" s="3163">
        <f>AJ13*BK13</f>
        <v>54602.089563886861</v>
      </c>
      <c r="AL13" s="3163">
        <v>89696</v>
      </c>
      <c r="AM13" s="3163">
        <f>AL13*BK13</f>
        <v>15892.078686740766</v>
      </c>
      <c r="AN13" s="3163">
        <v>2145</v>
      </c>
      <c r="AO13" s="3163">
        <f>AN13*BK13</f>
        <v>380.04491597238382</v>
      </c>
      <c r="AP13" s="3163">
        <v>12718</v>
      </c>
      <c r="AQ13" s="3163">
        <f>AP13*BK13</f>
        <v>2253.3385740497797</v>
      </c>
      <c r="AR13" s="3163">
        <v>26</v>
      </c>
      <c r="AS13" s="3163">
        <f>AR13*BK13</f>
        <v>4.6066050420895008</v>
      </c>
      <c r="AT13" s="3163">
        <v>37</v>
      </c>
      <c r="AU13" s="3163">
        <f>AT13*BK13</f>
        <v>6.5555533291273669</v>
      </c>
      <c r="AV13" s="3163">
        <v>0</v>
      </c>
      <c r="AW13" s="3163">
        <v>0</v>
      </c>
      <c r="AX13" s="3163">
        <v>0</v>
      </c>
      <c r="AY13" s="3163">
        <v>0</v>
      </c>
      <c r="AZ13" s="3163">
        <v>54612</v>
      </c>
      <c r="BA13" s="3163">
        <f>AZ13*BK13</f>
        <v>9675.9967137919939</v>
      </c>
      <c r="BB13" s="3163">
        <v>21944</v>
      </c>
      <c r="BC13" s="3163">
        <f>BB13*BK13</f>
        <v>3887.9746555235388</v>
      </c>
      <c r="BD13" s="3163">
        <v>1010</v>
      </c>
      <c r="BE13" s="3163">
        <f>BD13*BK13</f>
        <v>178.94888817347677</v>
      </c>
      <c r="BF13" s="3163">
        <v>578268</v>
      </c>
      <c r="BG13" s="3163">
        <f>BF13*BK13</f>
        <v>102455.8570953466</v>
      </c>
      <c r="BH13" s="3165">
        <v>1</v>
      </c>
      <c r="BI13" s="3167">
        <f>SUM(X13:X16)</f>
        <v>432485798</v>
      </c>
      <c r="BJ13" s="3167">
        <f>+Y13</f>
        <v>0</v>
      </c>
      <c r="BK13" s="3184">
        <f>BI13/S13</f>
        <v>0.17717711700344235</v>
      </c>
      <c r="BL13" s="2977" t="s">
        <v>1799</v>
      </c>
      <c r="BM13" s="2977" t="s">
        <v>2550</v>
      </c>
      <c r="BN13" s="3152">
        <v>43538</v>
      </c>
      <c r="BO13" s="3152">
        <v>43538</v>
      </c>
      <c r="BP13" s="3152">
        <v>43629</v>
      </c>
      <c r="BQ13" s="3152">
        <v>43629</v>
      </c>
      <c r="BR13" s="3154" t="s">
        <v>2551</v>
      </c>
    </row>
    <row r="14" spans="1:70" ht="39" customHeight="1" x14ac:dyDescent="0.2">
      <c r="A14" s="2393"/>
      <c r="B14" s="1915"/>
      <c r="C14" s="2411"/>
      <c r="D14" s="2393"/>
      <c r="E14" s="1915"/>
      <c r="F14" s="2411"/>
      <c r="G14" s="2393"/>
      <c r="H14" s="1915"/>
      <c r="I14" s="2411"/>
      <c r="J14" s="3141"/>
      <c r="K14" s="3142"/>
      <c r="L14" s="3142"/>
      <c r="M14" s="2966"/>
      <c r="N14" s="2966"/>
      <c r="O14" s="3141"/>
      <c r="P14" s="3141"/>
      <c r="Q14" s="3142"/>
      <c r="R14" s="3072"/>
      <c r="S14" s="3041"/>
      <c r="T14" s="3142"/>
      <c r="U14" s="3188"/>
      <c r="V14" s="2790"/>
      <c r="W14" s="1760">
        <v>4200000</v>
      </c>
      <c r="X14" s="1831">
        <v>0</v>
      </c>
      <c r="Y14" s="1831">
        <v>0</v>
      </c>
      <c r="Z14" s="2401">
        <v>27</v>
      </c>
      <c r="AA14" s="2384" t="s">
        <v>2552</v>
      </c>
      <c r="AB14" s="3183"/>
      <c r="AC14" s="3183"/>
      <c r="AD14" s="3183"/>
      <c r="AE14" s="3183"/>
      <c r="AF14" s="3183"/>
      <c r="AG14" s="3183"/>
      <c r="AH14" s="3183"/>
      <c r="AI14" s="3183"/>
      <c r="AJ14" s="3183"/>
      <c r="AK14" s="3183"/>
      <c r="AL14" s="3183"/>
      <c r="AM14" s="3183"/>
      <c r="AN14" s="3183"/>
      <c r="AO14" s="3183"/>
      <c r="AP14" s="3183"/>
      <c r="AQ14" s="3183"/>
      <c r="AR14" s="3183"/>
      <c r="AS14" s="3183"/>
      <c r="AT14" s="3183"/>
      <c r="AU14" s="3183"/>
      <c r="AV14" s="3183"/>
      <c r="AW14" s="3183"/>
      <c r="AX14" s="3183"/>
      <c r="AY14" s="3183"/>
      <c r="AZ14" s="3183"/>
      <c r="BA14" s="3183"/>
      <c r="BB14" s="3183"/>
      <c r="BC14" s="3183"/>
      <c r="BD14" s="3183"/>
      <c r="BE14" s="3183"/>
      <c r="BF14" s="3183"/>
      <c r="BG14" s="3183"/>
      <c r="BH14" s="3207"/>
      <c r="BI14" s="3187"/>
      <c r="BJ14" s="3187"/>
      <c r="BK14" s="3185"/>
      <c r="BL14" s="2966"/>
      <c r="BM14" s="2966"/>
      <c r="BN14" s="3181"/>
      <c r="BO14" s="3181"/>
      <c r="BP14" s="3181"/>
      <c r="BQ14" s="3181"/>
      <c r="BR14" s="3182"/>
    </row>
    <row r="15" spans="1:70" ht="39" customHeight="1" x14ac:dyDescent="0.2">
      <c r="A15" s="2393"/>
      <c r="B15" s="1915"/>
      <c r="C15" s="2411"/>
      <c r="D15" s="2393"/>
      <c r="E15" s="1915"/>
      <c r="F15" s="2411"/>
      <c r="G15" s="2393"/>
      <c r="H15" s="1915"/>
      <c r="I15" s="2411"/>
      <c r="J15" s="3141"/>
      <c r="K15" s="3142"/>
      <c r="L15" s="3142"/>
      <c r="M15" s="2966"/>
      <c r="N15" s="2966"/>
      <c r="O15" s="3141"/>
      <c r="P15" s="3141"/>
      <c r="Q15" s="3142"/>
      <c r="R15" s="3072"/>
      <c r="S15" s="3041"/>
      <c r="T15" s="3142"/>
      <c r="U15" s="3054" t="s">
        <v>2553</v>
      </c>
      <c r="V15" s="2790"/>
      <c r="W15" s="1760">
        <v>425000000</v>
      </c>
      <c r="X15" s="1831">
        <v>0</v>
      </c>
      <c r="Y15" s="1831">
        <v>0</v>
      </c>
      <c r="Z15" s="2425" t="s">
        <v>2554</v>
      </c>
      <c r="AA15" s="2384" t="s">
        <v>2555</v>
      </c>
      <c r="AB15" s="3183"/>
      <c r="AC15" s="3183"/>
      <c r="AD15" s="3183"/>
      <c r="AE15" s="3183"/>
      <c r="AF15" s="3183"/>
      <c r="AG15" s="3183"/>
      <c r="AH15" s="3183"/>
      <c r="AI15" s="3183"/>
      <c r="AJ15" s="3183"/>
      <c r="AK15" s="3183"/>
      <c r="AL15" s="3183"/>
      <c r="AM15" s="3183"/>
      <c r="AN15" s="3183"/>
      <c r="AO15" s="3183"/>
      <c r="AP15" s="3183"/>
      <c r="AQ15" s="3183"/>
      <c r="AR15" s="3183"/>
      <c r="AS15" s="3183"/>
      <c r="AT15" s="3183"/>
      <c r="AU15" s="3183"/>
      <c r="AV15" s="3183"/>
      <c r="AW15" s="3183"/>
      <c r="AX15" s="3183"/>
      <c r="AY15" s="3183"/>
      <c r="AZ15" s="3183"/>
      <c r="BA15" s="3183"/>
      <c r="BB15" s="3183"/>
      <c r="BC15" s="3183"/>
      <c r="BD15" s="3183"/>
      <c r="BE15" s="3183"/>
      <c r="BF15" s="3183"/>
      <c r="BG15" s="3183"/>
      <c r="BH15" s="3207"/>
      <c r="BI15" s="3187"/>
      <c r="BJ15" s="3187"/>
      <c r="BK15" s="3185"/>
      <c r="BL15" s="2966"/>
      <c r="BM15" s="2966"/>
      <c r="BN15" s="3181"/>
      <c r="BO15" s="3181"/>
      <c r="BP15" s="3181"/>
      <c r="BQ15" s="3181"/>
      <c r="BR15" s="3182"/>
    </row>
    <row r="16" spans="1:70" ht="39" customHeight="1" x14ac:dyDescent="0.2">
      <c r="A16" s="2393"/>
      <c r="B16" s="1915"/>
      <c r="C16" s="2411"/>
      <c r="D16" s="2393"/>
      <c r="E16" s="1915"/>
      <c r="F16" s="2411"/>
      <c r="G16" s="2393"/>
      <c r="H16" s="1915"/>
      <c r="I16" s="2411"/>
      <c r="J16" s="3081"/>
      <c r="K16" s="3079"/>
      <c r="L16" s="3079"/>
      <c r="M16" s="2967"/>
      <c r="N16" s="2967"/>
      <c r="O16" s="3081"/>
      <c r="P16" s="3081"/>
      <c r="Q16" s="3079"/>
      <c r="R16" s="3158"/>
      <c r="S16" s="3042"/>
      <c r="T16" s="3079"/>
      <c r="U16" s="3188"/>
      <c r="V16" s="2791"/>
      <c r="W16" s="1760">
        <v>11779994</v>
      </c>
      <c r="X16" s="1831">
        <v>0</v>
      </c>
      <c r="Y16" s="1831">
        <v>0</v>
      </c>
      <c r="Z16" s="2401">
        <v>90</v>
      </c>
      <c r="AA16" s="2384" t="s">
        <v>2556</v>
      </c>
      <c r="AB16" s="3172"/>
      <c r="AC16" s="3172"/>
      <c r="AD16" s="3172"/>
      <c r="AE16" s="3172"/>
      <c r="AF16" s="3172"/>
      <c r="AG16" s="3172"/>
      <c r="AH16" s="3172"/>
      <c r="AI16" s="3172"/>
      <c r="AJ16" s="3172"/>
      <c r="AK16" s="3172"/>
      <c r="AL16" s="3172"/>
      <c r="AM16" s="3172"/>
      <c r="AN16" s="3172"/>
      <c r="AO16" s="3172"/>
      <c r="AP16" s="3172"/>
      <c r="AQ16" s="3172"/>
      <c r="AR16" s="3172"/>
      <c r="AS16" s="3172"/>
      <c r="AT16" s="3172"/>
      <c r="AU16" s="3172"/>
      <c r="AV16" s="3172"/>
      <c r="AW16" s="3172"/>
      <c r="AX16" s="3172"/>
      <c r="AY16" s="3172"/>
      <c r="AZ16" s="3172"/>
      <c r="BA16" s="3172"/>
      <c r="BB16" s="3172"/>
      <c r="BC16" s="3172"/>
      <c r="BD16" s="3172"/>
      <c r="BE16" s="3172"/>
      <c r="BF16" s="3172"/>
      <c r="BG16" s="3172"/>
      <c r="BH16" s="3179"/>
      <c r="BI16" s="3177"/>
      <c r="BJ16" s="3177"/>
      <c r="BK16" s="3186"/>
      <c r="BL16" s="2967"/>
      <c r="BM16" s="2967"/>
      <c r="BN16" s="3178"/>
      <c r="BO16" s="3178"/>
      <c r="BP16" s="3178"/>
      <c r="BQ16" s="3178"/>
      <c r="BR16" s="3171"/>
    </row>
    <row r="17" spans="1:70" ht="105.75" customHeight="1" x14ac:dyDescent="0.2">
      <c r="A17" s="2393"/>
      <c r="B17" s="1915"/>
      <c r="C17" s="2411"/>
      <c r="D17" s="2393"/>
      <c r="E17" s="1915"/>
      <c r="F17" s="2411"/>
      <c r="G17" s="2393"/>
      <c r="H17" s="1915"/>
      <c r="I17" s="2411"/>
      <c r="J17" s="3080">
        <v>9</v>
      </c>
      <c r="K17" s="3078" t="s">
        <v>2541</v>
      </c>
      <c r="L17" s="3078" t="s">
        <v>2542</v>
      </c>
      <c r="M17" s="3080">
        <v>5</v>
      </c>
      <c r="N17" s="3080">
        <v>3</v>
      </c>
      <c r="O17" s="3080" t="s">
        <v>2557</v>
      </c>
      <c r="P17" s="3080" t="s">
        <v>2558</v>
      </c>
      <c r="Q17" s="3078" t="s">
        <v>2559</v>
      </c>
      <c r="R17" s="3071">
        <f>+(W17)/S17</f>
        <v>1</v>
      </c>
      <c r="S17" s="3040">
        <f>SUM(W17)</f>
        <v>1105246431</v>
      </c>
      <c r="T17" s="3078" t="s">
        <v>2560</v>
      </c>
      <c r="U17" s="2403" t="s">
        <v>2561</v>
      </c>
      <c r="V17" s="2789" t="s">
        <v>2562</v>
      </c>
      <c r="W17" s="3040">
        <v>1105246431</v>
      </c>
      <c r="X17" s="3167">
        <f>+'[1]EJECUCION HACIENDA'!H12</f>
        <v>1091680073</v>
      </c>
      <c r="Y17" s="3167">
        <v>0</v>
      </c>
      <c r="Z17" s="3155">
        <v>27</v>
      </c>
      <c r="AA17" s="3080" t="s">
        <v>2563</v>
      </c>
      <c r="AB17" s="3163">
        <v>294321</v>
      </c>
      <c r="AC17" s="3163">
        <v>0</v>
      </c>
      <c r="AD17" s="3163">
        <v>283947</v>
      </c>
      <c r="AE17" s="3163">
        <v>0</v>
      </c>
      <c r="AF17" s="3163">
        <v>135754</v>
      </c>
      <c r="AG17" s="3163">
        <v>0</v>
      </c>
      <c r="AH17" s="3163">
        <v>44640</v>
      </c>
      <c r="AI17" s="3163">
        <v>0</v>
      </c>
      <c r="AJ17" s="3163">
        <v>308178</v>
      </c>
      <c r="AK17" s="3163">
        <v>0</v>
      </c>
      <c r="AL17" s="3163">
        <v>89696</v>
      </c>
      <c r="AM17" s="3163">
        <v>0</v>
      </c>
      <c r="AN17" s="3163">
        <v>2145</v>
      </c>
      <c r="AO17" s="3163">
        <v>0</v>
      </c>
      <c r="AP17" s="3163">
        <v>12718</v>
      </c>
      <c r="AQ17" s="3163">
        <v>0</v>
      </c>
      <c r="AR17" s="3163">
        <v>26</v>
      </c>
      <c r="AS17" s="3163">
        <v>0</v>
      </c>
      <c r="AT17" s="3163">
        <v>37</v>
      </c>
      <c r="AU17" s="3163">
        <v>0</v>
      </c>
      <c r="AV17" s="3163">
        <v>0</v>
      </c>
      <c r="AW17" s="3163">
        <v>0</v>
      </c>
      <c r="AX17" s="3163">
        <v>0</v>
      </c>
      <c r="AY17" s="3163">
        <v>0</v>
      </c>
      <c r="AZ17" s="3163">
        <v>54612</v>
      </c>
      <c r="BA17" s="3163">
        <v>0</v>
      </c>
      <c r="BB17" s="3163">
        <v>21944</v>
      </c>
      <c r="BC17" s="3163">
        <v>0</v>
      </c>
      <c r="BD17" s="3163">
        <v>1010</v>
      </c>
      <c r="BE17" s="3163">
        <v>0</v>
      </c>
      <c r="BF17" s="3163">
        <v>578268</v>
      </c>
      <c r="BG17" s="3163">
        <v>0</v>
      </c>
      <c r="BH17" s="3165">
        <v>0</v>
      </c>
      <c r="BI17" s="3180">
        <f>SUM(X17)</f>
        <v>1091680073</v>
      </c>
      <c r="BJ17" s="2977">
        <v>0</v>
      </c>
      <c r="BK17" s="2977">
        <v>0</v>
      </c>
      <c r="BL17" s="2977">
        <v>0</v>
      </c>
      <c r="BM17" s="2977" t="s">
        <v>2550</v>
      </c>
      <c r="BN17" s="3152">
        <v>43467</v>
      </c>
      <c r="BO17" s="3152">
        <v>43830</v>
      </c>
      <c r="BP17" s="3152">
        <v>43467</v>
      </c>
      <c r="BQ17" s="3152">
        <v>43830</v>
      </c>
      <c r="BR17" s="3154" t="s">
        <v>2551</v>
      </c>
    </row>
    <row r="18" spans="1:70" ht="84" customHeight="1" x14ac:dyDescent="0.2">
      <c r="A18" s="2393"/>
      <c r="B18" s="1915"/>
      <c r="C18" s="2411"/>
      <c r="D18" s="2393"/>
      <c r="E18" s="1915"/>
      <c r="F18" s="2411"/>
      <c r="G18" s="2393"/>
      <c r="H18" s="1915"/>
      <c r="I18" s="2411"/>
      <c r="J18" s="3081"/>
      <c r="K18" s="3079"/>
      <c r="L18" s="3079"/>
      <c r="M18" s="3081"/>
      <c r="N18" s="3081"/>
      <c r="O18" s="3081"/>
      <c r="P18" s="3081"/>
      <c r="Q18" s="3079"/>
      <c r="R18" s="3072"/>
      <c r="S18" s="3041"/>
      <c r="T18" s="3079"/>
      <c r="U18" s="2403" t="s">
        <v>2564</v>
      </c>
      <c r="V18" s="2791"/>
      <c r="W18" s="3042"/>
      <c r="X18" s="3177"/>
      <c r="Y18" s="3177"/>
      <c r="Z18" s="3157"/>
      <c r="AA18" s="3081"/>
      <c r="AB18" s="3172"/>
      <c r="AC18" s="3172"/>
      <c r="AD18" s="3172"/>
      <c r="AE18" s="3172"/>
      <c r="AF18" s="3172"/>
      <c r="AG18" s="3172"/>
      <c r="AH18" s="3172"/>
      <c r="AI18" s="3172"/>
      <c r="AJ18" s="3172"/>
      <c r="AK18" s="3172"/>
      <c r="AL18" s="3172"/>
      <c r="AM18" s="3172"/>
      <c r="AN18" s="3172"/>
      <c r="AO18" s="3172"/>
      <c r="AP18" s="3172"/>
      <c r="AQ18" s="3172"/>
      <c r="AR18" s="3172"/>
      <c r="AS18" s="3172"/>
      <c r="AT18" s="3172"/>
      <c r="AU18" s="3172"/>
      <c r="AV18" s="3172"/>
      <c r="AW18" s="3172"/>
      <c r="AX18" s="3172"/>
      <c r="AY18" s="3172"/>
      <c r="AZ18" s="3172"/>
      <c r="BA18" s="3172"/>
      <c r="BB18" s="3172"/>
      <c r="BC18" s="3172"/>
      <c r="BD18" s="3172"/>
      <c r="BE18" s="3172"/>
      <c r="BF18" s="3172"/>
      <c r="BG18" s="3172"/>
      <c r="BH18" s="3179"/>
      <c r="BI18" s="2967"/>
      <c r="BJ18" s="2967"/>
      <c r="BK18" s="2967"/>
      <c r="BL18" s="2967"/>
      <c r="BM18" s="2967"/>
      <c r="BN18" s="3178"/>
      <c r="BO18" s="3178"/>
      <c r="BP18" s="3178"/>
      <c r="BQ18" s="3178"/>
      <c r="BR18" s="3171"/>
    </row>
    <row r="19" spans="1:70" ht="84" customHeight="1" x14ac:dyDescent="0.2">
      <c r="A19" s="2393"/>
      <c r="B19" s="1915"/>
      <c r="C19" s="2411"/>
      <c r="D19" s="2393"/>
      <c r="E19" s="1915"/>
      <c r="F19" s="2411"/>
      <c r="G19" s="2393"/>
      <c r="H19" s="1915"/>
      <c r="I19" s="2411"/>
      <c r="J19" s="3080">
        <v>10</v>
      </c>
      <c r="K19" s="3078" t="s">
        <v>2565</v>
      </c>
      <c r="L19" s="3078" t="s">
        <v>2566</v>
      </c>
      <c r="M19" s="3080">
        <v>5</v>
      </c>
      <c r="N19" s="3080">
        <v>2</v>
      </c>
      <c r="O19" s="3080" t="s">
        <v>2567</v>
      </c>
      <c r="P19" s="3080" t="s">
        <v>2568</v>
      </c>
      <c r="Q19" s="3078" t="s">
        <v>2569</v>
      </c>
      <c r="R19" s="3071">
        <f>+(W19)/S19</f>
        <v>1</v>
      </c>
      <c r="S19" s="3040">
        <f>SUM(W19)</f>
        <v>80000000</v>
      </c>
      <c r="T19" s="3078" t="s">
        <v>2570</v>
      </c>
      <c r="U19" s="2400" t="s">
        <v>2571</v>
      </c>
      <c r="V19" s="3078" t="s">
        <v>2572</v>
      </c>
      <c r="W19" s="3040">
        <v>80000000</v>
      </c>
      <c r="X19" s="3167">
        <f>+'[1]EJECUCION HACIENDA'!H14</f>
        <v>80000000</v>
      </c>
      <c r="Y19" s="3167">
        <v>0</v>
      </c>
      <c r="Z19" s="3155">
        <v>27</v>
      </c>
      <c r="AA19" s="3080" t="s">
        <v>2563</v>
      </c>
      <c r="AB19" s="3163">
        <v>294321</v>
      </c>
      <c r="AC19" s="3163">
        <v>0</v>
      </c>
      <c r="AD19" s="3163">
        <v>283947</v>
      </c>
      <c r="AE19" s="3163">
        <v>0</v>
      </c>
      <c r="AF19" s="3163">
        <v>135754</v>
      </c>
      <c r="AG19" s="3163">
        <v>0</v>
      </c>
      <c r="AH19" s="3163">
        <v>44640</v>
      </c>
      <c r="AI19" s="3163">
        <v>0</v>
      </c>
      <c r="AJ19" s="3163">
        <v>308178</v>
      </c>
      <c r="AK19" s="3163">
        <v>0</v>
      </c>
      <c r="AL19" s="3163">
        <v>89696</v>
      </c>
      <c r="AM19" s="3163">
        <v>0</v>
      </c>
      <c r="AN19" s="3163">
        <v>2145</v>
      </c>
      <c r="AO19" s="3163">
        <v>0</v>
      </c>
      <c r="AP19" s="3163">
        <v>12718</v>
      </c>
      <c r="AQ19" s="3163">
        <v>0</v>
      </c>
      <c r="AR19" s="3163">
        <v>26</v>
      </c>
      <c r="AS19" s="3163">
        <v>0</v>
      </c>
      <c r="AT19" s="3163">
        <v>37</v>
      </c>
      <c r="AU19" s="3163">
        <v>0</v>
      </c>
      <c r="AV19" s="3163">
        <v>0</v>
      </c>
      <c r="AW19" s="3163">
        <v>0</v>
      </c>
      <c r="AX19" s="3163">
        <v>0</v>
      </c>
      <c r="AY19" s="3163">
        <v>0</v>
      </c>
      <c r="AZ19" s="3163">
        <v>54612</v>
      </c>
      <c r="BA19" s="3163">
        <v>0</v>
      </c>
      <c r="BB19" s="3163">
        <v>21944</v>
      </c>
      <c r="BC19" s="3163">
        <v>0</v>
      </c>
      <c r="BD19" s="3163">
        <v>1010</v>
      </c>
      <c r="BE19" s="3163">
        <v>0</v>
      </c>
      <c r="BF19" s="3163">
        <v>578268</v>
      </c>
      <c r="BG19" s="3163">
        <v>0</v>
      </c>
      <c r="BH19" s="3173">
        <v>0</v>
      </c>
      <c r="BI19" s="3163">
        <f>SUM(X19)</f>
        <v>80000000</v>
      </c>
      <c r="BJ19" s="3163">
        <v>0</v>
      </c>
      <c r="BK19" s="3163">
        <v>0</v>
      </c>
      <c r="BL19" s="3163">
        <v>0</v>
      </c>
      <c r="BM19" s="2977" t="s">
        <v>2550</v>
      </c>
      <c r="BN19" s="3169">
        <v>43467</v>
      </c>
      <c r="BO19" s="3169">
        <v>43830</v>
      </c>
      <c r="BP19" s="3169">
        <v>43467</v>
      </c>
      <c r="BQ19" s="3169">
        <v>43830</v>
      </c>
      <c r="BR19" s="3154" t="s">
        <v>2551</v>
      </c>
    </row>
    <row r="20" spans="1:70" ht="84" customHeight="1" x14ac:dyDescent="0.2">
      <c r="A20" s="2393"/>
      <c r="B20" s="1915"/>
      <c r="C20" s="2411"/>
      <c r="D20" s="2393"/>
      <c r="E20" s="1915"/>
      <c r="F20" s="2411"/>
      <c r="G20" s="2393"/>
      <c r="H20" s="1915"/>
      <c r="I20" s="2411"/>
      <c r="J20" s="3081"/>
      <c r="K20" s="3079"/>
      <c r="L20" s="3079"/>
      <c r="M20" s="3081"/>
      <c r="N20" s="3081"/>
      <c r="O20" s="3081"/>
      <c r="P20" s="3081"/>
      <c r="Q20" s="3079"/>
      <c r="R20" s="3072"/>
      <c r="S20" s="3042"/>
      <c r="T20" s="3079"/>
      <c r="U20" s="2400" t="s">
        <v>2573</v>
      </c>
      <c r="V20" s="3079"/>
      <c r="W20" s="3042"/>
      <c r="X20" s="3177"/>
      <c r="Y20" s="3177"/>
      <c r="Z20" s="3157"/>
      <c r="AA20" s="3081"/>
      <c r="AB20" s="3172"/>
      <c r="AC20" s="3172"/>
      <c r="AD20" s="3172"/>
      <c r="AE20" s="3172"/>
      <c r="AF20" s="3172"/>
      <c r="AG20" s="3172"/>
      <c r="AH20" s="3172"/>
      <c r="AI20" s="3172"/>
      <c r="AJ20" s="3172"/>
      <c r="AK20" s="3172"/>
      <c r="AL20" s="3172"/>
      <c r="AM20" s="3172"/>
      <c r="AN20" s="3172"/>
      <c r="AO20" s="3172"/>
      <c r="AP20" s="3172"/>
      <c r="AQ20" s="3172"/>
      <c r="AR20" s="3172"/>
      <c r="AS20" s="3172"/>
      <c r="AT20" s="3172"/>
      <c r="AU20" s="3172"/>
      <c r="AV20" s="3172"/>
      <c r="AW20" s="3172"/>
      <c r="AX20" s="3172"/>
      <c r="AY20" s="3172"/>
      <c r="AZ20" s="3172"/>
      <c r="BA20" s="3172"/>
      <c r="BB20" s="3172"/>
      <c r="BC20" s="3172"/>
      <c r="BD20" s="3172"/>
      <c r="BE20" s="3172"/>
      <c r="BF20" s="3172"/>
      <c r="BG20" s="3172"/>
      <c r="BH20" s="3174"/>
      <c r="BI20" s="3172"/>
      <c r="BJ20" s="3172"/>
      <c r="BK20" s="3172"/>
      <c r="BL20" s="3172"/>
      <c r="BM20" s="2967"/>
      <c r="BN20" s="3170"/>
      <c r="BO20" s="3170"/>
      <c r="BP20" s="3170"/>
      <c r="BQ20" s="3170"/>
      <c r="BR20" s="3171"/>
    </row>
    <row r="21" spans="1:70" ht="273" customHeight="1" x14ac:dyDescent="0.2">
      <c r="A21" s="2393"/>
      <c r="B21" s="1915"/>
      <c r="C21" s="2411"/>
      <c r="D21" s="2393"/>
      <c r="E21" s="1915"/>
      <c r="F21" s="2411"/>
      <c r="G21" s="2393"/>
      <c r="H21" s="1915"/>
      <c r="I21" s="2411"/>
      <c r="J21" s="2384">
        <v>11</v>
      </c>
      <c r="K21" s="2400" t="s">
        <v>2574</v>
      </c>
      <c r="L21" s="2400" t="s">
        <v>2575</v>
      </c>
      <c r="M21" s="2384">
        <v>1</v>
      </c>
      <c r="N21" s="2384">
        <v>0</v>
      </c>
      <c r="O21" s="2384" t="s">
        <v>2576</v>
      </c>
      <c r="P21" s="2400" t="s">
        <v>2577</v>
      </c>
      <c r="Q21" s="2400" t="s">
        <v>2578</v>
      </c>
      <c r="R21" s="2408">
        <f>+(W21)/S21</f>
        <v>1</v>
      </c>
      <c r="S21" s="1760">
        <f>SUM(W21)</f>
        <v>230000000</v>
      </c>
      <c r="T21" s="2606" t="s">
        <v>2579</v>
      </c>
      <c r="U21" s="2400" t="s">
        <v>2580</v>
      </c>
      <c r="V21" s="2606" t="s">
        <v>2581</v>
      </c>
      <c r="W21" s="2406">
        <v>230000000</v>
      </c>
      <c r="X21" s="1831">
        <f>+'[1]EJECUCION HACIENDA'!H16</f>
        <v>230000000</v>
      </c>
      <c r="Y21" s="1831">
        <v>0</v>
      </c>
      <c r="Z21" s="2401">
        <v>27</v>
      </c>
      <c r="AA21" s="2400" t="s">
        <v>2552</v>
      </c>
      <c r="AB21" s="2426">
        <v>294321</v>
      </c>
      <c r="AC21" s="2426">
        <v>0</v>
      </c>
      <c r="AD21" s="2426">
        <v>283947</v>
      </c>
      <c r="AE21" s="2426">
        <v>0</v>
      </c>
      <c r="AF21" s="2426">
        <v>135754</v>
      </c>
      <c r="AG21" s="2426">
        <v>0</v>
      </c>
      <c r="AH21" s="2426">
        <v>44640</v>
      </c>
      <c r="AI21" s="2426">
        <v>0</v>
      </c>
      <c r="AJ21" s="2426">
        <v>308178</v>
      </c>
      <c r="AK21" s="2426">
        <v>0</v>
      </c>
      <c r="AL21" s="2426">
        <v>89696</v>
      </c>
      <c r="AM21" s="2426">
        <v>0</v>
      </c>
      <c r="AN21" s="2426">
        <v>2145</v>
      </c>
      <c r="AO21" s="2426">
        <v>0</v>
      </c>
      <c r="AP21" s="2426">
        <v>12718</v>
      </c>
      <c r="AQ21" s="2426">
        <v>0</v>
      </c>
      <c r="AR21" s="2426">
        <v>26</v>
      </c>
      <c r="AS21" s="2426">
        <v>0</v>
      </c>
      <c r="AT21" s="2426">
        <v>37</v>
      </c>
      <c r="AU21" s="2426">
        <v>0</v>
      </c>
      <c r="AV21" s="2426">
        <v>0</v>
      </c>
      <c r="AW21" s="2426">
        <v>0</v>
      </c>
      <c r="AX21" s="2426">
        <v>0</v>
      </c>
      <c r="AY21" s="2426">
        <v>0</v>
      </c>
      <c r="AZ21" s="2426">
        <v>54612</v>
      </c>
      <c r="BA21" s="2426">
        <v>0</v>
      </c>
      <c r="BB21" s="2426">
        <v>21944</v>
      </c>
      <c r="BC21" s="2426">
        <v>0</v>
      </c>
      <c r="BD21" s="2426">
        <v>1010</v>
      </c>
      <c r="BE21" s="2426">
        <v>0</v>
      </c>
      <c r="BF21" s="2426">
        <v>578268</v>
      </c>
      <c r="BG21" s="2458">
        <v>0</v>
      </c>
      <c r="BH21" s="2414">
        <v>0</v>
      </c>
      <c r="BI21" s="2535">
        <f>SUM(X21)</f>
        <v>230000000</v>
      </c>
      <c r="BJ21" s="2392">
        <v>0</v>
      </c>
      <c r="BK21" s="2392">
        <v>0</v>
      </c>
      <c r="BL21" s="2392">
        <v>0</v>
      </c>
      <c r="BM21" s="2392" t="s">
        <v>2550</v>
      </c>
      <c r="BN21" s="2427">
        <v>43467</v>
      </c>
      <c r="BO21" s="2427">
        <v>43830</v>
      </c>
      <c r="BP21" s="2427">
        <v>43467</v>
      </c>
      <c r="BQ21" s="2427">
        <v>43830</v>
      </c>
      <c r="BR21" s="2459" t="s">
        <v>2551</v>
      </c>
    </row>
    <row r="22" spans="1:70" ht="85.5" customHeight="1" x14ac:dyDescent="0.2">
      <c r="A22" s="2393"/>
      <c r="B22" s="1915"/>
      <c r="C22" s="2411"/>
      <c r="D22" s="2393"/>
      <c r="E22" s="1915"/>
      <c r="F22" s="2411"/>
      <c r="G22" s="2393"/>
      <c r="H22" s="1915"/>
      <c r="I22" s="2411"/>
      <c r="J22" s="3080">
        <v>12</v>
      </c>
      <c r="K22" s="3078" t="s">
        <v>2582</v>
      </c>
      <c r="L22" s="3078" t="s">
        <v>2583</v>
      </c>
      <c r="M22" s="3080">
        <v>3</v>
      </c>
      <c r="N22" s="3080">
        <v>0</v>
      </c>
      <c r="O22" s="3080" t="s">
        <v>2584</v>
      </c>
      <c r="P22" s="3080" t="s">
        <v>2585</v>
      </c>
      <c r="Q22" s="3078" t="s">
        <v>2586</v>
      </c>
      <c r="R22" s="3175">
        <f>SUM(W22:W23)/S22</f>
        <v>1</v>
      </c>
      <c r="S22" s="3040">
        <f>SUM(W22:W23)</f>
        <v>1190000000</v>
      </c>
      <c r="T22" s="3078" t="s">
        <v>2587</v>
      </c>
      <c r="U22" s="2400" t="s">
        <v>2588</v>
      </c>
      <c r="V22" s="2400" t="s">
        <v>2589</v>
      </c>
      <c r="W22" s="2406">
        <v>440000000</v>
      </c>
      <c r="X22" s="1831">
        <v>440000000</v>
      </c>
      <c r="Y22" s="1831">
        <v>0</v>
      </c>
      <c r="Z22" s="2401">
        <v>27</v>
      </c>
      <c r="AA22" s="78" t="s">
        <v>2552</v>
      </c>
      <c r="AB22" s="3163">
        <v>294321</v>
      </c>
      <c r="AC22" s="3163">
        <v>0</v>
      </c>
      <c r="AD22" s="3163">
        <v>283947</v>
      </c>
      <c r="AE22" s="3163">
        <v>0</v>
      </c>
      <c r="AF22" s="3163">
        <v>135754</v>
      </c>
      <c r="AG22" s="3163">
        <v>0</v>
      </c>
      <c r="AH22" s="3163">
        <v>44640</v>
      </c>
      <c r="AI22" s="3163">
        <v>0</v>
      </c>
      <c r="AJ22" s="3163">
        <v>308178</v>
      </c>
      <c r="AK22" s="3163">
        <v>0</v>
      </c>
      <c r="AL22" s="3163">
        <v>89696</v>
      </c>
      <c r="AM22" s="3163">
        <v>0</v>
      </c>
      <c r="AN22" s="3163">
        <v>2145</v>
      </c>
      <c r="AO22" s="3163">
        <v>0</v>
      </c>
      <c r="AP22" s="3163">
        <v>12718</v>
      </c>
      <c r="AQ22" s="3163">
        <v>0</v>
      </c>
      <c r="AR22" s="3163">
        <v>26</v>
      </c>
      <c r="AS22" s="3163">
        <v>0</v>
      </c>
      <c r="AT22" s="3163">
        <v>37</v>
      </c>
      <c r="AU22" s="3163">
        <v>0</v>
      </c>
      <c r="AV22" s="3163">
        <v>0</v>
      </c>
      <c r="AW22" s="3163">
        <v>0</v>
      </c>
      <c r="AX22" s="3163">
        <v>0</v>
      </c>
      <c r="AY22" s="3163">
        <v>0</v>
      </c>
      <c r="AZ22" s="3163">
        <v>54612</v>
      </c>
      <c r="BA22" s="3163">
        <v>0</v>
      </c>
      <c r="BB22" s="3163">
        <v>21944</v>
      </c>
      <c r="BC22" s="3163">
        <v>0</v>
      </c>
      <c r="BD22" s="3163">
        <v>1010</v>
      </c>
      <c r="BE22" s="3163">
        <v>0</v>
      </c>
      <c r="BF22" s="3163">
        <v>578268</v>
      </c>
      <c r="BG22" s="3163">
        <v>0</v>
      </c>
      <c r="BH22" s="3173">
        <v>0</v>
      </c>
      <c r="BI22" s="3163">
        <f>SUM(X22:X23)</f>
        <v>1190000000</v>
      </c>
      <c r="BJ22" s="3163">
        <v>0</v>
      </c>
      <c r="BK22" s="3163">
        <v>0</v>
      </c>
      <c r="BL22" s="3163">
        <v>0</v>
      </c>
      <c r="BM22" s="2977" t="s">
        <v>2550</v>
      </c>
      <c r="BN22" s="3169">
        <v>43467</v>
      </c>
      <c r="BO22" s="3169">
        <v>43830</v>
      </c>
      <c r="BP22" s="3169">
        <v>43467</v>
      </c>
      <c r="BQ22" s="3169">
        <v>43830</v>
      </c>
      <c r="BR22" s="3154" t="s">
        <v>2551</v>
      </c>
    </row>
    <row r="23" spans="1:70" ht="85.5" customHeight="1" x14ac:dyDescent="0.2">
      <c r="A23" s="2412"/>
      <c r="B23" s="2418"/>
      <c r="C23" s="2413"/>
      <c r="D23" s="2412"/>
      <c r="E23" s="2418"/>
      <c r="F23" s="2413"/>
      <c r="G23" s="2412"/>
      <c r="H23" s="2418"/>
      <c r="I23" s="2413"/>
      <c r="J23" s="3081"/>
      <c r="K23" s="3079"/>
      <c r="L23" s="3079"/>
      <c r="M23" s="3081"/>
      <c r="N23" s="3081"/>
      <c r="O23" s="3081"/>
      <c r="P23" s="3081"/>
      <c r="Q23" s="3079"/>
      <c r="R23" s="3176"/>
      <c r="S23" s="3042"/>
      <c r="T23" s="3079"/>
      <c r="U23" s="2400" t="s">
        <v>2590</v>
      </c>
      <c r="V23" s="2400" t="s">
        <v>2591</v>
      </c>
      <c r="W23" s="106">
        <v>750000000</v>
      </c>
      <c r="X23" s="1831">
        <v>750000000</v>
      </c>
      <c r="Y23" s="1831">
        <v>0</v>
      </c>
      <c r="Z23" s="2401">
        <v>27</v>
      </c>
      <c r="AA23" s="78" t="s">
        <v>2552</v>
      </c>
      <c r="AB23" s="3172"/>
      <c r="AC23" s="3172"/>
      <c r="AD23" s="3172"/>
      <c r="AE23" s="3172"/>
      <c r="AF23" s="3172"/>
      <c r="AG23" s="3172"/>
      <c r="AH23" s="3172"/>
      <c r="AI23" s="3172"/>
      <c r="AJ23" s="3172"/>
      <c r="AK23" s="3172"/>
      <c r="AL23" s="3172"/>
      <c r="AM23" s="3172"/>
      <c r="AN23" s="3172"/>
      <c r="AO23" s="3172"/>
      <c r="AP23" s="3172"/>
      <c r="AQ23" s="3172"/>
      <c r="AR23" s="3172"/>
      <c r="AS23" s="3172"/>
      <c r="AT23" s="3172"/>
      <c r="AU23" s="3172"/>
      <c r="AV23" s="3172"/>
      <c r="AW23" s="3172"/>
      <c r="AX23" s="3172"/>
      <c r="AY23" s="3172"/>
      <c r="AZ23" s="3172"/>
      <c r="BA23" s="3172"/>
      <c r="BB23" s="3172"/>
      <c r="BC23" s="3172"/>
      <c r="BD23" s="3172"/>
      <c r="BE23" s="3172"/>
      <c r="BF23" s="3172"/>
      <c r="BG23" s="3172"/>
      <c r="BH23" s="3174"/>
      <c r="BI23" s="3172"/>
      <c r="BJ23" s="3172"/>
      <c r="BK23" s="3172"/>
      <c r="BL23" s="3172"/>
      <c r="BM23" s="2967"/>
      <c r="BN23" s="3170"/>
      <c r="BO23" s="3170"/>
      <c r="BP23" s="3170"/>
      <c r="BQ23" s="3170"/>
      <c r="BR23" s="3171"/>
    </row>
    <row r="24" spans="1:70" ht="27" customHeight="1" x14ac:dyDescent="0.2">
      <c r="A24" s="2428" t="s">
        <v>2592</v>
      </c>
      <c r="B24" s="30" t="s">
        <v>2593</v>
      </c>
      <c r="C24" s="30"/>
      <c r="D24" s="30"/>
      <c r="E24" s="30"/>
      <c r="F24" s="2429"/>
      <c r="G24" s="2430"/>
      <c r="H24" s="2431"/>
      <c r="I24" s="2431"/>
      <c r="J24" s="1730"/>
      <c r="K24" s="1730"/>
      <c r="L24" s="1730"/>
      <c r="M24" s="1731"/>
      <c r="N24" s="1730"/>
      <c r="O24" s="1731"/>
      <c r="P24" s="1730"/>
      <c r="Q24" s="1730"/>
      <c r="R24" s="2124"/>
      <c r="S24" s="2432"/>
      <c r="T24" s="2431"/>
      <c r="U24" s="1730"/>
      <c r="V24" s="2433"/>
      <c r="W24" s="2434"/>
      <c r="X24" s="2434"/>
      <c r="Y24" s="2435"/>
      <c r="Z24" s="1728"/>
      <c r="AA24" s="1728"/>
      <c r="AB24" s="1728"/>
      <c r="AC24" s="1728"/>
      <c r="AD24" s="1728"/>
      <c r="AE24" s="1728"/>
      <c r="AF24" s="1728"/>
      <c r="AG24" s="1728"/>
      <c r="AH24" s="1728"/>
      <c r="AI24" s="1728"/>
      <c r="AJ24" s="1728"/>
      <c r="AK24" s="1728"/>
      <c r="AL24" s="2436"/>
      <c r="AM24" s="2436"/>
      <c r="AN24" s="2437"/>
      <c r="AO24" s="2438"/>
      <c r="AP24" s="2438"/>
      <c r="AQ24" s="2439"/>
      <c r="AR24" s="2536"/>
      <c r="AS24" s="2537"/>
      <c r="AT24" s="2537"/>
      <c r="AU24" s="2537"/>
      <c r="AV24" s="2537"/>
      <c r="AW24" s="2537"/>
      <c r="AX24" s="2537"/>
      <c r="AY24" s="2537"/>
      <c r="AZ24" s="2537"/>
      <c r="BA24" s="2537"/>
      <c r="BB24" s="2537"/>
      <c r="BC24" s="2537"/>
      <c r="BD24" s="2537"/>
      <c r="BE24" s="2537"/>
      <c r="BF24" s="2537"/>
      <c r="BG24" s="2537"/>
      <c r="BH24" s="2537"/>
      <c r="BI24" s="2537"/>
      <c r="BJ24" s="2537"/>
      <c r="BK24" s="2537"/>
      <c r="BL24" s="2537"/>
      <c r="BM24" s="2537"/>
      <c r="BN24" s="2537"/>
      <c r="BO24" s="2537"/>
      <c r="BP24" s="2537"/>
      <c r="BQ24" s="2537"/>
      <c r="BR24" s="2538"/>
    </row>
    <row r="25" spans="1:70" ht="27" customHeight="1" x14ac:dyDescent="0.2">
      <c r="A25" s="3080" t="s">
        <v>398</v>
      </c>
      <c r="B25" s="3086"/>
      <c r="C25" s="3090"/>
      <c r="D25" s="92" t="s">
        <v>2594</v>
      </c>
      <c r="E25" s="2387" t="s">
        <v>2595</v>
      </c>
      <c r="F25" s="2387"/>
      <c r="G25" s="2387"/>
      <c r="H25" s="2387"/>
      <c r="I25" s="2387"/>
      <c r="J25" s="2387"/>
      <c r="K25" s="2157"/>
      <c r="L25" s="2157"/>
      <c r="M25" s="679"/>
      <c r="N25" s="678"/>
      <c r="O25" s="679"/>
      <c r="P25" s="678"/>
      <c r="Q25" s="678"/>
      <c r="R25" s="681"/>
      <c r="S25" s="2440"/>
      <c r="T25" s="678"/>
      <c r="U25" s="678"/>
      <c r="V25" s="2441"/>
      <c r="W25" s="2442"/>
      <c r="X25" s="2442"/>
      <c r="Y25" s="2443"/>
      <c r="Z25" s="685"/>
      <c r="AA25" s="685"/>
      <c r="AB25" s="685"/>
      <c r="AC25" s="685"/>
      <c r="AD25" s="685"/>
      <c r="AE25" s="685"/>
      <c r="AF25" s="685"/>
      <c r="AG25" s="685"/>
      <c r="AH25" s="685"/>
      <c r="AI25" s="685"/>
      <c r="AJ25" s="685"/>
      <c r="AK25" s="685"/>
      <c r="AL25" s="686"/>
      <c r="AM25" s="686"/>
      <c r="AN25" s="2444"/>
      <c r="AO25" s="2445"/>
      <c r="AP25" s="2445"/>
      <c r="AQ25" s="2446"/>
      <c r="AR25" s="2539"/>
      <c r="AS25" s="2540"/>
      <c r="AT25" s="2540"/>
      <c r="AU25" s="2540"/>
      <c r="AV25" s="2540"/>
      <c r="AW25" s="2540"/>
      <c r="AX25" s="2540"/>
      <c r="AY25" s="2540"/>
      <c r="AZ25" s="2540"/>
      <c r="BA25" s="2540"/>
      <c r="BB25" s="2540"/>
      <c r="BC25" s="2540"/>
      <c r="BD25" s="2540"/>
      <c r="BE25" s="2540"/>
      <c r="BF25" s="2540"/>
      <c r="BG25" s="2540"/>
      <c r="BH25" s="2540"/>
      <c r="BI25" s="2540"/>
      <c r="BJ25" s="2540"/>
      <c r="BK25" s="2540"/>
      <c r="BL25" s="2540"/>
      <c r="BM25" s="2540"/>
      <c r="BN25" s="2540"/>
      <c r="BO25" s="2540"/>
      <c r="BP25" s="2540"/>
      <c r="BQ25" s="2540"/>
      <c r="BR25" s="2541"/>
    </row>
    <row r="26" spans="1:70" ht="27" customHeight="1" thickBot="1" x14ac:dyDescent="0.25">
      <c r="A26" s="3141"/>
      <c r="B26" s="3087"/>
      <c r="C26" s="3092"/>
      <c r="D26" s="3086" t="s">
        <v>398</v>
      </c>
      <c r="E26" s="3089"/>
      <c r="F26" s="3090"/>
      <c r="G26" s="2447" t="s">
        <v>2596</v>
      </c>
      <c r="H26" s="692" t="s">
        <v>2597</v>
      </c>
      <c r="I26" s="692"/>
      <c r="J26" s="692"/>
      <c r="K26" s="693"/>
      <c r="L26" s="693"/>
      <c r="M26" s="694"/>
      <c r="N26" s="693"/>
      <c r="O26" s="784"/>
      <c r="P26" s="693"/>
      <c r="Q26" s="693"/>
      <c r="R26" s="756"/>
      <c r="S26" s="2448"/>
      <c r="T26" s="693"/>
      <c r="U26" s="1746"/>
      <c r="V26" s="2449"/>
      <c r="W26" s="2450"/>
      <c r="X26" s="2450"/>
      <c r="Y26" s="2451"/>
      <c r="Z26" s="692"/>
      <c r="AA26" s="692"/>
      <c r="AB26" s="692"/>
      <c r="AC26" s="692"/>
      <c r="AD26" s="692"/>
      <c r="AE26" s="692"/>
      <c r="AF26" s="692"/>
      <c r="AG26" s="692"/>
      <c r="AH26" s="692"/>
      <c r="AI26" s="692"/>
      <c r="AJ26" s="692"/>
      <c r="AK26" s="692"/>
      <c r="AL26" s="700"/>
      <c r="AM26" s="700"/>
      <c r="AN26" s="2452"/>
      <c r="AO26" s="2168"/>
      <c r="AP26" s="2168"/>
      <c r="AQ26" s="2453"/>
      <c r="AR26" s="2542"/>
      <c r="AS26" s="2543"/>
      <c r="AT26" s="2543"/>
      <c r="AU26" s="2543"/>
      <c r="AV26" s="2543"/>
      <c r="AW26" s="2543"/>
      <c r="AX26" s="2543"/>
      <c r="AY26" s="2543"/>
      <c r="AZ26" s="2543"/>
      <c r="BA26" s="2543"/>
      <c r="BB26" s="2543"/>
      <c r="BC26" s="2543"/>
      <c r="BD26" s="2543"/>
      <c r="BE26" s="2543"/>
      <c r="BF26" s="2543"/>
      <c r="BG26" s="2543"/>
      <c r="BH26" s="2543"/>
      <c r="BI26" s="2543"/>
      <c r="BJ26" s="2543"/>
      <c r="BK26" s="2543"/>
      <c r="BL26" s="2543"/>
      <c r="BM26" s="2543"/>
      <c r="BN26" s="2543"/>
      <c r="BO26" s="2543"/>
      <c r="BP26" s="2543"/>
      <c r="BQ26" s="2543"/>
      <c r="BR26" s="2544"/>
    </row>
    <row r="27" spans="1:70" ht="45" customHeight="1" x14ac:dyDescent="0.2">
      <c r="A27" s="3141"/>
      <c r="B27" s="3087"/>
      <c r="C27" s="3092"/>
      <c r="D27" s="3087"/>
      <c r="E27" s="3091"/>
      <c r="F27" s="3092"/>
      <c r="G27" s="2394" t="s">
        <v>398</v>
      </c>
      <c r="H27" s="2395"/>
      <c r="I27" s="2396"/>
      <c r="J27" s="3155">
        <v>54</v>
      </c>
      <c r="K27" s="3078" t="s">
        <v>1780</v>
      </c>
      <c r="L27" s="3078" t="s">
        <v>1781</v>
      </c>
      <c r="M27" s="3080">
        <v>130</v>
      </c>
      <c r="N27" s="3086">
        <v>105.8</v>
      </c>
      <c r="O27" s="2380"/>
      <c r="P27" s="3080" t="s">
        <v>2598</v>
      </c>
      <c r="Q27" s="3078" t="s">
        <v>2599</v>
      </c>
      <c r="R27" s="3071">
        <f>SUM(W27:W31)/S27</f>
        <v>0.76394159316709997</v>
      </c>
      <c r="S27" s="3040">
        <f>SUM(W27:W36)</f>
        <v>5687551670</v>
      </c>
      <c r="T27" s="3078" t="s">
        <v>2600</v>
      </c>
      <c r="U27" s="3144" t="s">
        <v>2601</v>
      </c>
      <c r="V27" s="2454" t="s">
        <v>2602</v>
      </c>
      <c r="W27" s="2455">
        <v>266273502</v>
      </c>
      <c r="X27" s="2455">
        <v>185000000</v>
      </c>
      <c r="Y27" s="2455">
        <v>27018654</v>
      </c>
      <c r="Z27" s="2456">
        <v>23</v>
      </c>
      <c r="AA27" s="2457" t="s">
        <v>2603</v>
      </c>
      <c r="AB27" s="3162">
        <v>294321</v>
      </c>
      <c r="AC27" s="3162">
        <v>0</v>
      </c>
      <c r="AD27" s="3162">
        <v>283947</v>
      </c>
      <c r="AE27" s="3162">
        <v>0</v>
      </c>
      <c r="AF27" s="3162">
        <v>135754</v>
      </c>
      <c r="AG27" s="3162">
        <v>0</v>
      </c>
      <c r="AH27" s="3162">
        <v>44640</v>
      </c>
      <c r="AI27" s="3162">
        <v>0</v>
      </c>
      <c r="AJ27" s="3162">
        <v>308178</v>
      </c>
      <c r="AK27" s="3162">
        <v>0</v>
      </c>
      <c r="AL27" s="3162"/>
      <c r="AM27" s="3162">
        <v>0</v>
      </c>
      <c r="AN27" s="3162">
        <v>2145</v>
      </c>
      <c r="AO27" s="3162">
        <v>0</v>
      </c>
      <c r="AP27" s="3162">
        <v>12718</v>
      </c>
      <c r="AQ27" s="3162">
        <v>0</v>
      </c>
      <c r="AR27" s="3162">
        <v>26</v>
      </c>
      <c r="AS27" s="3162">
        <v>0</v>
      </c>
      <c r="AT27" s="3162">
        <v>0</v>
      </c>
      <c r="AU27" s="3162">
        <v>0</v>
      </c>
      <c r="AV27" s="3162">
        <v>0</v>
      </c>
      <c r="AW27" s="3162">
        <v>0</v>
      </c>
      <c r="AX27" s="3162">
        <v>0</v>
      </c>
      <c r="AY27" s="3162">
        <v>0</v>
      </c>
      <c r="AZ27" s="3162">
        <v>54612</v>
      </c>
      <c r="BA27" s="3162">
        <v>0</v>
      </c>
      <c r="BB27" s="3162">
        <v>21944</v>
      </c>
      <c r="BC27" s="3162">
        <v>0</v>
      </c>
      <c r="BD27" s="3162">
        <v>1010</v>
      </c>
      <c r="BE27" s="3162">
        <v>0</v>
      </c>
      <c r="BF27" s="3162">
        <v>578268</v>
      </c>
      <c r="BG27" s="3162">
        <v>0</v>
      </c>
      <c r="BH27" s="3164">
        <v>81</v>
      </c>
      <c r="BI27" s="3166">
        <v>1082600218</v>
      </c>
      <c r="BJ27" s="3166">
        <v>366302533.66000003</v>
      </c>
      <c r="BK27" s="3159">
        <f>BI27/S27</f>
        <v>0.19034556181886961</v>
      </c>
      <c r="BL27" s="3161" t="s">
        <v>2604</v>
      </c>
      <c r="BM27" s="3161" t="s">
        <v>2605</v>
      </c>
      <c r="BN27" s="3151">
        <v>43467</v>
      </c>
      <c r="BO27" s="3151">
        <v>43466</v>
      </c>
      <c r="BP27" s="3151" t="s">
        <v>2606</v>
      </c>
      <c r="BQ27" s="3151" t="s">
        <v>2606</v>
      </c>
      <c r="BR27" s="3153" t="s">
        <v>2551</v>
      </c>
    </row>
    <row r="28" spans="1:70" ht="45" customHeight="1" x14ac:dyDescent="0.2">
      <c r="A28" s="3141"/>
      <c r="B28" s="3087"/>
      <c r="C28" s="3092"/>
      <c r="D28" s="3087"/>
      <c r="E28" s="3091"/>
      <c r="F28" s="3092"/>
      <c r="G28" s="2397"/>
      <c r="H28" s="2391"/>
      <c r="I28" s="2398"/>
      <c r="J28" s="3156"/>
      <c r="K28" s="3142"/>
      <c r="L28" s="3142"/>
      <c r="M28" s="3141"/>
      <c r="N28" s="3087"/>
      <c r="O28" s="2381"/>
      <c r="P28" s="3141"/>
      <c r="Q28" s="3142"/>
      <c r="R28" s="3072"/>
      <c r="S28" s="3041"/>
      <c r="T28" s="3142"/>
      <c r="U28" s="3145"/>
      <c r="V28" s="2460" t="s">
        <v>2607</v>
      </c>
      <c r="W28" s="2406">
        <v>193300000</v>
      </c>
      <c r="X28" s="2406">
        <v>103373389</v>
      </c>
      <c r="Y28" s="2406">
        <v>68595780</v>
      </c>
      <c r="Z28" s="2461">
        <v>23</v>
      </c>
      <c r="AA28" s="2462" t="s">
        <v>2603</v>
      </c>
      <c r="AB28" s="3162"/>
      <c r="AC28" s="3162"/>
      <c r="AD28" s="3162"/>
      <c r="AE28" s="3162"/>
      <c r="AF28" s="3162"/>
      <c r="AG28" s="3162"/>
      <c r="AH28" s="3162"/>
      <c r="AI28" s="3162"/>
      <c r="AJ28" s="3162"/>
      <c r="AK28" s="3162"/>
      <c r="AL28" s="3162"/>
      <c r="AM28" s="3162"/>
      <c r="AN28" s="3162"/>
      <c r="AO28" s="3162"/>
      <c r="AP28" s="3162"/>
      <c r="AQ28" s="3162"/>
      <c r="AR28" s="3162"/>
      <c r="AS28" s="3162"/>
      <c r="AT28" s="3162"/>
      <c r="AU28" s="3162"/>
      <c r="AV28" s="3162"/>
      <c r="AW28" s="3162"/>
      <c r="AX28" s="3162"/>
      <c r="AY28" s="3162"/>
      <c r="AZ28" s="3162"/>
      <c r="BA28" s="3162"/>
      <c r="BB28" s="3162"/>
      <c r="BC28" s="3162"/>
      <c r="BD28" s="3162"/>
      <c r="BE28" s="3162"/>
      <c r="BF28" s="3162"/>
      <c r="BG28" s="3162"/>
      <c r="BH28" s="3164"/>
      <c r="BI28" s="3166"/>
      <c r="BJ28" s="3166"/>
      <c r="BK28" s="3159"/>
      <c r="BL28" s="3161"/>
      <c r="BM28" s="3161"/>
      <c r="BN28" s="3151"/>
      <c r="BO28" s="3151"/>
      <c r="BP28" s="3151"/>
      <c r="BQ28" s="3151"/>
      <c r="BR28" s="3153"/>
    </row>
    <row r="29" spans="1:70" ht="32.25" customHeight="1" x14ac:dyDescent="0.2">
      <c r="A29" s="3141"/>
      <c r="B29" s="3087"/>
      <c r="C29" s="3092"/>
      <c r="D29" s="3087"/>
      <c r="E29" s="3091"/>
      <c r="F29" s="3092"/>
      <c r="G29" s="2397"/>
      <c r="H29" s="2391"/>
      <c r="I29" s="2398"/>
      <c r="J29" s="3156"/>
      <c r="K29" s="3142"/>
      <c r="L29" s="3142"/>
      <c r="M29" s="3141"/>
      <c r="N29" s="3087"/>
      <c r="O29" s="2381" t="s">
        <v>2608</v>
      </c>
      <c r="P29" s="3141"/>
      <c r="Q29" s="3142"/>
      <c r="R29" s="3072"/>
      <c r="S29" s="3041"/>
      <c r="T29" s="3142"/>
      <c r="U29" s="3145"/>
      <c r="V29" s="3112" t="s">
        <v>2609</v>
      </c>
      <c r="W29" s="2406">
        <v>2000000000</v>
      </c>
      <c r="X29" s="2406">
        <v>339707000</v>
      </c>
      <c r="Y29" s="2406">
        <v>0</v>
      </c>
      <c r="Z29" s="2461">
        <v>46</v>
      </c>
      <c r="AA29" s="2462" t="s">
        <v>2610</v>
      </c>
      <c r="AB29" s="3162"/>
      <c r="AC29" s="3162"/>
      <c r="AD29" s="3162"/>
      <c r="AE29" s="3162"/>
      <c r="AF29" s="3162"/>
      <c r="AG29" s="3162"/>
      <c r="AH29" s="3162"/>
      <c r="AI29" s="3162"/>
      <c r="AJ29" s="3162"/>
      <c r="AK29" s="3162"/>
      <c r="AL29" s="3162"/>
      <c r="AM29" s="3162"/>
      <c r="AN29" s="3162"/>
      <c r="AO29" s="3162"/>
      <c r="AP29" s="3162"/>
      <c r="AQ29" s="3162"/>
      <c r="AR29" s="3162"/>
      <c r="AS29" s="3162"/>
      <c r="AT29" s="3162"/>
      <c r="AU29" s="3162"/>
      <c r="AV29" s="3162"/>
      <c r="AW29" s="3162"/>
      <c r="AX29" s="3162"/>
      <c r="AY29" s="3162"/>
      <c r="AZ29" s="3162"/>
      <c r="BA29" s="3162"/>
      <c r="BB29" s="3162"/>
      <c r="BC29" s="3162"/>
      <c r="BD29" s="3162"/>
      <c r="BE29" s="3162"/>
      <c r="BF29" s="3162"/>
      <c r="BG29" s="3162"/>
      <c r="BH29" s="3164"/>
      <c r="BI29" s="3166"/>
      <c r="BJ29" s="3166"/>
      <c r="BK29" s="3159"/>
      <c r="BL29" s="3161"/>
      <c r="BM29" s="3161"/>
      <c r="BN29" s="3151"/>
      <c r="BO29" s="3151"/>
      <c r="BP29" s="3151"/>
      <c r="BQ29" s="3151"/>
      <c r="BR29" s="3153"/>
    </row>
    <row r="30" spans="1:70" ht="48.75" customHeight="1" x14ac:dyDescent="0.2">
      <c r="A30" s="3141"/>
      <c r="B30" s="3087"/>
      <c r="C30" s="3092"/>
      <c r="D30" s="3087"/>
      <c r="E30" s="3091"/>
      <c r="F30" s="3092"/>
      <c r="G30" s="2397"/>
      <c r="H30" s="2391"/>
      <c r="I30" s="2398"/>
      <c r="J30" s="3156"/>
      <c r="K30" s="3142"/>
      <c r="L30" s="3142"/>
      <c r="M30" s="3141"/>
      <c r="N30" s="3087"/>
      <c r="O30" s="2381" t="s">
        <v>2611</v>
      </c>
      <c r="P30" s="3141"/>
      <c r="Q30" s="3142"/>
      <c r="R30" s="3072"/>
      <c r="S30" s="3041"/>
      <c r="T30" s="3142"/>
      <c r="U30" s="3145"/>
      <c r="V30" s="3113"/>
      <c r="W30" s="2406">
        <v>1565383782</v>
      </c>
      <c r="X30" s="2406">
        <v>0</v>
      </c>
      <c r="Y30" s="2406">
        <v>0</v>
      </c>
      <c r="Z30" s="2461">
        <v>157</v>
      </c>
      <c r="AA30" s="2462" t="s">
        <v>2612</v>
      </c>
      <c r="AB30" s="3162"/>
      <c r="AC30" s="3162"/>
      <c r="AD30" s="3162"/>
      <c r="AE30" s="3162"/>
      <c r="AF30" s="3162"/>
      <c r="AG30" s="3162"/>
      <c r="AH30" s="3162"/>
      <c r="AI30" s="3162"/>
      <c r="AJ30" s="3162"/>
      <c r="AK30" s="3162"/>
      <c r="AL30" s="3162"/>
      <c r="AM30" s="3162"/>
      <c r="AN30" s="3162"/>
      <c r="AO30" s="3162"/>
      <c r="AP30" s="3162"/>
      <c r="AQ30" s="3162"/>
      <c r="AR30" s="3162"/>
      <c r="AS30" s="3162"/>
      <c r="AT30" s="3162"/>
      <c r="AU30" s="3162"/>
      <c r="AV30" s="3162"/>
      <c r="AW30" s="3162"/>
      <c r="AX30" s="3162"/>
      <c r="AY30" s="3162"/>
      <c r="AZ30" s="3162"/>
      <c r="BA30" s="3162"/>
      <c r="BB30" s="3162"/>
      <c r="BC30" s="3162"/>
      <c r="BD30" s="3162"/>
      <c r="BE30" s="3162"/>
      <c r="BF30" s="3162"/>
      <c r="BG30" s="3162"/>
      <c r="BH30" s="3164"/>
      <c r="BI30" s="3166"/>
      <c r="BJ30" s="3166"/>
      <c r="BK30" s="3159"/>
      <c r="BL30" s="3161"/>
      <c r="BM30" s="3161"/>
      <c r="BN30" s="3151"/>
      <c r="BO30" s="3151"/>
      <c r="BP30" s="3151"/>
      <c r="BQ30" s="3151"/>
      <c r="BR30" s="3153"/>
    </row>
    <row r="31" spans="1:70" ht="56.25" customHeight="1" thickBot="1" x14ac:dyDescent="0.25">
      <c r="A31" s="3141"/>
      <c r="B31" s="3087"/>
      <c r="C31" s="3092"/>
      <c r="D31" s="3087"/>
      <c r="E31" s="3091"/>
      <c r="F31" s="3092"/>
      <c r="G31" s="2397"/>
      <c r="H31" s="2391"/>
      <c r="I31" s="2398"/>
      <c r="J31" s="3157"/>
      <c r="K31" s="3079"/>
      <c r="L31" s="3079"/>
      <c r="M31" s="3081"/>
      <c r="N31" s="3088"/>
      <c r="O31" s="2382" t="s">
        <v>2613</v>
      </c>
      <c r="P31" s="3141"/>
      <c r="Q31" s="3142"/>
      <c r="R31" s="3158"/>
      <c r="S31" s="3041"/>
      <c r="T31" s="3142"/>
      <c r="U31" s="3146"/>
      <c r="V31" s="2463" t="s">
        <v>2614</v>
      </c>
      <c r="W31" s="2390">
        <v>320000000</v>
      </c>
      <c r="X31" s="2390">
        <v>0</v>
      </c>
      <c r="Y31" s="2390">
        <v>0</v>
      </c>
      <c r="Z31" s="2464">
        <v>46</v>
      </c>
      <c r="AA31" s="2465" t="s">
        <v>2610</v>
      </c>
      <c r="AB31" s="3162"/>
      <c r="AC31" s="3162"/>
      <c r="AD31" s="3162"/>
      <c r="AE31" s="3162"/>
      <c r="AF31" s="3162"/>
      <c r="AG31" s="3162"/>
      <c r="AH31" s="3162"/>
      <c r="AI31" s="3162"/>
      <c r="AJ31" s="3162"/>
      <c r="AK31" s="3162"/>
      <c r="AL31" s="3162"/>
      <c r="AM31" s="3162"/>
      <c r="AN31" s="3162"/>
      <c r="AO31" s="3162"/>
      <c r="AP31" s="3162"/>
      <c r="AQ31" s="3162"/>
      <c r="AR31" s="3162"/>
      <c r="AS31" s="3162"/>
      <c r="AT31" s="3162"/>
      <c r="AU31" s="3162"/>
      <c r="AV31" s="3162"/>
      <c r="AW31" s="3162"/>
      <c r="AX31" s="3162"/>
      <c r="AY31" s="3162"/>
      <c r="AZ31" s="3162"/>
      <c r="BA31" s="3162"/>
      <c r="BB31" s="3162"/>
      <c r="BC31" s="3162"/>
      <c r="BD31" s="3162"/>
      <c r="BE31" s="3162"/>
      <c r="BF31" s="3162"/>
      <c r="BG31" s="3162"/>
      <c r="BH31" s="3164"/>
      <c r="BI31" s="3166"/>
      <c r="BJ31" s="3166"/>
      <c r="BK31" s="3159"/>
      <c r="BL31" s="3161"/>
      <c r="BM31" s="3161"/>
      <c r="BN31" s="3151"/>
      <c r="BO31" s="3151"/>
      <c r="BP31" s="3151"/>
      <c r="BQ31" s="3151"/>
      <c r="BR31" s="3153"/>
    </row>
    <row r="32" spans="1:70" ht="45" customHeight="1" x14ac:dyDescent="0.2">
      <c r="A32" s="3141"/>
      <c r="B32" s="3087"/>
      <c r="C32" s="3092"/>
      <c r="D32" s="3087"/>
      <c r="E32" s="3091"/>
      <c r="F32" s="3092"/>
      <c r="G32" s="2397"/>
      <c r="H32" s="2391"/>
      <c r="I32" s="2398"/>
      <c r="J32" s="3155">
        <v>55</v>
      </c>
      <c r="K32" s="3078" t="s">
        <v>2615</v>
      </c>
      <c r="L32" s="3078" t="s">
        <v>2616</v>
      </c>
      <c r="M32" s="3080">
        <v>12</v>
      </c>
      <c r="N32" s="3080">
        <v>9</v>
      </c>
      <c r="O32" s="2466"/>
      <c r="P32" s="3141"/>
      <c r="Q32" s="3142"/>
      <c r="R32" s="3071">
        <f>SUM(W32:W36)/S27</f>
        <v>0.23605840683290003</v>
      </c>
      <c r="S32" s="3041"/>
      <c r="T32" s="3142"/>
      <c r="U32" s="3144" t="s">
        <v>2617</v>
      </c>
      <c r="V32" s="3168" t="s">
        <v>2618</v>
      </c>
      <c r="W32" s="2455">
        <v>51500000</v>
      </c>
      <c r="X32" s="2455">
        <v>51500000</v>
      </c>
      <c r="Y32" s="2455">
        <v>0</v>
      </c>
      <c r="Z32" s="2456">
        <v>23</v>
      </c>
      <c r="AA32" s="2457" t="s">
        <v>2619</v>
      </c>
      <c r="AB32" s="3162"/>
      <c r="AC32" s="3162"/>
      <c r="AD32" s="3162"/>
      <c r="AE32" s="3162"/>
      <c r="AF32" s="3162"/>
      <c r="AG32" s="3162"/>
      <c r="AH32" s="3162"/>
      <c r="AI32" s="3162"/>
      <c r="AJ32" s="3162"/>
      <c r="AK32" s="3162"/>
      <c r="AL32" s="3162"/>
      <c r="AM32" s="3162"/>
      <c r="AN32" s="3162"/>
      <c r="AO32" s="3162"/>
      <c r="AP32" s="3162"/>
      <c r="AQ32" s="3162"/>
      <c r="AR32" s="3162"/>
      <c r="AS32" s="3162"/>
      <c r="AT32" s="3162"/>
      <c r="AU32" s="3162"/>
      <c r="AV32" s="3162"/>
      <c r="AW32" s="3162"/>
      <c r="AX32" s="3162"/>
      <c r="AY32" s="3162"/>
      <c r="AZ32" s="3162"/>
      <c r="BA32" s="3162"/>
      <c r="BB32" s="3162"/>
      <c r="BC32" s="3162"/>
      <c r="BD32" s="3162"/>
      <c r="BE32" s="3162"/>
      <c r="BF32" s="3162"/>
      <c r="BG32" s="3162"/>
      <c r="BH32" s="3164"/>
      <c r="BI32" s="3166"/>
      <c r="BJ32" s="3166"/>
      <c r="BK32" s="3159"/>
      <c r="BL32" s="3161"/>
      <c r="BM32" s="3161"/>
      <c r="BN32" s="3151"/>
      <c r="BO32" s="3151"/>
      <c r="BP32" s="3151"/>
      <c r="BQ32" s="3151"/>
      <c r="BR32" s="3153"/>
    </row>
    <row r="33" spans="1:70" ht="45" customHeight="1" x14ac:dyDescent="0.2">
      <c r="A33" s="3141"/>
      <c r="B33" s="3087"/>
      <c r="C33" s="3092"/>
      <c r="D33" s="3087"/>
      <c r="E33" s="3091"/>
      <c r="F33" s="3092"/>
      <c r="G33" s="2397"/>
      <c r="H33" s="2391"/>
      <c r="I33" s="2398"/>
      <c r="J33" s="3156"/>
      <c r="K33" s="3142"/>
      <c r="L33" s="3142"/>
      <c r="M33" s="3141"/>
      <c r="N33" s="3141"/>
      <c r="O33" s="2381" t="s">
        <v>2611</v>
      </c>
      <c r="P33" s="3141"/>
      <c r="Q33" s="3142"/>
      <c r="R33" s="3072"/>
      <c r="S33" s="3041"/>
      <c r="T33" s="3142"/>
      <c r="U33" s="3145"/>
      <c r="V33" s="3113"/>
      <c r="W33" s="2406">
        <v>100000000</v>
      </c>
      <c r="X33" s="2406"/>
      <c r="Y33" s="2406"/>
      <c r="Z33" s="2461">
        <v>46</v>
      </c>
      <c r="AA33" s="2462" t="s">
        <v>2620</v>
      </c>
      <c r="AB33" s="3162"/>
      <c r="AC33" s="3162"/>
      <c r="AD33" s="3162"/>
      <c r="AE33" s="3162"/>
      <c r="AF33" s="3162"/>
      <c r="AG33" s="3162"/>
      <c r="AH33" s="3162"/>
      <c r="AI33" s="3162"/>
      <c r="AJ33" s="3162"/>
      <c r="AK33" s="3162"/>
      <c r="AL33" s="3162"/>
      <c r="AM33" s="3162"/>
      <c r="AN33" s="3162"/>
      <c r="AO33" s="3162"/>
      <c r="AP33" s="3162"/>
      <c r="AQ33" s="3162"/>
      <c r="AR33" s="3162"/>
      <c r="AS33" s="3162"/>
      <c r="AT33" s="3162"/>
      <c r="AU33" s="3162"/>
      <c r="AV33" s="3162"/>
      <c r="AW33" s="3162"/>
      <c r="AX33" s="3162"/>
      <c r="AY33" s="3162"/>
      <c r="AZ33" s="3162"/>
      <c r="BA33" s="3162"/>
      <c r="BB33" s="3162"/>
      <c r="BC33" s="3162"/>
      <c r="BD33" s="3162"/>
      <c r="BE33" s="3162"/>
      <c r="BF33" s="3162"/>
      <c r="BG33" s="3162"/>
      <c r="BH33" s="3164"/>
      <c r="BI33" s="3166"/>
      <c r="BJ33" s="3166"/>
      <c r="BK33" s="3159"/>
      <c r="BL33" s="3161"/>
      <c r="BM33" s="3161"/>
      <c r="BN33" s="3151"/>
      <c r="BO33" s="3151"/>
      <c r="BP33" s="3151"/>
      <c r="BQ33" s="3151"/>
      <c r="BR33" s="3153"/>
    </row>
    <row r="34" spans="1:70" ht="45" customHeight="1" x14ac:dyDescent="0.2">
      <c r="A34" s="3141"/>
      <c r="B34" s="3087"/>
      <c r="C34" s="3092"/>
      <c r="D34" s="3087"/>
      <c r="E34" s="3091"/>
      <c r="F34" s="3092"/>
      <c r="G34" s="2397"/>
      <c r="H34" s="2391"/>
      <c r="I34" s="2398"/>
      <c r="J34" s="3156"/>
      <c r="K34" s="3142"/>
      <c r="L34" s="3142"/>
      <c r="M34" s="3141"/>
      <c r="N34" s="3141"/>
      <c r="O34" s="2416" t="s">
        <v>2621</v>
      </c>
      <c r="P34" s="3141"/>
      <c r="Q34" s="3142"/>
      <c r="R34" s="3072"/>
      <c r="S34" s="3041"/>
      <c r="T34" s="3142"/>
      <c r="U34" s="3145"/>
      <c r="V34" s="3112" t="s">
        <v>2622</v>
      </c>
      <c r="W34" s="2406">
        <v>448500000</v>
      </c>
      <c r="X34" s="2406">
        <v>372967296</v>
      </c>
      <c r="Y34" s="2406">
        <v>265090099.66</v>
      </c>
      <c r="Z34" s="2461">
        <v>23</v>
      </c>
      <c r="AA34" s="2462" t="s">
        <v>2619</v>
      </c>
      <c r="AB34" s="3162"/>
      <c r="AC34" s="3162"/>
      <c r="AD34" s="3162"/>
      <c r="AE34" s="3162"/>
      <c r="AF34" s="3162"/>
      <c r="AG34" s="3162"/>
      <c r="AH34" s="3162"/>
      <c r="AI34" s="3162"/>
      <c r="AJ34" s="3162"/>
      <c r="AK34" s="3162"/>
      <c r="AL34" s="3162"/>
      <c r="AM34" s="3162"/>
      <c r="AN34" s="3162"/>
      <c r="AO34" s="3162"/>
      <c r="AP34" s="3162"/>
      <c r="AQ34" s="3162"/>
      <c r="AR34" s="3162"/>
      <c r="AS34" s="3162"/>
      <c r="AT34" s="3162"/>
      <c r="AU34" s="3162"/>
      <c r="AV34" s="3162"/>
      <c r="AW34" s="3162"/>
      <c r="AX34" s="3162"/>
      <c r="AY34" s="3162"/>
      <c r="AZ34" s="3162"/>
      <c r="BA34" s="3162"/>
      <c r="BB34" s="3162"/>
      <c r="BC34" s="3162"/>
      <c r="BD34" s="3162"/>
      <c r="BE34" s="3162"/>
      <c r="BF34" s="3162"/>
      <c r="BG34" s="3162"/>
      <c r="BH34" s="3164"/>
      <c r="BI34" s="3166"/>
      <c r="BJ34" s="3166"/>
      <c r="BK34" s="3159"/>
      <c r="BL34" s="3161"/>
      <c r="BM34" s="3161"/>
      <c r="BN34" s="3151"/>
      <c r="BO34" s="3151"/>
      <c r="BP34" s="3151"/>
      <c r="BQ34" s="3151"/>
      <c r="BR34" s="3153"/>
    </row>
    <row r="35" spans="1:70" ht="45" customHeight="1" x14ac:dyDescent="0.2">
      <c r="A35" s="3141"/>
      <c r="B35" s="3087"/>
      <c r="C35" s="3092"/>
      <c r="D35" s="3087"/>
      <c r="E35" s="3091"/>
      <c r="F35" s="3092"/>
      <c r="G35" s="2397"/>
      <c r="H35" s="2391"/>
      <c r="I35" s="2398"/>
      <c r="J35" s="3156"/>
      <c r="K35" s="3142"/>
      <c r="L35" s="3142"/>
      <c r="M35" s="3141"/>
      <c r="N35" s="3141"/>
      <c r="O35" s="2467" t="s">
        <v>2623</v>
      </c>
      <c r="P35" s="3141"/>
      <c r="Q35" s="3142"/>
      <c r="R35" s="3072"/>
      <c r="S35" s="3041"/>
      <c r="T35" s="3142"/>
      <c r="U35" s="3145"/>
      <c r="V35" s="3113"/>
      <c r="W35" s="2406">
        <v>42594386</v>
      </c>
      <c r="X35" s="2406"/>
      <c r="Y35" s="2406"/>
      <c r="Z35" s="2461">
        <v>89</v>
      </c>
      <c r="AA35" s="2462" t="s">
        <v>2624</v>
      </c>
      <c r="AB35" s="3162"/>
      <c r="AC35" s="3162"/>
      <c r="AD35" s="3162"/>
      <c r="AE35" s="3162"/>
      <c r="AF35" s="3162"/>
      <c r="AG35" s="3162"/>
      <c r="AH35" s="3162"/>
      <c r="AI35" s="3162"/>
      <c r="AJ35" s="3162"/>
      <c r="AK35" s="3162"/>
      <c r="AL35" s="3162"/>
      <c r="AM35" s="3162"/>
      <c r="AN35" s="3162"/>
      <c r="AO35" s="3162"/>
      <c r="AP35" s="3162"/>
      <c r="AQ35" s="3162"/>
      <c r="AR35" s="3162"/>
      <c r="AS35" s="3162"/>
      <c r="AT35" s="3162"/>
      <c r="AU35" s="3162"/>
      <c r="AV35" s="3162"/>
      <c r="AW35" s="3162"/>
      <c r="AX35" s="3162"/>
      <c r="AY35" s="3162"/>
      <c r="AZ35" s="3162"/>
      <c r="BA35" s="3162"/>
      <c r="BB35" s="3162"/>
      <c r="BC35" s="3162"/>
      <c r="BD35" s="3162"/>
      <c r="BE35" s="3162"/>
      <c r="BF35" s="3162"/>
      <c r="BG35" s="3162"/>
      <c r="BH35" s="3164"/>
      <c r="BI35" s="3166"/>
      <c r="BJ35" s="3166"/>
      <c r="BK35" s="3159"/>
      <c r="BL35" s="3161"/>
      <c r="BM35" s="3161"/>
      <c r="BN35" s="3151"/>
      <c r="BO35" s="3151"/>
      <c r="BP35" s="3151"/>
      <c r="BQ35" s="3151"/>
      <c r="BR35" s="3153"/>
    </row>
    <row r="36" spans="1:70" ht="45" customHeight="1" thickBot="1" x14ac:dyDescent="0.25">
      <c r="A36" s="3081"/>
      <c r="B36" s="3088"/>
      <c r="C36" s="3094"/>
      <c r="D36" s="3088"/>
      <c r="E36" s="3093"/>
      <c r="F36" s="3094"/>
      <c r="G36" s="2397"/>
      <c r="H36" s="2391"/>
      <c r="I36" s="2398"/>
      <c r="J36" s="3157"/>
      <c r="K36" s="3079"/>
      <c r="L36" s="3079"/>
      <c r="M36" s="3081"/>
      <c r="N36" s="3081"/>
      <c r="O36" s="2382"/>
      <c r="P36" s="3081"/>
      <c r="Q36" s="3079"/>
      <c r="R36" s="3158"/>
      <c r="S36" s="3042"/>
      <c r="T36" s="3079"/>
      <c r="U36" s="3146"/>
      <c r="V36" s="2468" t="s">
        <v>2625</v>
      </c>
      <c r="W36" s="2469">
        <v>700000000</v>
      </c>
      <c r="X36" s="2469">
        <v>30052533</v>
      </c>
      <c r="Y36" s="2469">
        <v>5598000</v>
      </c>
      <c r="Z36" s="2470">
        <v>46</v>
      </c>
      <c r="AA36" s="2471" t="s">
        <v>2620</v>
      </c>
      <c r="AB36" s="3163"/>
      <c r="AC36" s="3163"/>
      <c r="AD36" s="3163"/>
      <c r="AE36" s="3163"/>
      <c r="AF36" s="3163"/>
      <c r="AG36" s="3163"/>
      <c r="AH36" s="3163"/>
      <c r="AI36" s="3163"/>
      <c r="AJ36" s="3163"/>
      <c r="AK36" s="3163"/>
      <c r="AL36" s="3163"/>
      <c r="AM36" s="3163"/>
      <c r="AN36" s="3163"/>
      <c r="AO36" s="3163"/>
      <c r="AP36" s="3163"/>
      <c r="AQ36" s="3163"/>
      <c r="AR36" s="3163"/>
      <c r="AS36" s="3163"/>
      <c r="AT36" s="3163"/>
      <c r="AU36" s="3163"/>
      <c r="AV36" s="3163"/>
      <c r="AW36" s="3163"/>
      <c r="AX36" s="3163"/>
      <c r="AY36" s="3163"/>
      <c r="AZ36" s="3163"/>
      <c r="BA36" s="3163"/>
      <c r="BB36" s="3163"/>
      <c r="BC36" s="3163"/>
      <c r="BD36" s="3163"/>
      <c r="BE36" s="3163"/>
      <c r="BF36" s="3163"/>
      <c r="BG36" s="3163"/>
      <c r="BH36" s="3165"/>
      <c r="BI36" s="3167"/>
      <c r="BJ36" s="3167"/>
      <c r="BK36" s="3160"/>
      <c r="BL36" s="2977"/>
      <c r="BM36" s="2977"/>
      <c r="BN36" s="3152"/>
      <c r="BO36" s="3152"/>
      <c r="BP36" s="3152"/>
      <c r="BQ36" s="3152"/>
      <c r="BR36" s="3154"/>
    </row>
    <row r="37" spans="1:70" ht="27" customHeight="1" thickBot="1" x14ac:dyDescent="0.25">
      <c r="A37" s="3086"/>
      <c r="B37" s="1482"/>
      <c r="C37" s="2472"/>
      <c r="D37" s="3086"/>
      <c r="E37" s="3089"/>
      <c r="F37" s="3090"/>
      <c r="G37" s="2473" t="s">
        <v>2626</v>
      </c>
      <c r="H37" s="2152" t="s">
        <v>2627</v>
      </c>
      <c r="I37" s="692"/>
      <c r="J37" s="692"/>
      <c r="K37" s="693"/>
      <c r="L37" s="693"/>
      <c r="M37" s="692"/>
      <c r="N37" s="692"/>
      <c r="O37" s="694"/>
      <c r="P37" s="692"/>
      <c r="Q37" s="693"/>
      <c r="R37" s="692"/>
      <c r="S37" s="2474"/>
      <c r="T37" s="693"/>
      <c r="U37" s="692"/>
      <c r="V37" s="2475"/>
      <c r="W37" s="2476"/>
      <c r="X37" s="2476"/>
      <c r="Y37" s="2476"/>
      <c r="Z37" s="2475"/>
      <c r="AA37" s="2477"/>
      <c r="AB37" s="3147"/>
      <c r="AC37" s="3148"/>
      <c r="AD37" s="3148"/>
      <c r="AE37" s="3148"/>
      <c r="AF37" s="3148"/>
      <c r="AG37" s="3148"/>
      <c r="AH37" s="3148"/>
      <c r="AI37" s="3148"/>
      <c r="AJ37" s="3148"/>
      <c r="AK37" s="3148"/>
      <c r="AL37" s="3148"/>
      <c r="AM37" s="3148"/>
      <c r="AN37" s="3148"/>
      <c r="AO37" s="3148"/>
      <c r="AP37" s="3148"/>
      <c r="AQ37" s="3148"/>
      <c r="AR37" s="3148"/>
      <c r="AS37" s="3148"/>
      <c r="AT37" s="3148"/>
      <c r="AU37" s="3148"/>
      <c r="AV37" s="3148"/>
      <c r="AW37" s="3148"/>
      <c r="AX37" s="3148"/>
      <c r="AY37" s="3148"/>
      <c r="AZ37" s="3148"/>
      <c r="BA37" s="3148"/>
      <c r="BB37" s="3148"/>
      <c r="BC37" s="3148"/>
      <c r="BD37" s="3148"/>
      <c r="BE37" s="3148"/>
      <c r="BF37" s="3148"/>
      <c r="BG37" s="3148"/>
      <c r="BH37" s="3148"/>
      <c r="BI37" s="3148"/>
      <c r="BJ37" s="3148"/>
      <c r="BK37" s="3148"/>
      <c r="BL37" s="3148"/>
      <c r="BM37" s="3148"/>
      <c r="BN37" s="3148"/>
      <c r="BO37" s="3148"/>
      <c r="BP37" s="3148"/>
      <c r="BQ37" s="3148"/>
      <c r="BR37" s="3149"/>
    </row>
    <row r="38" spans="1:70" ht="45" customHeight="1" x14ac:dyDescent="0.2">
      <c r="A38" s="3087"/>
      <c r="B38" s="1482"/>
      <c r="C38" s="2472"/>
      <c r="D38" s="3087"/>
      <c r="E38" s="3091"/>
      <c r="F38" s="3092"/>
      <c r="G38" s="3086"/>
      <c r="H38" s="3089"/>
      <c r="I38" s="3090"/>
      <c r="J38" s="3098">
        <v>57</v>
      </c>
      <c r="K38" s="3078" t="s">
        <v>1802</v>
      </c>
      <c r="L38" s="3078" t="s">
        <v>1803</v>
      </c>
      <c r="M38" s="3080">
        <v>12</v>
      </c>
      <c r="N38" s="3080">
        <v>20</v>
      </c>
      <c r="O38" s="2708" t="s">
        <v>2628</v>
      </c>
      <c r="P38" s="3080" t="s">
        <v>2629</v>
      </c>
      <c r="Q38" s="3078" t="s">
        <v>2630</v>
      </c>
      <c r="R38" s="3082">
        <f>SUM(W38:W43)/S38</f>
        <v>0.21473347171373725</v>
      </c>
      <c r="S38" s="3040">
        <f>SUM(W38:W57)</f>
        <v>20985340781</v>
      </c>
      <c r="T38" s="3078" t="s">
        <v>2631</v>
      </c>
      <c r="U38" s="3144" t="s">
        <v>2632</v>
      </c>
      <c r="V38" s="2478" t="s">
        <v>2633</v>
      </c>
      <c r="W38" s="2479">
        <v>174840000</v>
      </c>
      <c r="X38" s="2479">
        <v>75000000</v>
      </c>
      <c r="Y38" s="2479">
        <v>0</v>
      </c>
      <c r="Z38" s="2480" t="s">
        <v>1798</v>
      </c>
      <c r="AA38" s="2481" t="s">
        <v>2634</v>
      </c>
      <c r="AB38" s="3138">
        <v>294321</v>
      </c>
      <c r="AC38" s="3137">
        <v>0</v>
      </c>
      <c r="AD38" s="3137">
        <v>283947</v>
      </c>
      <c r="AE38" s="3137">
        <v>0</v>
      </c>
      <c r="AF38" s="3137">
        <v>135754</v>
      </c>
      <c r="AG38" s="3137">
        <v>0</v>
      </c>
      <c r="AH38" s="3137">
        <v>44640</v>
      </c>
      <c r="AI38" s="3137">
        <v>0</v>
      </c>
      <c r="AJ38" s="3137">
        <v>308178</v>
      </c>
      <c r="AK38" s="3137">
        <v>0</v>
      </c>
      <c r="AL38" s="3137">
        <v>0</v>
      </c>
      <c r="AM38" s="3137">
        <v>0</v>
      </c>
      <c r="AN38" s="3133">
        <v>2145</v>
      </c>
      <c r="AO38" s="3133">
        <v>0</v>
      </c>
      <c r="AP38" s="3128">
        <v>12718</v>
      </c>
      <c r="AQ38" s="3128">
        <v>0</v>
      </c>
      <c r="AR38" s="3134">
        <v>26</v>
      </c>
      <c r="AS38" s="3134">
        <v>0</v>
      </c>
      <c r="AT38" s="3128">
        <v>0</v>
      </c>
      <c r="AU38" s="3128">
        <v>0</v>
      </c>
      <c r="AV38" s="3128">
        <v>0</v>
      </c>
      <c r="AW38" s="3130">
        <v>0</v>
      </c>
      <c r="AX38" s="3130">
        <v>0</v>
      </c>
      <c r="AY38" s="3118">
        <v>0</v>
      </c>
      <c r="AZ38" s="3118">
        <v>54612</v>
      </c>
      <c r="BA38" s="3118">
        <v>0</v>
      </c>
      <c r="BB38" s="3118">
        <v>21944</v>
      </c>
      <c r="BC38" s="3118">
        <v>0</v>
      </c>
      <c r="BD38" s="3118">
        <v>1010</v>
      </c>
      <c r="BE38" s="3118">
        <v>0</v>
      </c>
      <c r="BF38" s="3118">
        <v>578268</v>
      </c>
      <c r="BG38" s="3118">
        <v>0</v>
      </c>
      <c r="BH38" s="3119">
        <v>124</v>
      </c>
      <c r="BI38" s="3122">
        <f>SUM(X38:X57)</f>
        <v>1545974811</v>
      </c>
      <c r="BJ38" s="3122">
        <f>SUM(Y38:Y57)</f>
        <v>596158402</v>
      </c>
      <c r="BK38" s="3125">
        <f>BI38/S38</f>
        <v>7.3669273572136415E-2</v>
      </c>
      <c r="BL38" s="3114" t="s">
        <v>2635</v>
      </c>
      <c r="BM38" s="3114" t="s">
        <v>2636</v>
      </c>
      <c r="BN38" s="3117">
        <v>43467</v>
      </c>
      <c r="BO38" s="3117">
        <v>43467</v>
      </c>
      <c r="BP38" s="3117">
        <v>43830</v>
      </c>
      <c r="BQ38" s="3117">
        <v>43830</v>
      </c>
      <c r="BR38" s="3102" t="s">
        <v>2637</v>
      </c>
    </row>
    <row r="39" spans="1:70" ht="40.5" customHeight="1" x14ac:dyDescent="0.2">
      <c r="A39" s="3087"/>
      <c r="B39" s="1482"/>
      <c r="C39" s="2472"/>
      <c r="D39" s="3087"/>
      <c r="E39" s="3091"/>
      <c r="F39" s="3092"/>
      <c r="G39" s="3087"/>
      <c r="H39" s="3091"/>
      <c r="I39" s="3092"/>
      <c r="J39" s="3099"/>
      <c r="K39" s="3142"/>
      <c r="L39" s="3142"/>
      <c r="M39" s="3141"/>
      <c r="N39" s="3141"/>
      <c r="O39" s="2709"/>
      <c r="P39" s="3141"/>
      <c r="Q39" s="3142"/>
      <c r="R39" s="3143"/>
      <c r="S39" s="3041"/>
      <c r="T39" s="3142"/>
      <c r="U39" s="3145"/>
      <c r="V39" s="2482" t="s">
        <v>2638</v>
      </c>
      <c r="W39" s="2175">
        <v>1025160000</v>
      </c>
      <c r="X39" s="1760">
        <v>145947300</v>
      </c>
      <c r="Y39" s="1760">
        <v>119076300</v>
      </c>
      <c r="Z39" s="2425" t="s">
        <v>1798</v>
      </c>
      <c r="AA39" s="2402" t="s">
        <v>2634</v>
      </c>
      <c r="AB39" s="3139"/>
      <c r="AC39" s="2743"/>
      <c r="AD39" s="2743"/>
      <c r="AE39" s="2743"/>
      <c r="AF39" s="2743"/>
      <c r="AG39" s="2743"/>
      <c r="AH39" s="2743"/>
      <c r="AI39" s="2743"/>
      <c r="AJ39" s="2743"/>
      <c r="AK39" s="2743"/>
      <c r="AL39" s="2743"/>
      <c r="AM39" s="2743"/>
      <c r="AN39" s="2709"/>
      <c r="AO39" s="2709"/>
      <c r="AP39" s="2842"/>
      <c r="AQ39" s="2842"/>
      <c r="AR39" s="3135"/>
      <c r="AS39" s="3135"/>
      <c r="AT39" s="2842"/>
      <c r="AU39" s="2842"/>
      <c r="AV39" s="2842"/>
      <c r="AW39" s="3131"/>
      <c r="AX39" s="3131"/>
      <c r="AY39" s="3115"/>
      <c r="AZ39" s="3115"/>
      <c r="BA39" s="3115"/>
      <c r="BB39" s="3115"/>
      <c r="BC39" s="3115"/>
      <c r="BD39" s="3115"/>
      <c r="BE39" s="3115"/>
      <c r="BF39" s="3115"/>
      <c r="BG39" s="3115"/>
      <c r="BH39" s="3120"/>
      <c r="BI39" s="3123"/>
      <c r="BJ39" s="3123"/>
      <c r="BK39" s="3126"/>
      <c r="BL39" s="3115"/>
      <c r="BM39" s="3115"/>
      <c r="BN39" s="3115"/>
      <c r="BO39" s="3115"/>
      <c r="BP39" s="3115"/>
      <c r="BQ39" s="3115"/>
      <c r="BR39" s="3103"/>
    </row>
    <row r="40" spans="1:70" ht="45" customHeight="1" x14ac:dyDescent="0.2">
      <c r="A40" s="3087"/>
      <c r="B40" s="1482"/>
      <c r="C40" s="2472"/>
      <c r="D40" s="3087"/>
      <c r="E40" s="3091"/>
      <c r="F40" s="3092"/>
      <c r="G40" s="3087"/>
      <c r="H40" s="3091"/>
      <c r="I40" s="3092"/>
      <c r="J40" s="3099"/>
      <c r="K40" s="3142"/>
      <c r="L40" s="3142"/>
      <c r="M40" s="3141"/>
      <c r="N40" s="3141"/>
      <c r="O40" s="2709"/>
      <c r="P40" s="3141"/>
      <c r="Q40" s="3142"/>
      <c r="R40" s="3143"/>
      <c r="S40" s="3041"/>
      <c r="T40" s="3142"/>
      <c r="U40" s="3145"/>
      <c r="V40" s="3105" t="s">
        <v>2639</v>
      </c>
      <c r="W40" s="1760">
        <v>1500000000</v>
      </c>
      <c r="X40" s="1760">
        <v>0</v>
      </c>
      <c r="Y40" s="1760">
        <v>0</v>
      </c>
      <c r="Z40" s="2425" t="s">
        <v>1798</v>
      </c>
      <c r="AA40" s="2402" t="s">
        <v>2634</v>
      </c>
      <c r="AB40" s="3139"/>
      <c r="AC40" s="2743"/>
      <c r="AD40" s="2743"/>
      <c r="AE40" s="2743"/>
      <c r="AF40" s="2743"/>
      <c r="AG40" s="2743"/>
      <c r="AH40" s="2743"/>
      <c r="AI40" s="2743"/>
      <c r="AJ40" s="2743"/>
      <c r="AK40" s="2743"/>
      <c r="AL40" s="2743"/>
      <c r="AM40" s="2743"/>
      <c r="AN40" s="2709"/>
      <c r="AO40" s="2709"/>
      <c r="AP40" s="2842"/>
      <c r="AQ40" s="2842"/>
      <c r="AR40" s="3135"/>
      <c r="AS40" s="3135"/>
      <c r="AT40" s="2842"/>
      <c r="AU40" s="2842"/>
      <c r="AV40" s="2842"/>
      <c r="AW40" s="3131"/>
      <c r="AX40" s="3131"/>
      <c r="AY40" s="3115"/>
      <c r="AZ40" s="3115"/>
      <c r="BA40" s="3115"/>
      <c r="BB40" s="3115"/>
      <c r="BC40" s="3115"/>
      <c r="BD40" s="3115"/>
      <c r="BE40" s="3115"/>
      <c r="BF40" s="3115"/>
      <c r="BG40" s="3115"/>
      <c r="BH40" s="3120"/>
      <c r="BI40" s="3123"/>
      <c r="BJ40" s="3123"/>
      <c r="BK40" s="3126"/>
      <c r="BL40" s="3115"/>
      <c r="BM40" s="3115"/>
      <c r="BN40" s="3115"/>
      <c r="BO40" s="3115"/>
      <c r="BP40" s="3115"/>
      <c r="BQ40" s="3115"/>
      <c r="BR40" s="3103"/>
    </row>
    <row r="41" spans="1:70" ht="46.5" customHeight="1" x14ac:dyDescent="0.2">
      <c r="A41" s="3087"/>
      <c r="B41" s="1482"/>
      <c r="C41" s="2472"/>
      <c r="D41" s="3087"/>
      <c r="E41" s="3091"/>
      <c r="F41" s="3092"/>
      <c r="G41" s="3087"/>
      <c r="H41" s="3091"/>
      <c r="I41" s="3092"/>
      <c r="J41" s="3099"/>
      <c r="K41" s="3142"/>
      <c r="L41" s="3142"/>
      <c r="M41" s="3141"/>
      <c r="N41" s="3141"/>
      <c r="O41" s="2709"/>
      <c r="P41" s="3141"/>
      <c r="Q41" s="3142"/>
      <c r="R41" s="3143"/>
      <c r="S41" s="3041"/>
      <c r="T41" s="3142"/>
      <c r="U41" s="3145"/>
      <c r="V41" s="3106"/>
      <c r="W41" s="3040">
        <v>1706255081</v>
      </c>
      <c r="X41" s="3040">
        <v>135557966</v>
      </c>
      <c r="Y41" s="3040">
        <v>0</v>
      </c>
      <c r="Z41" s="3108" t="s">
        <v>2554</v>
      </c>
      <c r="AA41" s="3110" t="s">
        <v>2640</v>
      </c>
      <c r="AB41" s="3139"/>
      <c r="AC41" s="2743"/>
      <c r="AD41" s="2743"/>
      <c r="AE41" s="2743"/>
      <c r="AF41" s="2743"/>
      <c r="AG41" s="2743"/>
      <c r="AH41" s="2743"/>
      <c r="AI41" s="2743"/>
      <c r="AJ41" s="2743"/>
      <c r="AK41" s="2743"/>
      <c r="AL41" s="2743"/>
      <c r="AM41" s="2743"/>
      <c r="AN41" s="2709"/>
      <c r="AO41" s="2709"/>
      <c r="AP41" s="2842"/>
      <c r="AQ41" s="2842"/>
      <c r="AR41" s="3135"/>
      <c r="AS41" s="3135"/>
      <c r="AT41" s="2842"/>
      <c r="AU41" s="2842"/>
      <c r="AV41" s="2842"/>
      <c r="AW41" s="3131"/>
      <c r="AX41" s="3131"/>
      <c r="AY41" s="3115"/>
      <c r="AZ41" s="3115"/>
      <c r="BA41" s="3115"/>
      <c r="BB41" s="3115"/>
      <c r="BC41" s="3115"/>
      <c r="BD41" s="3115"/>
      <c r="BE41" s="3115"/>
      <c r="BF41" s="3115"/>
      <c r="BG41" s="3115"/>
      <c r="BH41" s="3120"/>
      <c r="BI41" s="3123"/>
      <c r="BJ41" s="3123"/>
      <c r="BK41" s="3126"/>
      <c r="BL41" s="3115"/>
      <c r="BM41" s="3115"/>
      <c r="BN41" s="3115"/>
      <c r="BO41" s="3115"/>
      <c r="BP41" s="3115"/>
      <c r="BQ41" s="3115"/>
      <c r="BR41" s="3103"/>
    </row>
    <row r="42" spans="1:70" ht="46.5" customHeight="1" x14ac:dyDescent="0.2">
      <c r="A42" s="3087"/>
      <c r="B42" s="1482"/>
      <c r="C42" s="2472"/>
      <c r="D42" s="3087"/>
      <c r="E42" s="3091"/>
      <c r="F42" s="3092"/>
      <c r="G42" s="3087"/>
      <c r="H42" s="3091"/>
      <c r="I42" s="3092"/>
      <c r="J42" s="3099"/>
      <c r="K42" s="3142"/>
      <c r="L42" s="3142"/>
      <c r="M42" s="3141"/>
      <c r="N42" s="3141"/>
      <c r="O42" s="2709"/>
      <c r="P42" s="3141"/>
      <c r="Q42" s="3142"/>
      <c r="R42" s="3143"/>
      <c r="S42" s="3041"/>
      <c r="T42" s="3142"/>
      <c r="U42" s="3145"/>
      <c r="V42" s="3107"/>
      <c r="W42" s="3042"/>
      <c r="X42" s="3042"/>
      <c r="Y42" s="3042"/>
      <c r="Z42" s="3109"/>
      <c r="AA42" s="3111"/>
      <c r="AB42" s="3139"/>
      <c r="AC42" s="2743"/>
      <c r="AD42" s="2743"/>
      <c r="AE42" s="2743"/>
      <c r="AF42" s="2743"/>
      <c r="AG42" s="2743"/>
      <c r="AH42" s="2743"/>
      <c r="AI42" s="2743"/>
      <c r="AJ42" s="2743"/>
      <c r="AK42" s="2743"/>
      <c r="AL42" s="2743"/>
      <c r="AM42" s="2743"/>
      <c r="AN42" s="2709"/>
      <c r="AO42" s="2709"/>
      <c r="AP42" s="2842"/>
      <c r="AQ42" s="2842"/>
      <c r="AR42" s="3135"/>
      <c r="AS42" s="3135"/>
      <c r="AT42" s="2842"/>
      <c r="AU42" s="2842"/>
      <c r="AV42" s="2842"/>
      <c r="AW42" s="3131"/>
      <c r="AX42" s="3131"/>
      <c r="AY42" s="3115"/>
      <c r="AZ42" s="3115"/>
      <c r="BA42" s="3115"/>
      <c r="BB42" s="3115"/>
      <c r="BC42" s="3115"/>
      <c r="BD42" s="3115"/>
      <c r="BE42" s="3115"/>
      <c r="BF42" s="3115"/>
      <c r="BG42" s="3115"/>
      <c r="BH42" s="3120"/>
      <c r="BI42" s="3123"/>
      <c r="BJ42" s="3123"/>
      <c r="BK42" s="3126"/>
      <c r="BL42" s="3115"/>
      <c r="BM42" s="3115"/>
      <c r="BN42" s="3115"/>
      <c r="BO42" s="3115"/>
      <c r="BP42" s="3115"/>
      <c r="BQ42" s="3115"/>
      <c r="BR42" s="3103"/>
    </row>
    <row r="43" spans="1:70" ht="62.25" customHeight="1" thickBot="1" x14ac:dyDescent="0.25">
      <c r="A43" s="3087"/>
      <c r="B43" s="1482"/>
      <c r="C43" s="2472"/>
      <c r="D43" s="3087"/>
      <c r="E43" s="3091"/>
      <c r="F43" s="3092"/>
      <c r="G43" s="3087"/>
      <c r="H43" s="3091"/>
      <c r="I43" s="3092"/>
      <c r="J43" s="3150"/>
      <c r="K43" s="3079"/>
      <c r="L43" s="3079"/>
      <c r="M43" s="3081"/>
      <c r="N43" s="3081"/>
      <c r="O43" s="2709"/>
      <c r="P43" s="3141"/>
      <c r="Q43" s="3142"/>
      <c r="R43" s="3083"/>
      <c r="S43" s="3041"/>
      <c r="T43" s="3142"/>
      <c r="U43" s="3145"/>
      <c r="V43" s="2483" t="s">
        <v>2641</v>
      </c>
      <c r="W43" s="1760">
        <v>100000000</v>
      </c>
      <c r="X43" s="1760">
        <v>0</v>
      </c>
      <c r="Y43" s="1760">
        <v>0</v>
      </c>
      <c r="Z43" s="2484" t="s">
        <v>1798</v>
      </c>
      <c r="AA43" s="2402" t="s">
        <v>2634</v>
      </c>
      <c r="AB43" s="3139"/>
      <c r="AC43" s="2743"/>
      <c r="AD43" s="2743"/>
      <c r="AE43" s="2743"/>
      <c r="AF43" s="2743"/>
      <c r="AG43" s="2743"/>
      <c r="AH43" s="2743"/>
      <c r="AI43" s="2743"/>
      <c r="AJ43" s="2743"/>
      <c r="AK43" s="2743"/>
      <c r="AL43" s="2743"/>
      <c r="AM43" s="2743"/>
      <c r="AN43" s="2709"/>
      <c r="AO43" s="2709"/>
      <c r="AP43" s="2842"/>
      <c r="AQ43" s="2842"/>
      <c r="AR43" s="3135"/>
      <c r="AS43" s="3135"/>
      <c r="AT43" s="2842"/>
      <c r="AU43" s="2842"/>
      <c r="AV43" s="2842"/>
      <c r="AW43" s="3131"/>
      <c r="AX43" s="3131"/>
      <c r="AY43" s="3115"/>
      <c r="AZ43" s="3115"/>
      <c r="BA43" s="3115"/>
      <c r="BB43" s="3115"/>
      <c r="BC43" s="3115"/>
      <c r="BD43" s="3115"/>
      <c r="BE43" s="3115"/>
      <c r="BF43" s="3115"/>
      <c r="BG43" s="3115"/>
      <c r="BH43" s="3120"/>
      <c r="BI43" s="3123"/>
      <c r="BJ43" s="3123"/>
      <c r="BK43" s="3126"/>
      <c r="BL43" s="3115"/>
      <c r="BM43" s="3115"/>
      <c r="BN43" s="3115"/>
      <c r="BO43" s="3115"/>
      <c r="BP43" s="3115"/>
      <c r="BQ43" s="3115"/>
      <c r="BR43" s="3103"/>
    </row>
    <row r="44" spans="1:70" ht="36.75" customHeight="1" x14ac:dyDescent="0.2">
      <c r="A44" s="3087"/>
      <c r="B44" s="1482"/>
      <c r="C44" s="2472"/>
      <c r="D44" s="3087"/>
      <c r="E44" s="3091"/>
      <c r="F44" s="3092"/>
      <c r="G44" s="3087"/>
      <c r="H44" s="3091"/>
      <c r="I44" s="3092"/>
      <c r="J44" s="3098">
        <v>58</v>
      </c>
      <c r="K44" s="2707" t="s">
        <v>2642</v>
      </c>
      <c r="L44" s="2707" t="s">
        <v>2643</v>
      </c>
      <c r="M44" s="2706">
        <v>1</v>
      </c>
      <c r="N44" s="2706">
        <v>0</v>
      </c>
      <c r="O44" s="2709"/>
      <c r="P44" s="3141"/>
      <c r="Q44" s="3142"/>
      <c r="R44" s="3100">
        <f>SUM(W44:W45)/S38</f>
        <v>0.23739549507390009</v>
      </c>
      <c r="S44" s="3041"/>
      <c r="T44" s="3142"/>
      <c r="U44" s="3145"/>
      <c r="V44" s="2485" t="s">
        <v>2644</v>
      </c>
      <c r="W44" s="2486">
        <v>4181825364</v>
      </c>
      <c r="X44" s="2487">
        <v>0</v>
      </c>
      <c r="Y44" s="2487">
        <v>0</v>
      </c>
      <c r="Z44" s="2488">
        <v>46</v>
      </c>
      <c r="AA44" s="2489" t="s">
        <v>2610</v>
      </c>
      <c r="AB44" s="3139"/>
      <c r="AC44" s="2743"/>
      <c r="AD44" s="2743"/>
      <c r="AE44" s="2743"/>
      <c r="AF44" s="2743"/>
      <c r="AG44" s="2743"/>
      <c r="AH44" s="2743"/>
      <c r="AI44" s="2743"/>
      <c r="AJ44" s="2743"/>
      <c r="AK44" s="2743"/>
      <c r="AL44" s="2743"/>
      <c r="AM44" s="2743"/>
      <c r="AN44" s="2709"/>
      <c r="AO44" s="2709"/>
      <c r="AP44" s="2842"/>
      <c r="AQ44" s="2842"/>
      <c r="AR44" s="3135"/>
      <c r="AS44" s="3135"/>
      <c r="AT44" s="2842"/>
      <c r="AU44" s="2842"/>
      <c r="AV44" s="2842"/>
      <c r="AW44" s="3131"/>
      <c r="AX44" s="3131"/>
      <c r="AY44" s="3115"/>
      <c r="AZ44" s="3115"/>
      <c r="BA44" s="3115"/>
      <c r="BB44" s="3115"/>
      <c r="BC44" s="3115"/>
      <c r="BD44" s="3115"/>
      <c r="BE44" s="3115"/>
      <c r="BF44" s="3115"/>
      <c r="BG44" s="3115"/>
      <c r="BH44" s="3120"/>
      <c r="BI44" s="3123"/>
      <c r="BJ44" s="3123"/>
      <c r="BK44" s="3126"/>
      <c r="BL44" s="3115"/>
      <c r="BM44" s="3115"/>
      <c r="BN44" s="3115"/>
      <c r="BO44" s="3115"/>
      <c r="BP44" s="3115"/>
      <c r="BQ44" s="3115"/>
      <c r="BR44" s="3103"/>
    </row>
    <row r="45" spans="1:70" ht="63" customHeight="1" thickBot="1" x14ac:dyDescent="0.25">
      <c r="A45" s="3087"/>
      <c r="B45" s="1482"/>
      <c r="C45" s="2472"/>
      <c r="D45" s="3087"/>
      <c r="E45" s="3091"/>
      <c r="F45" s="3092"/>
      <c r="G45" s="3087"/>
      <c r="H45" s="3091"/>
      <c r="I45" s="3092"/>
      <c r="J45" s="3099"/>
      <c r="K45" s="2707"/>
      <c r="L45" s="2707"/>
      <c r="M45" s="2706"/>
      <c r="N45" s="2706"/>
      <c r="O45" s="2709"/>
      <c r="P45" s="3141"/>
      <c r="Q45" s="3142"/>
      <c r="R45" s="3101"/>
      <c r="S45" s="3041"/>
      <c r="T45" s="3142"/>
      <c r="U45" s="3145"/>
      <c r="V45" s="2490" t="s">
        <v>2645</v>
      </c>
      <c r="W45" s="2491">
        <v>800000000</v>
      </c>
      <c r="X45" s="2492">
        <v>0</v>
      </c>
      <c r="Y45" s="2492">
        <v>0</v>
      </c>
      <c r="Z45" s="2493">
        <v>46</v>
      </c>
      <c r="AA45" s="2494" t="s">
        <v>2610</v>
      </c>
      <c r="AB45" s="3139"/>
      <c r="AC45" s="2743"/>
      <c r="AD45" s="2743"/>
      <c r="AE45" s="2743"/>
      <c r="AF45" s="2743"/>
      <c r="AG45" s="2743"/>
      <c r="AH45" s="2743"/>
      <c r="AI45" s="2743"/>
      <c r="AJ45" s="2743"/>
      <c r="AK45" s="2743"/>
      <c r="AL45" s="2743"/>
      <c r="AM45" s="2743"/>
      <c r="AN45" s="2709"/>
      <c r="AO45" s="2709"/>
      <c r="AP45" s="2842"/>
      <c r="AQ45" s="2842"/>
      <c r="AR45" s="3135"/>
      <c r="AS45" s="3135"/>
      <c r="AT45" s="2842"/>
      <c r="AU45" s="2842"/>
      <c r="AV45" s="2842"/>
      <c r="AW45" s="3131"/>
      <c r="AX45" s="3131"/>
      <c r="AY45" s="3115"/>
      <c r="AZ45" s="3115"/>
      <c r="BA45" s="3115"/>
      <c r="BB45" s="3115"/>
      <c r="BC45" s="3115"/>
      <c r="BD45" s="3115"/>
      <c r="BE45" s="3115"/>
      <c r="BF45" s="3115"/>
      <c r="BG45" s="3115"/>
      <c r="BH45" s="3120"/>
      <c r="BI45" s="3123"/>
      <c r="BJ45" s="3123"/>
      <c r="BK45" s="3126"/>
      <c r="BL45" s="3115"/>
      <c r="BM45" s="3115"/>
      <c r="BN45" s="3115"/>
      <c r="BO45" s="3115"/>
      <c r="BP45" s="3115"/>
      <c r="BQ45" s="3115"/>
      <c r="BR45" s="3103"/>
    </row>
    <row r="46" spans="1:70" ht="45.75" customHeight="1" x14ac:dyDescent="0.2">
      <c r="A46" s="3087"/>
      <c r="B46" s="1482"/>
      <c r="C46" s="2472"/>
      <c r="D46" s="3087"/>
      <c r="E46" s="3091"/>
      <c r="F46" s="3092"/>
      <c r="G46" s="3087"/>
      <c r="H46" s="3091"/>
      <c r="I46" s="3092"/>
      <c r="J46" s="3095">
        <v>59</v>
      </c>
      <c r="K46" s="2707" t="s">
        <v>1794</v>
      </c>
      <c r="L46" s="3096" t="s">
        <v>1795</v>
      </c>
      <c r="M46" s="2711">
        <v>12</v>
      </c>
      <c r="N46" s="2711">
        <v>4</v>
      </c>
      <c r="O46" s="2709"/>
      <c r="P46" s="3141"/>
      <c r="Q46" s="3142"/>
      <c r="R46" s="3097">
        <f>SUM(W46:W51)/S38</f>
        <v>0.14171441412533906</v>
      </c>
      <c r="S46" s="3041"/>
      <c r="T46" s="3142"/>
      <c r="U46" s="3145"/>
      <c r="V46" s="2485" t="s">
        <v>2646</v>
      </c>
      <c r="W46" s="2479">
        <v>225000000</v>
      </c>
      <c r="X46" s="2487">
        <v>43231100</v>
      </c>
      <c r="Y46" s="2487">
        <v>0</v>
      </c>
      <c r="Z46" s="2495" t="s">
        <v>1798</v>
      </c>
      <c r="AA46" s="2496" t="s">
        <v>2647</v>
      </c>
      <c r="AB46" s="3139"/>
      <c r="AC46" s="2743"/>
      <c r="AD46" s="2743"/>
      <c r="AE46" s="2743"/>
      <c r="AF46" s="2743"/>
      <c r="AG46" s="2743"/>
      <c r="AH46" s="2743"/>
      <c r="AI46" s="2743"/>
      <c r="AJ46" s="2743"/>
      <c r="AK46" s="2743"/>
      <c r="AL46" s="2743"/>
      <c r="AM46" s="2743"/>
      <c r="AN46" s="2709"/>
      <c r="AO46" s="2709"/>
      <c r="AP46" s="2842"/>
      <c r="AQ46" s="2842"/>
      <c r="AR46" s="3135"/>
      <c r="AS46" s="3135"/>
      <c r="AT46" s="2842"/>
      <c r="AU46" s="2842"/>
      <c r="AV46" s="2842"/>
      <c r="AW46" s="3131"/>
      <c r="AX46" s="3131"/>
      <c r="AY46" s="3115"/>
      <c r="AZ46" s="3115"/>
      <c r="BA46" s="3115"/>
      <c r="BB46" s="3115"/>
      <c r="BC46" s="3115"/>
      <c r="BD46" s="3115"/>
      <c r="BE46" s="3115"/>
      <c r="BF46" s="3115"/>
      <c r="BG46" s="3115"/>
      <c r="BH46" s="3120"/>
      <c r="BI46" s="3123"/>
      <c r="BJ46" s="3123"/>
      <c r="BK46" s="3126"/>
      <c r="BL46" s="3115"/>
      <c r="BM46" s="3115"/>
      <c r="BN46" s="3115"/>
      <c r="BO46" s="3115"/>
      <c r="BP46" s="3115"/>
      <c r="BQ46" s="3115"/>
      <c r="BR46" s="3103"/>
    </row>
    <row r="47" spans="1:70" ht="49.5" customHeight="1" thickBot="1" x14ac:dyDescent="0.25">
      <c r="A47" s="3087"/>
      <c r="B47" s="1482"/>
      <c r="C47" s="2472"/>
      <c r="D47" s="3087"/>
      <c r="E47" s="3091"/>
      <c r="F47" s="3092"/>
      <c r="G47" s="3087"/>
      <c r="H47" s="3091"/>
      <c r="I47" s="3092"/>
      <c r="J47" s="3095"/>
      <c r="K47" s="2707"/>
      <c r="L47" s="3096"/>
      <c r="M47" s="2711"/>
      <c r="N47" s="2711"/>
      <c r="O47" s="2709"/>
      <c r="P47" s="3141"/>
      <c r="Q47" s="3142"/>
      <c r="R47" s="3097"/>
      <c r="S47" s="3041"/>
      <c r="T47" s="3142"/>
      <c r="U47" s="3145"/>
      <c r="V47" s="3112" t="s">
        <v>2648</v>
      </c>
      <c r="W47" s="2491">
        <v>383410000</v>
      </c>
      <c r="X47" s="2497">
        <v>465242583</v>
      </c>
      <c r="Y47" s="2497">
        <v>413301700</v>
      </c>
      <c r="Z47" s="2498" t="s">
        <v>1798</v>
      </c>
      <c r="AA47" s="2385" t="s">
        <v>2647</v>
      </c>
      <c r="AB47" s="3139"/>
      <c r="AC47" s="2743"/>
      <c r="AD47" s="2743"/>
      <c r="AE47" s="2743"/>
      <c r="AF47" s="2743"/>
      <c r="AG47" s="2743"/>
      <c r="AH47" s="2743"/>
      <c r="AI47" s="2743"/>
      <c r="AJ47" s="2743"/>
      <c r="AK47" s="2743"/>
      <c r="AL47" s="2743"/>
      <c r="AM47" s="2743"/>
      <c r="AN47" s="2709"/>
      <c r="AO47" s="2709"/>
      <c r="AP47" s="2842"/>
      <c r="AQ47" s="2842"/>
      <c r="AR47" s="3135"/>
      <c r="AS47" s="3135"/>
      <c r="AT47" s="2842"/>
      <c r="AU47" s="2842"/>
      <c r="AV47" s="2842"/>
      <c r="AW47" s="3131"/>
      <c r="AX47" s="3131"/>
      <c r="AY47" s="3115"/>
      <c r="AZ47" s="3115"/>
      <c r="BA47" s="3115"/>
      <c r="BB47" s="3115"/>
      <c r="BC47" s="3115"/>
      <c r="BD47" s="3115"/>
      <c r="BE47" s="3115"/>
      <c r="BF47" s="3115"/>
      <c r="BG47" s="3115"/>
      <c r="BH47" s="3120"/>
      <c r="BI47" s="3123"/>
      <c r="BJ47" s="3123"/>
      <c r="BK47" s="3126"/>
      <c r="BL47" s="3115"/>
      <c r="BM47" s="3115"/>
      <c r="BN47" s="3115"/>
      <c r="BO47" s="3115"/>
      <c r="BP47" s="3115"/>
      <c r="BQ47" s="3115"/>
      <c r="BR47" s="3103"/>
    </row>
    <row r="48" spans="1:70" ht="39" customHeight="1" x14ac:dyDescent="0.2">
      <c r="A48" s="3087"/>
      <c r="B48" s="1482"/>
      <c r="C48" s="2472"/>
      <c r="D48" s="3087"/>
      <c r="E48" s="3091"/>
      <c r="F48" s="3092"/>
      <c r="G48" s="3087"/>
      <c r="H48" s="3091"/>
      <c r="I48" s="3092"/>
      <c r="J48" s="3095"/>
      <c r="K48" s="2707"/>
      <c r="L48" s="3096"/>
      <c r="M48" s="2711"/>
      <c r="N48" s="2711"/>
      <c r="O48" s="2709"/>
      <c r="P48" s="3141"/>
      <c r="Q48" s="3142"/>
      <c r="R48" s="3097"/>
      <c r="S48" s="3041"/>
      <c r="T48" s="3142"/>
      <c r="U48" s="3145"/>
      <c r="V48" s="3113"/>
      <c r="W48" s="2479">
        <v>246521300</v>
      </c>
      <c r="X48" s="2497">
        <v>72358866</v>
      </c>
      <c r="Y48" s="2497">
        <v>0</v>
      </c>
      <c r="Z48" s="2498" t="s">
        <v>2554</v>
      </c>
      <c r="AA48" s="2402" t="s">
        <v>2640</v>
      </c>
      <c r="AB48" s="3139"/>
      <c r="AC48" s="2743"/>
      <c r="AD48" s="2743"/>
      <c r="AE48" s="2743"/>
      <c r="AF48" s="2743"/>
      <c r="AG48" s="2743"/>
      <c r="AH48" s="2743"/>
      <c r="AI48" s="2743"/>
      <c r="AJ48" s="2743"/>
      <c r="AK48" s="2743"/>
      <c r="AL48" s="2743"/>
      <c r="AM48" s="2743"/>
      <c r="AN48" s="2709"/>
      <c r="AO48" s="2709"/>
      <c r="AP48" s="2842"/>
      <c r="AQ48" s="2842"/>
      <c r="AR48" s="3135"/>
      <c r="AS48" s="3135"/>
      <c r="AT48" s="2842"/>
      <c r="AU48" s="2842"/>
      <c r="AV48" s="2842"/>
      <c r="AW48" s="3131"/>
      <c r="AX48" s="3131"/>
      <c r="AY48" s="3115"/>
      <c r="AZ48" s="3115"/>
      <c r="BA48" s="3115"/>
      <c r="BB48" s="3115"/>
      <c r="BC48" s="3115"/>
      <c r="BD48" s="3115"/>
      <c r="BE48" s="3115"/>
      <c r="BF48" s="3115"/>
      <c r="BG48" s="3115"/>
      <c r="BH48" s="3120"/>
      <c r="BI48" s="3123"/>
      <c r="BJ48" s="3123"/>
      <c r="BK48" s="3126"/>
      <c r="BL48" s="3115"/>
      <c r="BM48" s="3115"/>
      <c r="BN48" s="3115"/>
      <c r="BO48" s="3115"/>
      <c r="BP48" s="3115"/>
      <c r="BQ48" s="3115"/>
      <c r="BR48" s="3103"/>
    </row>
    <row r="49" spans="1:70" ht="43.5" customHeight="1" x14ac:dyDescent="0.2">
      <c r="A49" s="3087"/>
      <c r="B49" s="1482"/>
      <c r="C49" s="2472"/>
      <c r="D49" s="3087"/>
      <c r="E49" s="3091"/>
      <c r="F49" s="3092"/>
      <c r="G49" s="3087"/>
      <c r="H49" s="3091"/>
      <c r="I49" s="3092"/>
      <c r="J49" s="3095"/>
      <c r="K49" s="2707"/>
      <c r="L49" s="3096"/>
      <c r="M49" s="2711"/>
      <c r="N49" s="2711"/>
      <c r="O49" s="2709"/>
      <c r="P49" s="3141"/>
      <c r="Q49" s="3142"/>
      <c r="R49" s="3097"/>
      <c r="S49" s="3041"/>
      <c r="T49" s="3142"/>
      <c r="U49" s="3145"/>
      <c r="V49" s="3112" t="s">
        <v>2649</v>
      </c>
      <c r="W49" s="1760">
        <v>2018993974</v>
      </c>
      <c r="X49" s="2497">
        <v>0</v>
      </c>
      <c r="Y49" s="2497">
        <v>0</v>
      </c>
      <c r="Z49" s="2498" t="s">
        <v>1798</v>
      </c>
      <c r="AA49" s="2385" t="s">
        <v>2647</v>
      </c>
      <c r="AB49" s="3139"/>
      <c r="AC49" s="2743"/>
      <c r="AD49" s="2743"/>
      <c r="AE49" s="2743"/>
      <c r="AF49" s="2743"/>
      <c r="AG49" s="2743"/>
      <c r="AH49" s="2743"/>
      <c r="AI49" s="2743"/>
      <c r="AJ49" s="2743"/>
      <c r="AK49" s="2743"/>
      <c r="AL49" s="2743"/>
      <c r="AM49" s="2743"/>
      <c r="AN49" s="2709"/>
      <c r="AO49" s="2709"/>
      <c r="AP49" s="2842"/>
      <c r="AQ49" s="2842"/>
      <c r="AR49" s="3135"/>
      <c r="AS49" s="3135"/>
      <c r="AT49" s="2842"/>
      <c r="AU49" s="2842"/>
      <c r="AV49" s="2842"/>
      <c r="AW49" s="3131"/>
      <c r="AX49" s="3131"/>
      <c r="AY49" s="3115"/>
      <c r="AZ49" s="3115"/>
      <c r="BA49" s="3115"/>
      <c r="BB49" s="3115"/>
      <c r="BC49" s="3115"/>
      <c r="BD49" s="3115"/>
      <c r="BE49" s="3115"/>
      <c r="BF49" s="3115"/>
      <c r="BG49" s="3115"/>
      <c r="BH49" s="3120"/>
      <c r="BI49" s="3123"/>
      <c r="BJ49" s="3123"/>
      <c r="BK49" s="3126"/>
      <c r="BL49" s="3115"/>
      <c r="BM49" s="3115"/>
      <c r="BN49" s="3115"/>
      <c r="BO49" s="3115"/>
      <c r="BP49" s="3115"/>
      <c r="BQ49" s="3115"/>
      <c r="BR49" s="3103"/>
    </row>
    <row r="50" spans="1:70" ht="34.5" customHeight="1" x14ac:dyDescent="0.2">
      <c r="A50" s="3087"/>
      <c r="B50" s="1482"/>
      <c r="C50" s="2472"/>
      <c r="D50" s="3087"/>
      <c r="E50" s="3091"/>
      <c r="F50" s="3092"/>
      <c r="G50" s="3087"/>
      <c r="H50" s="3091"/>
      <c r="I50" s="3092"/>
      <c r="J50" s="3095"/>
      <c r="K50" s="2707"/>
      <c r="L50" s="3096"/>
      <c r="M50" s="2711"/>
      <c r="N50" s="2711"/>
      <c r="O50" s="2709"/>
      <c r="P50" s="3141"/>
      <c r="Q50" s="3142"/>
      <c r="R50" s="3097"/>
      <c r="S50" s="3041"/>
      <c r="T50" s="3142"/>
      <c r="U50" s="3145"/>
      <c r="V50" s="3113"/>
      <c r="W50" s="1760">
        <v>0</v>
      </c>
      <c r="X50" s="2497">
        <v>0</v>
      </c>
      <c r="Y50" s="2497">
        <v>0</v>
      </c>
      <c r="Z50" s="2499">
        <v>46</v>
      </c>
      <c r="AA50" s="2385" t="s">
        <v>2610</v>
      </c>
      <c r="AB50" s="3139"/>
      <c r="AC50" s="2743"/>
      <c r="AD50" s="2743"/>
      <c r="AE50" s="2743"/>
      <c r="AF50" s="2743"/>
      <c r="AG50" s="2743"/>
      <c r="AH50" s="2743"/>
      <c r="AI50" s="2743"/>
      <c r="AJ50" s="2743"/>
      <c r="AK50" s="2743"/>
      <c r="AL50" s="2743"/>
      <c r="AM50" s="2743"/>
      <c r="AN50" s="2709"/>
      <c r="AO50" s="2709"/>
      <c r="AP50" s="2842"/>
      <c r="AQ50" s="2842"/>
      <c r="AR50" s="3135"/>
      <c r="AS50" s="3135"/>
      <c r="AT50" s="2842"/>
      <c r="AU50" s="2842"/>
      <c r="AV50" s="2842"/>
      <c r="AW50" s="3131"/>
      <c r="AX50" s="3131"/>
      <c r="AY50" s="3115"/>
      <c r="AZ50" s="3115"/>
      <c r="BA50" s="3115"/>
      <c r="BB50" s="3115"/>
      <c r="BC50" s="3115"/>
      <c r="BD50" s="3115"/>
      <c r="BE50" s="3115"/>
      <c r="BF50" s="3115"/>
      <c r="BG50" s="3115"/>
      <c r="BH50" s="3120"/>
      <c r="BI50" s="3123"/>
      <c r="BJ50" s="3123"/>
      <c r="BK50" s="3126"/>
      <c r="BL50" s="3115"/>
      <c r="BM50" s="3115"/>
      <c r="BN50" s="3115"/>
      <c r="BO50" s="3115"/>
      <c r="BP50" s="3115"/>
      <c r="BQ50" s="3115"/>
      <c r="BR50" s="3103"/>
    </row>
    <row r="51" spans="1:70" ht="60.75" thickBot="1" x14ac:dyDescent="0.25">
      <c r="A51" s="3087"/>
      <c r="B51" s="1482"/>
      <c r="C51" s="2472"/>
      <c r="D51" s="3087"/>
      <c r="E51" s="3091"/>
      <c r="F51" s="3092"/>
      <c r="G51" s="3087"/>
      <c r="H51" s="3091"/>
      <c r="I51" s="3092"/>
      <c r="J51" s="3095"/>
      <c r="K51" s="2707"/>
      <c r="L51" s="3096"/>
      <c r="M51" s="2711"/>
      <c r="N51" s="2711"/>
      <c r="O51" s="2709"/>
      <c r="P51" s="3141"/>
      <c r="Q51" s="3142"/>
      <c r="R51" s="3097"/>
      <c r="S51" s="3041"/>
      <c r="T51" s="3142"/>
      <c r="U51" s="3145"/>
      <c r="V51" s="2490" t="s">
        <v>2650</v>
      </c>
      <c r="W51" s="1760">
        <v>100000000</v>
      </c>
      <c r="X51" s="2500">
        <v>0</v>
      </c>
      <c r="Y51" s="2500">
        <v>0</v>
      </c>
      <c r="Z51" s="2501" t="s">
        <v>1798</v>
      </c>
      <c r="AA51" s="2494" t="s">
        <v>2647</v>
      </c>
      <c r="AB51" s="3139"/>
      <c r="AC51" s="2743"/>
      <c r="AD51" s="2743"/>
      <c r="AE51" s="2743"/>
      <c r="AF51" s="2743"/>
      <c r="AG51" s="2743"/>
      <c r="AH51" s="2743"/>
      <c r="AI51" s="2743"/>
      <c r="AJ51" s="2743"/>
      <c r="AK51" s="2743"/>
      <c r="AL51" s="2743"/>
      <c r="AM51" s="2743"/>
      <c r="AN51" s="2709"/>
      <c r="AO51" s="2709"/>
      <c r="AP51" s="2842"/>
      <c r="AQ51" s="2842"/>
      <c r="AR51" s="3135"/>
      <c r="AS51" s="3135"/>
      <c r="AT51" s="2842"/>
      <c r="AU51" s="2842"/>
      <c r="AV51" s="2842"/>
      <c r="AW51" s="3131"/>
      <c r="AX51" s="3131"/>
      <c r="AY51" s="3115"/>
      <c r="AZ51" s="3115"/>
      <c r="BA51" s="3115"/>
      <c r="BB51" s="3115"/>
      <c r="BC51" s="3115"/>
      <c r="BD51" s="3115"/>
      <c r="BE51" s="3115"/>
      <c r="BF51" s="3115"/>
      <c r="BG51" s="3115"/>
      <c r="BH51" s="3120"/>
      <c r="BI51" s="3123"/>
      <c r="BJ51" s="3123"/>
      <c r="BK51" s="3126"/>
      <c r="BL51" s="3115"/>
      <c r="BM51" s="3115"/>
      <c r="BN51" s="3115"/>
      <c r="BO51" s="3115"/>
      <c r="BP51" s="3115"/>
      <c r="BQ51" s="3115"/>
      <c r="BR51" s="3103"/>
    </row>
    <row r="52" spans="1:70" ht="54.75" customHeight="1" x14ac:dyDescent="0.2">
      <c r="A52" s="3087"/>
      <c r="B52" s="1482"/>
      <c r="C52" s="2472"/>
      <c r="D52" s="3087"/>
      <c r="E52" s="3091"/>
      <c r="F52" s="3092"/>
      <c r="G52" s="3087"/>
      <c r="H52" s="3091"/>
      <c r="I52" s="3092"/>
      <c r="J52" s="3084">
        <v>60</v>
      </c>
      <c r="K52" s="2789" t="s">
        <v>2651</v>
      </c>
      <c r="L52" s="3078" t="s">
        <v>2652</v>
      </c>
      <c r="M52" s="3080">
        <v>12</v>
      </c>
      <c r="N52" s="3080">
        <v>8</v>
      </c>
      <c r="O52" s="2709"/>
      <c r="P52" s="3141"/>
      <c r="Q52" s="3142"/>
      <c r="R52" s="3082">
        <f>SUM(W52:W53)/S38</f>
        <v>0.26177905683446429</v>
      </c>
      <c r="S52" s="3041"/>
      <c r="T52" s="3142"/>
      <c r="U52" s="3145"/>
      <c r="V52" s="2485" t="s">
        <v>2653</v>
      </c>
      <c r="W52" s="1760">
        <v>224581000</v>
      </c>
      <c r="X52" s="2502">
        <v>0</v>
      </c>
      <c r="Y52" s="2502">
        <v>0</v>
      </c>
      <c r="Z52" s="2488">
        <v>20</v>
      </c>
      <c r="AA52" s="2489" t="s">
        <v>2654</v>
      </c>
      <c r="AB52" s="3139"/>
      <c r="AC52" s="2743"/>
      <c r="AD52" s="2743"/>
      <c r="AE52" s="2743"/>
      <c r="AF52" s="2743"/>
      <c r="AG52" s="2743"/>
      <c r="AH52" s="2743"/>
      <c r="AI52" s="2743"/>
      <c r="AJ52" s="2743"/>
      <c r="AK52" s="2743"/>
      <c r="AL52" s="2743"/>
      <c r="AM52" s="2743"/>
      <c r="AN52" s="2709"/>
      <c r="AO52" s="2709"/>
      <c r="AP52" s="2842"/>
      <c r="AQ52" s="2842"/>
      <c r="AR52" s="3135"/>
      <c r="AS52" s="3135"/>
      <c r="AT52" s="2842"/>
      <c r="AU52" s="2842"/>
      <c r="AV52" s="2842"/>
      <c r="AW52" s="3131"/>
      <c r="AX52" s="3131"/>
      <c r="AY52" s="3115"/>
      <c r="AZ52" s="3115"/>
      <c r="BA52" s="3115"/>
      <c r="BB52" s="3115"/>
      <c r="BC52" s="3115"/>
      <c r="BD52" s="3115"/>
      <c r="BE52" s="3115"/>
      <c r="BF52" s="3115"/>
      <c r="BG52" s="3115"/>
      <c r="BH52" s="3120"/>
      <c r="BI52" s="3123"/>
      <c r="BJ52" s="3123"/>
      <c r="BK52" s="3126"/>
      <c r="BL52" s="3115"/>
      <c r="BM52" s="3115"/>
      <c r="BN52" s="3115"/>
      <c r="BO52" s="3115"/>
      <c r="BP52" s="3115"/>
      <c r="BQ52" s="3115"/>
      <c r="BR52" s="3103"/>
    </row>
    <row r="53" spans="1:70" ht="57.75" customHeight="1" thickBot="1" x14ac:dyDescent="0.25">
      <c r="A53" s="3087"/>
      <c r="B53" s="1482"/>
      <c r="C53" s="2472"/>
      <c r="D53" s="3087"/>
      <c r="E53" s="3091"/>
      <c r="F53" s="3092"/>
      <c r="G53" s="3087"/>
      <c r="H53" s="3091"/>
      <c r="I53" s="3092"/>
      <c r="J53" s="3085"/>
      <c r="K53" s="2791"/>
      <c r="L53" s="3079"/>
      <c r="M53" s="3081"/>
      <c r="N53" s="3081"/>
      <c r="O53" s="2709"/>
      <c r="P53" s="3141"/>
      <c r="Q53" s="3142"/>
      <c r="R53" s="3083"/>
      <c r="S53" s="3041"/>
      <c r="T53" s="3142"/>
      <c r="U53" s="3145"/>
      <c r="V53" s="2490" t="s">
        <v>2655</v>
      </c>
      <c r="W53" s="2469">
        <v>5268941717</v>
      </c>
      <c r="X53" s="2500">
        <v>381435815</v>
      </c>
      <c r="Y53" s="2500">
        <v>63780402</v>
      </c>
      <c r="Z53" s="2493">
        <v>46</v>
      </c>
      <c r="AA53" s="2494" t="s">
        <v>2610</v>
      </c>
      <c r="AB53" s="3139"/>
      <c r="AC53" s="2743"/>
      <c r="AD53" s="2743"/>
      <c r="AE53" s="2743"/>
      <c r="AF53" s="2743"/>
      <c r="AG53" s="2743"/>
      <c r="AH53" s="2743"/>
      <c r="AI53" s="2743"/>
      <c r="AJ53" s="2743"/>
      <c r="AK53" s="2743"/>
      <c r="AL53" s="2743"/>
      <c r="AM53" s="2743"/>
      <c r="AN53" s="2709"/>
      <c r="AO53" s="2709"/>
      <c r="AP53" s="2842"/>
      <c r="AQ53" s="2842"/>
      <c r="AR53" s="3135"/>
      <c r="AS53" s="3135"/>
      <c r="AT53" s="2842"/>
      <c r="AU53" s="2842"/>
      <c r="AV53" s="2842"/>
      <c r="AW53" s="3131"/>
      <c r="AX53" s="3131"/>
      <c r="AY53" s="3115"/>
      <c r="AZ53" s="3115"/>
      <c r="BA53" s="3115"/>
      <c r="BB53" s="3115"/>
      <c r="BC53" s="3115"/>
      <c r="BD53" s="3115"/>
      <c r="BE53" s="3115"/>
      <c r="BF53" s="3115"/>
      <c r="BG53" s="3115"/>
      <c r="BH53" s="3120"/>
      <c r="BI53" s="3123"/>
      <c r="BJ53" s="3123"/>
      <c r="BK53" s="3126"/>
      <c r="BL53" s="3115"/>
      <c r="BM53" s="3115"/>
      <c r="BN53" s="3115"/>
      <c r="BO53" s="3115"/>
      <c r="BP53" s="3115"/>
      <c r="BQ53" s="3115"/>
      <c r="BR53" s="3103"/>
    </row>
    <row r="54" spans="1:70" ht="60.75" customHeight="1" x14ac:dyDescent="0.2">
      <c r="A54" s="3087"/>
      <c r="B54" s="1482"/>
      <c r="C54" s="2472"/>
      <c r="D54" s="3087"/>
      <c r="E54" s="3091"/>
      <c r="F54" s="3092"/>
      <c r="G54" s="3087"/>
      <c r="H54" s="3091"/>
      <c r="I54" s="3092"/>
      <c r="J54" s="3076">
        <v>62</v>
      </c>
      <c r="K54" s="3078" t="s">
        <v>2656</v>
      </c>
      <c r="L54" s="3078" t="s">
        <v>2657</v>
      </c>
      <c r="M54" s="3080">
        <v>2</v>
      </c>
      <c r="N54" s="3080">
        <v>3</v>
      </c>
      <c r="O54" s="2709"/>
      <c r="P54" s="3141"/>
      <c r="Q54" s="3142"/>
      <c r="R54" s="3082">
        <f>SUM(W54:W55)/S38</f>
        <v>4.765231169871656E-2</v>
      </c>
      <c r="S54" s="3041"/>
      <c r="T54" s="3142"/>
      <c r="U54" s="3145"/>
      <c r="V54" s="2485" t="s">
        <v>2658</v>
      </c>
      <c r="W54" s="2455">
        <v>1000000000</v>
      </c>
      <c r="X54" s="2502">
        <v>227201181</v>
      </c>
      <c r="Y54" s="2502">
        <v>0</v>
      </c>
      <c r="Z54" s="2488">
        <v>46</v>
      </c>
      <c r="AA54" s="2489" t="s">
        <v>2620</v>
      </c>
      <c r="AB54" s="3139"/>
      <c r="AC54" s="2743"/>
      <c r="AD54" s="2743"/>
      <c r="AE54" s="2743"/>
      <c r="AF54" s="2743"/>
      <c r="AG54" s="2743"/>
      <c r="AH54" s="2743"/>
      <c r="AI54" s="2743"/>
      <c r="AJ54" s="2743"/>
      <c r="AK54" s="2743"/>
      <c r="AL54" s="2743"/>
      <c r="AM54" s="2743"/>
      <c r="AN54" s="2709"/>
      <c r="AO54" s="2709"/>
      <c r="AP54" s="2842"/>
      <c r="AQ54" s="2842"/>
      <c r="AR54" s="3135"/>
      <c r="AS54" s="3135"/>
      <c r="AT54" s="2842"/>
      <c r="AU54" s="2842"/>
      <c r="AV54" s="2842"/>
      <c r="AW54" s="3131"/>
      <c r="AX54" s="3131"/>
      <c r="AY54" s="3115"/>
      <c r="AZ54" s="3115"/>
      <c r="BA54" s="3115"/>
      <c r="BB54" s="3115"/>
      <c r="BC54" s="3115"/>
      <c r="BD54" s="3115"/>
      <c r="BE54" s="3115"/>
      <c r="BF54" s="3115"/>
      <c r="BG54" s="3115"/>
      <c r="BH54" s="3120"/>
      <c r="BI54" s="3123"/>
      <c r="BJ54" s="3123"/>
      <c r="BK54" s="3126"/>
      <c r="BL54" s="3115"/>
      <c r="BM54" s="3115"/>
      <c r="BN54" s="3115"/>
      <c r="BO54" s="3115"/>
      <c r="BP54" s="3115"/>
      <c r="BQ54" s="3115"/>
      <c r="BR54" s="3103"/>
    </row>
    <row r="55" spans="1:70" ht="81" customHeight="1" thickBot="1" x14ac:dyDescent="0.25">
      <c r="A55" s="3087"/>
      <c r="B55" s="1482"/>
      <c r="C55" s="2472"/>
      <c r="D55" s="3087"/>
      <c r="E55" s="3091"/>
      <c r="F55" s="3092"/>
      <c r="G55" s="3087"/>
      <c r="H55" s="3091"/>
      <c r="I55" s="3092"/>
      <c r="J55" s="3077"/>
      <c r="K55" s="3079"/>
      <c r="L55" s="3079"/>
      <c r="M55" s="3081"/>
      <c r="N55" s="3081"/>
      <c r="O55" s="2709"/>
      <c r="P55" s="3141"/>
      <c r="Q55" s="3142"/>
      <c r="R55" s="3083"/>
      <c r="S55" s="3041"/>
      <c r="T55" s="3142"/>
      <c r="U55" s="3145"/>
      <c r="V55" s="2490" t="s">
        <v>2659</v>
      </c>
      <c r="W55" s="2469">
        <v>0</v>
      </c>
      <c r="X55" s="2500"/>
      <c r="Y55" s="2500"/>
      <c r="Z55" s="2493">
        <v>46</v>
      </c>
      <c r="AA55" s="2494" t="s">
        <v>2620</v>
      </c>
      <c r="AB55" s="3139"/>
      <c r="AC55" s="2743"/>
      <c r="AD55" s="2743"/>
      <c r="AE55" s="2743"/>
      <c r="AF55" s="2743"/>
      <c r="AG55" s="2743"/>
      <c r="AH55" s="2743"/>
      <c r="AI55" s="2743"/>
      <c r="AJ55" s="2743"/>
      <c r="AK55" s="2743"/>
      <c r="AL55" s="2743"/>
      <c r="AM55" s="2743"/>
      <c r="AN55" s="2709"/>
      <c r="AO55" s="2709"/>
      <c r="AP55" s="2842"/>
      <c r="AQ55" s="2842"/>
      <c r="AR55" s="3135"/>
      <c r="AS55" s="3135"/>
      <c r="AT55" s="2842"/>
      <c r="AU55" s="2842"/>
      <c r="AV55" s="2842"/>
      <c r="AW55" s="3131"/>
      <c r="AX55" s="3131"/>
      <c r="AY55" s="3115"/>
      <c r="AZ55" s="3115"/>
      <c r="BA55" s="3115"/>
      <c r="BB55" s="3115"/>
      <c r="BC55" s="3115"/>
      <c r="BD55" s="3115"/>
      <c r="BE55" s="3115"/>
      <c r="BF55" s="3115"/>
      <c r="BG55" s="3115"/>
      <c r="BH55" s="3120"/>
      <c r="BI55" s="3123"/>
      <c r="BJ55" s="3123"/>
      <c r="BK55" s="3126"/>
      <c r="BL55" s="3115"/>
      <c r="BM55" s="3115"/>
      <c r="BN55" s="3115"/>
      <c r="BO55" s="3115"/>
      <c r="BP55" s="3115"/>
      <c r="BQ55" s="3115"/>
      <c r="BR55" s="3103"/>
    </row>
    <row r="56" spans="1:70" ht="87" customHeight="1" thickBot="1" x14ac:dyDescent="0.25">
      <c r="A56" s="3087"/>
      <c r="B56" s="1482"/>
      <c r="C56" s="2472"/>
      <c r="D56" s="3087"/>
      <c r="E56" s="3091"/>
      <c r="F56" s="3092"/>
      <c r="G56" s="3087"/>
      <c r="H56" s="3091"/>
      <c r="I56" s="3092"/>
      <c r="J56" s="2415">
        <v>63</v>
      </c>
      <c r="K56" s="2388" t="s">
        <v>1809</v>
      </c>
      <c r="L56" s="2388" t="s">
        <v>1810</v>
      </c>
      <c r="M56" s="2380">
        <v>250</v>
      </c>
      <c r="N56" s="2378">
        <v>0</v>
      </c>
      <c r="O56" s="2709"/>
      <c r="P56" s="3141"/>
      <c r="Q56" s="3142"/>
      <c r="R56" s="2405">
        <f>SUM(W56)/S38</f>
        <v>9.5304623397433119E-2</v>
      </c>
      <c r="S56" s="3041"/>
      <c r="T56" s="3142"/>
      <c r="U56" s="3145"/>
      <c r="V56" s="2503" t="s">
        <v>2660</v>
      </c>
      <c r="W56" s="2455">
        <v>2000000000</v>
      </c>
      <c r="X56" s="2504"/>
      <c r="Y56" s="2504"/>
      <c r="Z56" s="2505">
        <v>46</v>
      </c>
      <c r="AA56" s="2506" t="s">
        <v>2620</v>
      </c>
      <c r="AB56" s="3139"/>
      <c r="AC56" s="2743"/>
      <c r="AD56" s="2743"/>
      <c r="AE56" s="2743"/>
      <c r="AF56" s="2743"/>
      <c r="AG56" s="2743"/>
      <c r="AH56" s="2743"/>
      <c r="AI56" s="2743"/>
      <c r="AJ56" s="2743"/>
      <c r="AK56" s="2743"/>
      <c r="AL56" s="2743"/>
      <c r="AM56" s="2743"/>
      <c r="AN56" s="2709"/>
      <c r="AO56" s="2709"/>
      <c r="AP56" s="2842"/>
      <c r="AQ56" s="2842"/>
      <c r="AR56" s="3135"/>
      <c r="AS56" s="3135"/>
      <c r="AT56" s="2842"/>
      <c r="AU56" s="2842"/>
      <c r="AV56" s="2842"/>
      <c r="AW56" s="3131"/>
      <c r="AX56" s="3131"/>
      <c r="AY56" s="3115"/>
      <c r="AZ56" s="3115"/>
      <c r="BA56" s="3115"/>
      <c r="BB56" s="3115"/>
      <c r="BC56" s="3115"/>
      <c r="BD56" s="3115"/>
      <c r="BE56" s="3115"/>
      <c r="BF56" s="3115"/>
      <c r="BG56" s="3115"/>
      <c r="BH56" s="3120"/>
      <c r="BI56" s="3123"/>
      <c r="BJ56" s="3123"/>
      <c r="BK56" s="3126"/>
      <c r="BL56" s="3115"/>
      <c r="BM56" s="3115"/>
      <c r="BN56" s="3115"/>
      <c r="BO56" s="3115"/>
      <c r="BP56" s="3115"/>
      <c r="BQ56" s="3115"/>
      <c r="BR56" s="3103"/>
    </row>
    <row r="57" spans="1:70" ht="92.25" customHeight="1" thickBot="1" x14ac:dyDescent="0.25">
      <c r="A57" s="3087"/>
      <c r="B57" s="1482"/>
      <c r="C57" s="2472"/>
      <c r="D57" s="3087"/>
      <c r="E57" s="3091"/>
      <c r="F57" s="3092"/>
      <c r="G57" s="3087"/>
      <c r="H57" s="3091"/>
      <c r="I57" s="3092"/>
      <c r="J57" s="2507">
        <v>64</v>
      </c>
      <c r="K57" s="2388" t="s">
        <v>2661</v>
      </c>
      <c r="L57" s="2399" t="s">
        <v>2662</v>
      </c>
      <c r="M57" s="2404">
        <v>1</v>
      </c>
      <c r="N57" s="2384">
        <v>0</v>
      </c>
      <c r="O57" s="2710"/>
      <c r="P57" s="3081"/>
      <c r="Q57" s="3079"/>
      <c r="R57" s="2405">
        <f>SUM(W57)/S38</f>
        <v>1.4206271564096741E-3</v>
      </c>
      <c r="S57" s="3042"/>
      <c r="T57" s="3079"/>
      <c r="U57" s="3146"/>
      <c r="V57" s="2508" t="s">
        <v>2663</v>
      </c>
      <c r="W57" s="2469">
        <v>29812345</v>
      </c>
      <c r="X57" s="2509"/>
      <c r="Y57" s="2509"/>
      <c r="Z57" s="2510">
        <v>20</v>
      </c>
      <c r="AA57" s="2511" t="s">
        <v>2664</v>
      </c>
      <c r="AB57" s="3139"/>
      <c r="AC57" s="2743"/>
      <c r="AD57" s="2743"/>
      <c r="AE57" s="2743"/>
      <c r="AF57" s="2743"/>
      <c r="AG57" s="2743"/>
      <c r="AH57" s="2743"/>
      <c r="AI57" s="2743"/>
      <c r="AJ57" s="2743"/>
      <c r="AK57" s="2743"/>
      <c r="AL57" s="2743"/>
      <c r="AM57" s="2743"/>
      <c r="AN57" s="2709"/>
      <c r="AO57" s="2709"/>
      <c r="AP57" s="2842"/>
      <c r="AQ57" s="2842"/>
      <c r="AR57" s="3135"/>
      <c r="AS57" s="3135"/>
      <c r="AT57" s="2842"/>
      <c r="AU57" s="2842"/>
      <c r="AV57" s="2842"/>
      <c r="AW57" s="3131"/>
      <c r="AX57" s="3131"/>
      <c r="AY57" s="3115"/>
      <c r="AZ57" s="3115"/>
      <c r="BA57" s="3115"/>
      <c r="BB57" s="3115"/>
      <c r="BC57" s="3115"/>
      <c r="BD57" s="3115"/>
      <c r="BE57" s="3115"/>
      <c r="BF57" s="3115"/>
      <c r="BG57" s="3115"/>
      <c r="BH57" s="3120"/>
      <c r="BI57" s="3124"/>
      <c r="BJ57" s="3124"/>
      <c r="BK57" s="3126"/>
      <c r="BL57" s="3115"/>
      <c r="BM57" s="3115"/>
      <c r="BN57" s="3115"/>
      <c r="BO57" s="3115"/>
      <c r="BP57" s="3115"/>
      <c r="BQ57" s="3115"/>
      <c r="BR57" s="3103"/>
    </row>
    <row r="58" spans="1:70" s="2" customFormat="1" ht="108.75" customHeight="1" thickBot="1" x14ac:dyDescent="0.25">
      <c r="A58" s="3088"/>
      <c r="B58" s="2512"/>
      <c r="C58" s="2513"/>
      <c r="D58" s="3088"/>
      <c r="E58" s="3093"/>
      <c r="F58" s="3094"/>
      <c r="G58" s="3088"/>
      <c r="H58" s="3093"/>
      <c r="I58" s="3094"/>
      <c r="J58" s="2407">
        <v>59</v>
      </c>
      <c r="K58" s="2388" t="s">
        <v>1794</v>
      </c>
      <c r="L58" s="2399" t="s">
        <v>1795</v>
      </c>
      <c r="M58" s="2395">
        <v>1</v>
      </c>
      <c r="N58" s="2384">
        <v>1</v>
      </c>
      <c r="O58" s="2380" t="s">
        <v>2665</v>
      </c>
      <c r="P58" s="763" t="s">
        <v>2666</v>
      </c>
      <c r="Q58" s="2379" t="s">
        <v>2667</v>
      </c>
      <c r="R58" s="2514">
        <f>W58/S58</f>
        <v>1</v>
      </c>
      <c r="S58" s="2406">
        <f>SUM(W58)</f>
        <v>815853756</v>
      </c>
      <c r="T58" s="2605" t="s">
        <v>2668</v>
      </c>
      <c r="U58" s="2389" t="s">
        <v>2669</v>
      </c>
      <c r="V58" s="2503" t="s">
        <v>2670</v>
      </c>
      <c r="W58" s="2515">
        <v>815853756</v>
      </c>
      <c r="X58" s="2509">
        <v>803071603</v>
      </c>
      <c r="Y58" s="2509">
        <v>0</v>
      </c>
      <c r="Z58" s="2516">
        <v>56</v>
      </c>
      <c r="AA58" s="2511" t="s">
        <v>2671</v>
      </c>
      <c r="AB58" s="3140"/>
      <c r="AC58" s="2744"/>
      <c r="AD58" s="2744"/>
      <c r="AE58" s="2744"/>
      <c r="AF58" s="2744"/>
      <c r="AG58" s="2744"/>
      <c r="AH58" s="2744"/>
      <c r="AI58" s="2744"/>
      <c r="AJ58" s="2744"/>
      <c r="AK58" s="2744"/>
      <c r="AL58" s="2744"/>
      <c r="AM58" s="2744"/>
      <c r="AN58" s="3066"/>
      <c r="AO58" s="3066"/>
      <c r="AP58" s="3129"/>
      <c r="AQ58" s="3129"/>
      <c r="AR58" s="3136"/>
      <c r="AS58" s="3136"/>
      <c r="AT58" s="3129"/>
      <c r="AU58" s="3129"/>
      <c r="AV58" s="3129"/>
      <c r="AW58" s="3132"/>
      <c r="AX58" s="3132"/>
      <c r="AY58" s="3116"/>
      <c r="AZ58" s="3116"/>
      <c r="BA58" s="3116"/>
      <c r="BB58" s="3116"/>
      <c r="BC58" s="3116"/>
      <c r="BD58" s="3116"/>
      <c r="BE58" s="3116"/>
      <c r="BF58" s="3116"/>
      <c r="BG58" s="3116"/>
      <c r="BH58" s="3121"/>
      <c r="BI58" s="2545">
        <f>SUM(X58)</f>
        <v>803071603</v>
      </c>
      <c r="BJ58" s="2545">
        <f>SUM(Y58)</f>
        <v>0</v>
      </c>
      <c r="BK58" s="3127"/>
      <c r="BL58" s="3116"/>
      <c r="BM58" s="3116"/>
      <c r="BN58" s="3116"/>
      <c r="BO58" s="3116"/>
      <c r="BP58" s="3116"/>
      <c r="BQ58" s="3116"/>
      <c r="BR58" s="3104"/>
    </row>
    <row r="59" spans="1:70" ht="27" customHeight="1" thickBot="1" x14ac:dyDescent="0.25">
      <c r="A59" s="3073" t="s">
        <v>1813</v>
      </c>
      <c r="B59" s="3074"/>
      <c r="C59" s="3074"/>
      <c r="D59" s="3074"/>
      <c r="E59" s="3074"/>
      <c r="F59" s="3074"/>
      <c r="G59" s="3074"/>
      <c r="H59" s="3074"/>
      <c r="I59" s="3074"/>
      <c r="J59" s="3074"/>
      <c r="K59" s="3074"/>
      <c r="L59" s="3074"/>
      <c r="M59" s="3074"/>
      <c r="N59" s="3074"/>
      <c r="O59" s="3074"/>
      <c r="P59" s="3074"/>
      <c r="Q59" s="3075"/>
      <c r="R59" s="2517"/>
      <c r="S59" s="2518">
        <f>SUM(S13:S58)</f>
        <v>32534972632</v>
      </c>
      <c r="T59" s="2519"/>
      <c r="U59" s="2520"/>
      <c r="V59" s="2521"/>
      <c r="W59" s="2406">
        <f>SUM(W13:W23,W27:W36,W38:W58)</f>
        <v>32534972632</v>
      </c>
      <c r="X59" s="2522">
        <f>SUM(X13:X58)</f>
        <v>6455812503</v>
      </c>
      <c r="Y59" s="2518">
        <f>SUM(Y13:Y58)</f>
        <v>962460935.65999997</v>
      </c>
      <c r="Z59" s="2523"/>
      <c r="AA59" s="2375"/>
      <c r="AB59" s="2524"/>
      <c r="AC59" s="2525"/>
      <c r="AD59" s="2525"/>
      <c r="AE59" s="2525"/>
      <c r="AF59" s="2525"/>
      <c r="AG59" s="2525"/>
      <c r="AH59" s="2525"/>
      <c r="AI59" s="2525"/>
      <c r="AJ59" s="2525"/>
      <c r="AK59" s="2525"/>
      <c r="AL59" s="2525"/>
      <c r="AM59" s="2525"/>
      <c r="AN59" s="2525"/>
      <c r="AO59" s="2525"/>
      <c r="AP59" s="2525"/>
      <c r="AQ59" s="2525"/>
      <c r="AR59" s="2525"/>
      <c r="AS59" s="2525"/>
      <c r="AT59" s="2525"/>
      <c r="AU59" s="2525"/>
      <c r="AV59" s="2525"/>
      <c r="AW59" s="2525"/>
      <c r="AX59" s="2525"/>
      <c r="AY59" s="2525"/>
      <c r="AZ59" s="2525"/>
      <c r="BA59" s="2525"/>
      <c r="BB59" s="2525"/>
      <c r="BC59" s="2525"/>
      <c r="BD59" s="2525"/>
      <c r="BE59" s="2525"/>
      <c r="BF59" s="2525"/>
      <c r="BG59" s="2525"/>
      <c r="BH59" s="2525"/>
      <c r="BI59" s="2526">
        <f>SUM(BI13:BI58)</f>
        <v>6455812503</v>
      </c>
      <c r="BJ59" s="2526">
        <f>SUM(BJ13:BJ58)</f>
        <v>962460935.66000009</v>
      </c>
      <c r="BK59" s="2527">
        <f>BJ59/BI59</f>
        <v>0.14908440033113521</v>
      </c>
      <c r="BL59" s="2525"/>
      <c r="BM59" s="2525"/>
      <c r="BN59" s="2525"/>
      <c r="BO59" s="2525"/>
      <c r="BP59" s="2525"/>
      <c r="BQ59" s="2525"/>
      <c r="BR59" s="2528"/>
    </row>
    <row r="60" spans="1:70" ht="27" customHeight="1" x14ac:dyDescent="0.2">
      <c r="A60" s="2529"/>
      <c r="B60" s="2529"/>
      <c r="C60" s="2529"/>
      <c r="D60" s="2529"/>
      <c r="E60" s="2529"/>
      <c r="F60" s="2529"/>
      <c r="G60" s="2529"/>
      <c r="H60" s="2529"/>
      <c r="I60" s="2529"/>
      <c r="J60" s="2529"/>
      <c r="K60" s="2529"/>
      <c r="L60" s="2529"/>
      <c r="M60" s="2529"/>
      <c r="N60" s="2529"/>
      <c r="O60" s="2529"/>
      <c r="P60" s="2529"/>
      <c r="Q60" s="2529"/>
      <c r="R60" s="2530"/>
      <c r="S60" s="2530"/>
      <c r="T60" s="2531"/>
      <c r="U60" s="2531"/>
      <c r="V60" s="2531"/>
      <c r="W60" s="2532"/>
      <c r="X60" s="2530"/>
      <c r="Y60" s="2530"/>
      <c r="Z60" s="2533"/>
      <c r="AA60" s="1860"/>
      <c r="AB60" s="2533"/>
      <c r="AC60" s="2533"/>
      <c r="AD60" s="2533"/>
      <c r="AE60" s="2533"/>
      <c r="AF60" s="2533"/>
      <c r="AG60" s="2533"/>
      <c r="AH60" s="2533"/>
      <c r="AI60" s="2533"/>
      <c r="AJ60" s="2533"/>
      <c r="AK60" s="2533"/>
      <c r="AL60" s="2533"/>
      <c r="AM60" s="2533"/>
      <c r="AN60" s="2533"/>
      <c r="AO60" s="2533"/>
      <c r="AP60" s="2533"/>
      <c r="AQ60" s="2533"/>
      <c r="AR60" s="2533"/>
      <c r="AS60" s="2533"/>
      <c r="AT60" s="2533"/>
      <c r="AU60" s="2533"/>
      <c r="AV60" s="2533"/>
      <c r="AW60" s="2533"/>
      <c r="AX60" s="2533"/>
      <c r="AY60" s="2533"/>
      <c r="AZ60" s="2533"/>
      <c r="BA60" s="2533"/>
      <c r="BB60" s="2533"/>
      <c r="BC60" s="2533"/>
      <c r="BD60" s="2533"/>
      <c r="BE60" s="2533"/>
      <c r="BF60" s="2533"/>
      <c r="BG60" s="2533"/>
      <c r="BH60" s="2533"/>
      <c r="BI60" s="2533"/>
      <c r="BJ60" s="2533"/>
      <c r="BK60" s="2533"/>
      <c r="BL60" s="2533"/>
      <c r="BM60" s="2533"/>
      <c r="BN60" s="2533"/>
      <c r="BO60" s="2533"/>
      <c r="BP60" s="2533"/>
      <c r="BQ60" s="2533"/>
      <c r="BR60" s="2533"/>
    </row>
    <row r="61" spans="1:70" ht="27" customHeight="1" x14ac:dyDescent="0.2">
      <c r="A61" s="2529"/>
      <c r="B61" s="2529"/>
      <c r="C61" s="2529"/>
      <c r="D61" s="2529"/>
      <c r="E61" s="2529"/>
      <c r="F61" s="2529"/>
      <c r="G61" s="2529"/>
      <c r="H61" s="2529"/>
      <c r="I61" s="2529"/>
      <c r="J61" s="2529"/>
      <c r="K61" s="2529"/>
      <c r="L61" s="2529"/>
      <c r="M61" s="2529"/>
      <c r="N61" s="2529"/>
      <c r="O61" s="2529"/>
      <c r="P61" s="2529"/>
      <c r="Q61" s="2529"/>
      <c r="R61" s="2530"/>
      <c r="S61" s="2530"/>
      <c r="T61" s="2531"/>
      <c r="U61" s="2531"/>
      <c r="V61" s="2531"/>
      <c r="W61" s="2530"/>
      <c r="X61" s="2530"/>
      <c r="Y61" s="2530"/>
      <c r="Z61" s="2533"/>
      <c r="AA61" s="1860"/>
      <c r="AB61" s="2533"/>
      <c r="AC61" s="2533"/>
      <c r="AD61" s="2533"/>
      <c r="AE61" s="2533"/>
      <c r="AF61" s="2533"/>
      <c r="AG61" s="2533"/>
      <c r="AH61" s="2533"/>
      <c r="AI61" s="2533"/>
      <c r="AJ61" s="2533"/>
      <c r="AK61" s="2533"/>
      <c r="AL61" s="2533"/>
      <c r="AM61" s="2533"/>
      <c r="AN61" s="2533"/>
      <c r="AO61" s="2533"/>
      <c r="AP61" s="2533"/>
      <c r="AQ61" s="2533"/>
      <c r="AR61" s="2533"/>
      <c r="AS61" s="2533"/>
      <c r="AT61" s="2533"/>
      <c r="AU61" s="2533"/>
      <c r="AV61" s="2533"/>
      <c r="AW61" s="2533"/>
      <c r="AX61" s="2533"/>
      <c r="AY61" s="2533"/>
      <c r="AZ61" s="2533"/>
      <c r="BA61" s="2533"/>
      <c r="BB61" s="2533"/>
      <c r="BC61" s="2533"/>
      <c r="BD61" s="2533"/>
      <c r="BE61" s="2533"/>
      <c r="BF61" s="2533"/>
      <c r="BG61" s="2533"/>
      <c r="BH61" s="2533"/>
      <c r="BI61" s="2533"/>
      <c r="BJ61" s="2533"/>
      <c r="BK61" s="2533"/>
      <c r="BL61" s="2533"/>
      <c r="BM61" s="2533"/>
      <c r="BN61" s="2533"/>
      <c r="BO61" s="2533"/>
      <c r="BP61" s="2533"/>
      <c r="BQ61" s="2533"/>
      <c r="BR61" s="2533"/>
    </row>
    <row r="62" spans="1:70" ht="27" customHeight="1" x14ac:dyDescent="0.2">
      <c r="A62" s="2529"/>
      <c r="B62" s="2529"/>
      <c r="C62" s="2529"/>
      <c r="D62" s="2529"/>
      <c r="E62" s="2529"/>
      <c r="F62" s="2529"/>
      <c r="G62" s="2529"/>
      <c r="H62" s="2529"/>
      <c r="I62" s="2529"/>
      <c r="J62" s="2529"/>
      <c r="K62" s="2529"/>
      <c r="L62" s="2529"/>
      <c r="M62" s="2529"/>
      <c r="N62" s="2529"/>
      <c r="O62" s="2529"/>
      <c r="P62" s="2529"/>
      <c r="Q62" s="2529"/>
      <c r="R62" s="2530"/>
      <c r="S62" s="2530"/>
      <c r="T62" s="2531"/>
      <c r="U62" s="2531"/>
      <c r="V62" s="2531"/>
      <c r="W62" s="2530"/>
      <c r="X62" s="2530"/>
      <c r="Y62" s="2530"/>
      <c r="Z62" s="2533"/>
      <c r="AA62" s="1860"/>
      <c r="AB62" s="2533"/>
      <c r="AC62" s="2533"/>
      <c r="AD62" s="2533"/>
      <c r="AE62" s="2533"/>
      <c r="AF62" s="2533"/>
      <c r="AG62" s="2533"/>
      <c r="AH62" s="2533"/>
      <c r="AI62" s="2533"/>
      <c r="AJ62" s="2533"/>
      <c r="AK62" s="2533"/>
      <c r="AL62" s="2533"/>
      <c r="AM62" s="2533"/>
      <c r="AN62" s="2533"/>
      <c r="AO62" s="2533"/>
      <c r="AP62" s="2533"/>
      <c r="AQ62" s="2533"/>
      <c r="AR62" s="2533"/>
      <c r="AS62" s="2533"/>
      <c r="AT62" s="2533"/>
      <c r="AU62" s="2533"/>
      <c r="AV62" s="2533"/>
      <c r="AW62" s="2533"/>
      <c r="AX62" s="2533"/>
      <c r="AY62" s="2533"/>
      <c r="AZ62" s="2533"/>
      <c r="BA62" s="2533"/>
      <c r="BB62" s="2533"/>
      <c r="BC62" s="2533"/>
      <c r="BD62" s="2533"/>
      <c r="BE62" s="2533"/>
      <c r="BF62" s="2533"/>
      <c r="BG62" s="2533"/>
      <c r="BH62" s="2533"/>
      <c r="BI62" s="2533"/>
      <c r="BJ62" s="2533"/>
      <c r="BK62" s="2533"/>
      <c r="BL62" s="2533"/>
      <c r="BM62" s="2533"/>
      <c r="BN62" s="2533"/>
      <c r="BO62" s="2533"/>
      <c r="BP62" s="2533"/>
      <c r="BQ62" s="2533"/>
      <c r="BR62" s="2533"/>
    </row>
    <row r="63" spans="1:70" ht="15.75" x14ac:dyDescent="0.2">
      <c r="S63" s="2196"/>
      <c r="W63" s="2530"/>
      <c r="X63" s="2372"/>
    </row>
    <row r="64" spans="1:70" ht="14.25" customHeight="1" x14ac:dyDescent="0.2">
      <c r="W64" s="2530"/>
    </row>
    <row r="65" spans="13:23" ht="15" x14ac:dyDescent="0.25">
      <c r="W65" s="934"/>
    </row>
    <row r="66" spans="13:23" ht="15" x14ac:dyDescent="0.25">
      <c r="M66" s="1848" t="s">
        <v>2672</v>
      </c>
      <c r="N66" s="1848"/>
      <c r="O66" s="2534"/>
      <c r="W66" s="2196"/>
    </row>
    <row r="67" spans="13:23" x14ac:dyDescent="0.2">
      <c r="M67" s="657" t="s">
        <v>2673</v>
      </c>
    </row>
    <row r="68" spans="13:23" x14ac:dyDescent="0.2">
      <c r="M68" s="657" t="s">
        <v>2674</v>
      </c>
    </row>
  </sheetData>
  <sheetProtection password="CBEB" sheet="1" objects="1" scenarios="1"/>
  <mergeCells count="442">
    <mergeCell ref="AN7:AY7"/>
    <mergeCell ref="AZ7:BE7"/>
    <mergeCell ref="P7:P9"/>
    <mergeCell ref="O13:O16"/>
    <mergeCell ref="A1:BP5"/>
    <mergeCell ref="A6:N6"/>
    <mergeCell ref="O6:BR6"/>
    <mergeCell ref="A7:A9"/>
    <mergeCell ref="B7:C9"/>
    <mergeCell ref="D7:D9"/>
    <mergeCell ref="E7:F9"/>
    <mergeCell ref="G7:H9"/>
    <mergeCell ref="I7:J9"/>
    <mergeCell ref="K7:K9"/>
    <mergeCell ref="BH7:BM7"/>
    <mergeCell ref="BN7:BO8"/>
    <mergeCell ref="BP7:BQ8"/>
    <mergeCell ref="BR7:BR9"/>
    <mergeCell ref="AB8:AC8"/>
    <mergeCell ref="AD8:AE8"/>
    <mergeCell ref="AF8:AG8"/>
    <mergeCell ref="AH8:AI8"/>
    <mergeCell ref="AJ8:AK8"/>
    <mergeCell ref="AL8:AM8"/>
    <mergeCell ref="AB7:AE7"/>
    <mergeCell ref="AF7:AM7"/>
    <mergeCell ref="BH13:BH16"/>
    <mergeCell ref="BI13:BI16"/>
    <mergeCell ref="BL8:BL9"/>
    <mergeCell ref="BM8:BM9"/>
    <mergeCell ref="J13:J16"/>
    <mergeCell ref="K13:K16"/>
    <mergeCell ref="L13:L16"/>
    <mergeCell ref="M13:M16"/>
    <mergeCell ref="N13:N16"/>
    <mergeCell ref="AV8:AW8"/>
    <mergeCell ref="AX8:AY8"/>
    <mergeCell ref="AZ8:BA8"/>
    <mergeCell ref="BB8:BC8"/>
    <mergeCell ref="BD8:BE8"/>
    <mergeCell ref="BH8:BH9"/>
    <mergeCell ref="AA7:AA9"/>
    <mergeCell ref="S7:S9"/>
    <mergeCell ref="T7:T9"/>
    <mergeCell ref="U7:U9"/>
    <mergeCell ref="V7:V9"/>
    <mergeCell ref="W7:Y8"/>
    <mergeCell ref="L7:L9"/>
    <mergeCell ref="M7:N8"/>
    <mergeCell ref="O7:O9"/>
    <mergeCell ref="P13:P16"/>
    <mergeCell ref="Q13:Q16"/>
    <mergeCell ref="R13:R16"/>
    <mergeCell ref="S13:S16"/>
    <mergeCell ref="BI8:BI9"/>
    <mergeCell ref="BJ8:BJ9"/>
    <mergeCell ref="BK8:BK9"/>
    <mergeCell ref="Q7:Q9"/>
    <mergeCell ref="R7:R9"/>
    <mergeCell ref="AH13:AH16"/>
    <mergeCell ref="AI13:AI16"/>
    <mergeCell ref="AJ13:AJ16"/>
    <mergeCell ref="AK13:AK16"/>
    <mergeCell ref="U13:U14"/>
    <mergeCell ref="V13:V16"/>
    <mergeCell ref="AB13:AB16"/>
    <mergeCell ref="AC13:AC16"/>
    <mergeCell ref="AD13:AD16"/>
    <mergeCell ref="AE13:AE16"/>
    <mergeCell ref="Z7:Z9"/>
    <mergeCell ref="T13:T16"/>
    <mergeCell ref="BF7:BG8"/>
    <mergeCell ref="AN8:AO8"/>
    <mergeCell ref="AP8:AQ8"/>
    <mergeCell ref="AY13:AY16"/>
    <mergeCell ref="AZ13:AZ16"/>
    <mergeCell ref="BA13:BA16"/>
    <mergeCell ref="BB13:BB16"/>
    <mergeCell ref="BC13:BC16"/>
    <mergeCell ref="AR8:AS8"/>
    <mergeCell ref="AT8:AU8"/>
    <mergeCell ref="J17:J18"/>
    <mergeCell ref="K17:K18"/>
    <mergeCell ref="L17:L18"/>
    <mergeCell ref="M17:M18"/>
    <mergeCell ref="N17:N18"/>
    <mergeCell ref="O17:O18"/>
    <mergeCell ref="BJ13:BJ16"/>
    <mergeCell ref="AR13:AR16"/>
    <mergeCell ref="AS13:AS16"/>
    <mergeCell ref="AT13:AT16"/>
    <mergeCell ref="P17:P18"/>
    <mergeCell ref="Q17:Q18"/>
    <mergeCell ref="R17:R18"/>
    <mergeCell ref="S17:S18"/>
    <mergeCell ref="T17:T18"/>
    <mergeCell ref="V17:V18"/>
    <mergeCell ref="W17:W18"/>
    <mergeCell ref="X17:X18"/>
    <mergeCell ref="Y17:Y18"/>
    <mergeCell ref="Z17:Z18"/>
    <mergeCell ref="AA17:AA18"/>
    <mergeCell ref="AB17:AB18"/>
    <mergeCell ref="AO17:AO18"/>
    <mergeCell ref="U15:U16"/>
    <mergeCell ref="BM13:BM16"/>
    <mergeCell ref="BN13:BN16"/>
    <mergeCell ref="BO13:BO16"/>
    <mergeCell ref="AU13:AU16"/>
    <mergeCell ref="AV13:AV16"/>
    <mergeCell ref="AW13:AW16"/>
    <mergeCell ref="AL13:AL16"/>
    <mergeCell ref="AM13:AM16"/>
    <mergeCell ref="AN13:AN16"/>
    <mergeCell ref="AO13:AO16"/>
    <mergeCell ref="AP13:AP16"/>
    <mergeCell ref="AQ13:AQ16"/>
    <mergeCell ref="AF13:AF16"/>
    <mergeCell ref="AG13:AG16"/>
    <mergeCell ref="BK13:BK16"/>
    <mergeCell ref="BL13:BL16"/>
    <mergeCell ref="BD13:BD16"/>
    <mergeCell ref="BE13:BE16"/>
    <mergeCell ref="BF13:BF16"/>
    <mergeCell ref="BG13:BG16"/>
    <mergeCell ref="AX13:AX16"/>
    <mergeCell ref="AC17:AC18"/>
    <mergeCell ref="AD17:AD18"/>
    <mergeCell ref="AE17:AE18"/>
    <mergeCell ref="AF17:AF18"/>
    <mergeCell ref="AG17:AG18"/>
    <mergeCell ref="AH17:AH18"/>
    <mergeCell ref="AR17:AR18"/>
    <mergeCell ref="BQ13:BQ16"/>
    <mergeCell ref="BR13:BR16"/>
    <mergeCell ref="BP13:BP16"/>
    <mergeCell ref="AS17:AS18"/>
    <mergeCell ref="AT17:AT18"/>
    <mergeCell ref="AI17:AI18"/>
    <mergeCell ref="AJ17:AJ18"/>
    <mergeCell ref="AK17:AK18"/>
    <mergeCell ref="AL17:AL18"/>
    <mergeCell ref="AM17:AM18"/>
    <mergeCell ref="AN17:AN18"/>
    <mergeCell ref="BA17:BA18"/>
    <mergeCell ref="AP17:AP18"/>
    <mergeCell ref="AQ17:AQ18"/>
    <mergeCell ref="BB17:BB18"/>
    <mergeCell ref="BC17:BC18"/>
    <mergeCell ref="BD17:BD18"/>
    <mergeCell ref="BE17:BE18"/>
    <mergeCell ref="BF17:BF18"/>
    <mergeCell ref="AU17:AU18"/>
    <mergeCell ref="AV17:AV18"/>
    <mergeCell ref="AW17:AW18"/>
    <mergeCell ref="AX17:AX18"/>
    <mergeCell ref="AY17:AY18"/>
    <mergeCell ref="AZ17:AZ18"/>
    <mergeCell ref="BM17:BM18"/>
    <mergeCell ref="BN17:BN18"/>
    <mergeCell ref="BO17:BO18"/>
    <mergeCell ref="BP17:BP18"/>
    <mergeCell ref="BQ17:BQ18"/>
    <mergeCell ref="BR17:BR18"/>
    <mergeCell ref="BG17:BG18"/>
    <mergeCell ref="BH17:BH18"/>
    <mergeCell ref="BI17:BI18"/>
    <mergeCell ref="BJ17:BJ18"/>
    <mergeCell ref="BK17:BK18"/>
    <mergeCell ref="BL17:BL18"/>
    <mergeCell ref="P19:P20"/>
    <mergeCell ref="Q19:Q20"/>
    <mergeCell ref="R19:R20"/>
    <mergeCell ref="S19:S20"/>
    <mergeCell ref="T19:T20"/>
    <mergeCell ref="V19:V20"/>
    <mergeCell ref="J19:J20"/>
    <mergeCell ref="K19:K20"/>
    <mergeCell ref="L19:L20"/>
    <mergeCell ref="M19:M20"/>
    <mergeCell ref="N19:N20"/>
    <mergeCell ref="O19:O20"/>
    <mergeCell ref="AC19:AC20"/>
    <mergeCell ref="AD19:AD20"/>
    <mergeCell ref="AE19:AE20"/>
    <mergeCell ref="AF19:AF20"/>
    <mergeCell ref="AG19:AG20"/>
    <mergeCell ref="AH19:AH20"/>
    <mergeCell ref="W19:W20"/>
    <mergeCell ref="X19:X20"/>
    <mergeCell ref="Y19:Y20"/>
    <mergeCell ref="Z19:Z20"/>
    <mergeCell ref="AA19:AA20"/>
    <mergeCell ref="AB19:AB20"/>
    <mergeCell ref="AR19:AR20"/>
    <mergeCell ref="AS19:AS20"/>
    <mergeCell ref="AT19:AT20"/>
    <mergeCell ref="AI19:AI20"/>
    <mergeCell ref="AJ19:AJ20"/>
    <mergeCell ref="AK19:AK20"/>
    <mergeCell ref="AL19:AL20"/>
    <mergeCell ref="AM19:AM20"/>
    <mergeCell ref="AN19:AN20"/>
    <mergeCell ref="BP19:BP20"/>
    <mergeCell ref="BQ19:BQ20"/>
    <mergeCell ref="BR19:BR20"/>
    <mergeCell ref="BG19:BG20"/>
    <mergeCell ref="BH19:BH20"/>
    <mergeCell ref="BI19:BI20"/>
    <mergeCell ref="BJ19:BJ20"/>
    <mergeCell ref="BK19:BK20"/>
    <mergeCell ref="BL19:BL20"/>
    <mergeCell ref="J22:J23"/>
    <mergeCell ref="K22:K23"/>
    <mergeCell ref="L22:L23"/>
    <mergeCell ref="M22:M23"/>
    <mergeCell ref="N22:N23"/>
    <mergeCell ref="O22:O23"/>
    <mergeCell ref="BM19:BM20"/>
    <mergeCell ref="BN19:BN20"/>
    <mergeCell ref="BO19:BO20"/>
    <mergeCell ref="BA19:BA20"/>
    <mergeCell ref="BB19:BB20"/>
    <mergeCell ref="BC19:BC20"/>
    <mergeCell ref="BD19:BD20"/>
    <mergeCell ref="BE19:BE20"/>
    <mergeCell ref="BF19:BF20"/>
    <mergeCell ref="AU19:AU20"/>
    <mergeCell ref="AV19:AV20"/>
    <mergeCell ref="AW19:AW20"/>
    <mergeCell ref="AX19:AX20"/>
    <mergeCell ref="AY19:AY20"/>
    <mergeCell ref="AZ19:AZ20"/>
    <mergeCell ref="AO19:AO20"/>
    <mergeCell ref="AP19:AP20"/>
    <mergeCell ref="AQ19:AQ20"/>
    <mergeCell ref="AC22:AC23"/>
    <mergeCell ref="AD22:AD23"/>
    <mergeCell ref="AE22:AE23"/>
    <mergeCell ref="AF22:AF23"/>
    <mergeCell ref="AG22:AG23"/>
    <mergeCell ref="AH22:AH23"/>
    <mergeCell ref="P22:P23"/>
    <mergeCell ref="Q22:Q23"/>
    <mergeCell ref="R22:R23"/>
    <mergeCell ref="S22:S23"/>
    <mergeCell ref="T22:T23"/>
    <mergeCell ref="AB22:AB23"/>
    <mergeCell ref="AO22:AO23"/>
    <mergeCell ref="AP22:AP23"/>
    <mergeCell ref="AQ22:AQ23"/>
    <mergeCell ref="AR22:AR23"/>
    <mergeCell ref="AS22:AS23"/>
    <mergeCell ref="AT22:AT23"/>
    <mergeCell ref="AI22:AI23"/>
    <mergeCell ref="AJ22:AJ23"/>
    <mergeCell ref="AK22:AK23"/>
    <mergeCell ref="AL22:AL23"/>
    <mergeCell ref="AM22:AM23"/>
    <mergeCell ref="AN22:AN23"/>
    <mergeCell ref="BA22:BA23"/>
    <mergeCell ref="BB22:BB23"/>
    <mergeCell ref="BC22:BC23"/>
    <mergeCell ref="BD22:BD23"/>
    <mergeCell ref="BE22:BE23"/>
    <mergeCell ref="BF22:BF23"/>
    <mergeCell ref="AU22:AU23"/>
    <mergeCell ref="AV22:AV23"/>
    <mergeCell ref="AW22:AW23"/>
    <mergeCell ref="AX22:AX23"/>
    <mergeCell ref="AY22:AY23"/>
    <mergeCell ref="AZ22:AZ23"/>
    <mergeCell ref="BM22:BM23"/>
    <mergeCell ref="BN22:BN23"/>
    <mergeCell ref="BO22:BO23"/>
    <mergeCell ref="BP22:BP23"/>
    <mergeCell ref="BQ22:BQ23"/>
    <mergeCell ref="BR22:BR23"/>
    <mergeCell ref="BG22:BG23"/>
    <mergeCell ref="BH22:BH23"/>
    <mergeCell ref="BI22:BI23"/>
    <mergeCell ref="BJ22:BJ23"/>
    <mergeCell ref="BK22:BK23"/>
    <mergeCell ref="BL22:BL23"/>
    <mergeCell ref="M27:M31"/>
    <mergeCell ref="N27:N31"/>
    <mergeCell ref="P27:P36"/>
    <mergeCell ref="Q27:Q36"/>
    <mergeCell ref="R27:R31"/>
    <mergeCell ref="S27:S36"/>
    <mergeCell ref="A25:A36"/>
    <mergeCell ref="B25:C36"/>
    <mergeCell ref="D26:F36"/>
    <mergeCell ref="J27:J31"/>
    <mergeCell ref="K27:K31"/>
    <mergeCell ref="L27:L31"/>
    <mergeCell ref="AF27:AF36"/>
    <mergeCell ref="AG27:AG36"/>
    <mergeCell ref="AH27:AH36"/>
    <mergeCell ref="AI27:AI36"/>
    <mergeCell ref="AJ27:AJ36"/>
    <mergeCell ref="AK27:AL36"/>
    <mergeCell ref="T27:T36"/>
    <mergeCell ref="U27:U31"/>
    <mergeCell ref="AB27:AB36"/>
    <mergeCell ref="AC27:AC36"/>
    <mergeCell ref="AD27:AD36"/>
    <mergeCell ref="AE27:AE36"/>
    <mergeCell ref="V32:V33"/>
    <mergeCell ref="V34:V35"/>
    <mergeCell ref="AS27:AS36"/>
    <mergeCell ref="AT27:AT36"/>
    <mergeCell ref="AU27:AU36"/>
    <mergeCell ref="AV27:AV36"/>
    <mergeCell ref="AW27:AW36"/>
    <mergeCell ref="AX27:AX36"/>
    <mergeCell ref="AM27:AM36"/>
    <mergeCell ref="AN27:AN36"/>
    <mergeCell ref="AO27:AO36"/>
    <mergeCell ref="AP27:AP36"/>
    <mergeCell ref="AQ27:AQ36"/>
    <mergeCell ref="AR27:AR36"/>
    <mergeCell ref="BE27:BE36"/>
    <mergeCell ref="BF27:BF36"/>
    <mergeCell ref="BG27:BG36"/>
    <mergeCell ref="BH27:BH36"/>
    <mergeCell ref="BI27:BI36"/>
    <mergeCell ref="BJ27:BJ36"/>
    <mergeCell ref="AY27:AY36"/>
    <mergeCell ref="AZ27:AZ36"/>
    <mergeCell ref="BA27:BA36"/>
    <mergeCell ref="BB27:BB36"/>
    <mergeCell ref="BC27:BC36"/>
    <mergeCell ref="BD27:BD36"/>
    <mergeCell ref="AB37:BR37"/>
    <mergeCell ref="G38:I58"/>
    <mergeCell ref="J38:J43"/>
    <mergeCell ref="K38:K43"/>
    <mergeCell ref="L38:L43"/>
    <mergeCell ref="M38:M43"/>
    <mergeCell ref="N38:N43"/>
    <mergeCell ref="O38:O57"/>
    <mergeCell ref="BQ27:BQ36"/>
    <mergeCell ref="BR27:BR36"/>
    <mergeCell ref="V29:V30"/>
    <mergeCell ref="J32:J36"/>
    <mergeCell ref="K32:K36"/>
    <mergeCell ref="L32:L36"/>
    <mergeCell ref="M32:M36"/>
    <mergeCell ref="N32:N36"/>
    <mergeCell ref="R32:R36"/>
    <mergeCell ref="U32:U36"/>
    <mergeCell ref="BK27:BK36"/>
    <mergeCell ref="BL27:BL36"/>
    <mergeCell ref="BM27:BM36"/>
    <mergeCell ref="BN27:BN36"/>
    <mergeCell ref="BO27:BO36"/>
    <mergeCell ref="BP27:BP36"/>
    <mergeCell ref="AB38:AB58"/>
    <mergeCell ref="AC38:AC58"/>
    <mergeCell ref="AD38:AD58"/>
    <mergeCell ref="AE38:AE58"/>
    <mergeCell ref="AF38:AF58"/>
    <mergeCell ref="AG38:AG58"/>
    <mergeCell ref="P38:P57"/>
    <mergeCell ref="Q38:Q57"/>
    <mergeCell ref="R38:R43"/>
    <mergeCell ref="S38:S57"/>
    <mergeCell ref="T38:T57"/>
    <mergeCell ref="U38:U57"/>
    <mergeCell ref="AN38:AN58"/>
    <mergeCell ref="AO38:AO58"/>
    <mergeCell ref="AP38:AP58"/>
    <mergeCell ref="AQ38:AQ58"/>
    <mergeCell ref="AR38:AR58"/>
    <mergeCell ref="AS38:AS58"/>
    <mergeCell ref="AH38:AH58"/>
    <mergeCell ref="AI38:AI58"/>
    <mergeCell ref="AJ38:AJ58"/>
    <mergeCell ref="AK38:AK58"/>
    <mergeCell ref="AL38:AL58"/>
    <mergeCell ref="AM38:AM58"/>
    <mergeCell ref="AZ38:AZ58"/>
    <mergeCell ref="BA38:BA58"/>
    <mergeCell ref="BB38:BB58"/>
    <mergeCell ref="BC38:BC58"/>
    <mergeCell ref="BD38:BD58"/>
    <mergeCell ref="BE38:BE58"/>
    <mergeCell ref="AT38:AT58"/>
    <mergeCell ref="AU38:AU58"/>
    <mergeCell ref="AV38:AV58"/>
    <mergeCell ref="AW38:AW58"/>
    <mergeCell ref="AX38:AX58"/>
    <mergeCell ref="AY38:AY58"/>
    <mergeCell ref="M44:M45"/>
    <mergeCell ref="N44:N45"/>
    <mergeCell ref="R44:R45"/>
    <mergeCell ref="BR38:BR58"/>
    <mergeCell ref="V40:V42"/>
    <mergeCell ref="W41:W42"/>
    <mergeCell ref="X41:X42"/>
    <mergeCell ref="Y41:Y42"/>
    <mergeCell ref="Z41:Z42"/>
    <mergeCell ref="AA41:AA42"/>
    <mergeCell ref="V47:V48"/>
    <mergeCell ref="V49:V50"/>
    <mergeCell ref="BL38:BL58"/>
    <mergeCell ref="BM38:BM58"/>
    <mergeCell ref="BN38:BN58"/>
    <mergeCell ref="BO38:BO58"/>
    <mergeCell ref="BP38:BP58"/>
    <mergeCell ref="BQ38:BQ58"/>
    <mergeCell ref="BF38:BF58"/>
    <mergeCell ref="BG38:BG58"/>
    <mergeCell ref="BH38:BH58"/>
    <mergeCell ref="BI38:BI57"/>
    <mergeCell ref="BJ38:BJ57"/>
    <mergeCell ref="BK38:BK58"/>
    <mergeCell ref="A59:Q59"/>
    <mergeCell ref="J54:J55"/>
    <mergeCell ref="K54:K55"/>
    <mergeCell ref="L54:L55"/>
    <mergeCell ref="M54:M55"/>
    <mergeCell ref="N54:N55"/>
    <mergeCell ref="R54:R55"/>
    <mergeCell ref="J52:J53"/>
    <mergeCell ref="K52:K53"/>
    <mergeCell ref="L52:L53"/>
    <mergeCell ref="M52:M53"/>
    <mergeCell ref="N52:N53"/>
    <mergeCell ref="R52:R53"/>
    <mergeCell ref="A37:A58"/>
    <mergeCell ref="D37:F58"/>
    <mergeCell ref="J46:J51"/>
    <mergeCell ref="K46:K51"/>
    <mergeCell ref="L46:L51"/>
    <mergeCell ref="M46:M51"/>
    <mergeCell ref="N46:N51"/>
    <mergeCell ref="R46:R51"/>
    <mergeCell ref="J44:J45"/>
    <mergeCell ref="K44:K45"/>
    <mergeCell ref="L44:L45"/>
  </mergeCells>
  <pageMargins left="0.7" right="0.7" top="0.75" bottom="0.75" header="0.3" footer="0.3"/>
  <pageSetup orientation="portrait" horizontalDpi="4294967295" verticalDpi="4294967295"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CL196"/>
  <sheetViews>
    <sheetView showGridLines="0" zoomScale="60" zoomScaleNormal="60" workbookViewId="0">
      <selection sqref="A1:BN4"/>
    </sheetView>
  </sheetViews>
  <sheetFormatPr baseColWidth="10" defaultColWidth="11.42578125" defaultRowHeight="27" customHeight="1" x14ac:dyDescent="0.2"/>
  <cols>
    <col min="1" max="1" width="13.140625" style="1786" customWidth="1"/>
    <col min="2" max="2" width="4" style="2" customWidth="1"/>
    <col min="3" max="3" width="15.42578125" style="2" customWidth="1"/>
    <col min="4" max="4" width="14.7109375" style="2" customWidth="1"/>
    <col min="5" max="5" width="10" style="2" customWidth="1"/>
    <col min="6" max="6" width="13.5703125" style="2" customWidth="1"/>
    <col min="7" max="7" width="14.28515625" style="2" customWidth="1"/>
    <col min="8" max="8" width="8.5703125" style="2" customWidth="1"/>
    <col min="9" max="9" width="16.85546875" style="2" customWidth="1"/>
    <col min="10" max="10" width="18.140625" style="2" customWidth="1"/>
    <col min="11" max="11" width="44" style="1663" customWidth="1"/>
    <col min="12" max="12" width="27.7109375" style="717" customWidth="1"/>
    <col min="13" max="14" width="17.28515625" style="52" customWidth="1"/>
    <col min="15" max="15" width="37.28515625" style="717" customWidth="1"/>
    <col min="16" max="16" width="20.7109375" style="913" customWidth="1"/>
    <col min="17" max="17" width="18.42578125" style="912" customWidth="1"/>
    <col min="18" max="18" width="15" style="1790" customWidth="1"/>
    <col min="19" max="19" width="29.85546875" style="2102" customWidth="1"/>
    <col min="20" max="20" width="29.85546875" style="912" customWidth="1"/>
    <col min="21" max="21" width="31" style="912" customWidth="1"/>
    <col min="22" max="22" width="43.5703125" style="1663" customWidth="1"/>
    <col min="23" max="23" width="27.140625" style="2103" customWidth="1"/>
    <col min="24" max="24" width="25.85546875" style="917" customWidth="1"/>
    <col min="25" max="25" width="25.42578125" style="918" customWidth="1"/>
    <col min="26" max="26" width="21.85546875" style="918" customWidth="1"/>
    <col min="27" max="27" width="26.140625" style="918" customWidth="1"/>
    <col min="28" max="28" width="9.28515625" style="2" customWidth="1"/>
    <col min="29" max="29" width="11.140625" style="2" customWidth="1"/>
    <col min="30" max="30" width="9.28515625" style="2" bestFit="1" customWidth="1"/>
    <col min="31" max="31" width="8.7109375" style="2" customWidth="1"/>
    <col min="32" max="32" width="9.28515625" style="2" bestFit="1" customWidth="1"/>
    <col min="33" max="33" width="9.28515625" style="2" customWidth="1"/>
    <col min="34" max="34" width="8.85546875" style="2" bestFit="1" customWidth="1"/>
    <col min="35" max="35" width="10.140625" style="2" customWidth="1"/>
    <col min="36" max="36" width="9.7109375" style="2" customWidth="1"/>
    <col min="37" max="37" width="12.140625" style="2" customWidth="1"/>
    <col min="38" max="39" width="10.140625" style="2" customWidth="1"/>
    <col min="40" max="40" width="6.85546875" style="2" bestFit="1" customWidth="1"/>
    <col min="41" max="41" width="6.85546875" style="2" customWidth="1"/>
    <col min="42" max="42" width="8.140625" style="2" bestFit="1" customWidth="1"/>
    <col min="43" max="43" width="8.140625" style="2" customWidth="1"/>
    <col min="44" max="49" width="7.140625" style="2" customWidth="1"/>
    <col min="50" max="50" width="5.5703125" style="2" customWidth="1"/>
    <col min="51" max="51" width="6.42578125" style="2" customWidth="1"/>
    <col min="52" max="53" width="8.7109375" style="2" customWidth="1"/>
    <col min="54" max="55" width="9.5703125" style="2" customWidth="1"/>
    <col min="56" max="57" width="9" style="2" customWidth="1"/>
    <col min="58" max="58" width="11" style="2" customWidth="1"/>
    <col min="59" max="59" width="10.42578125" style="2" customWidth="1"/>
    <col min="60" max="60" width="22.85546875" style="2" customWidth="1"/>
    <col min="61" max="61" width="30.7109375" style="2" customWidth="1"/>
    <col min="62" max="62" width="24.5703125" style="2" customWidth="1"/>
    <col min="63" max="63" width="18.42578125" style="2" customWidth="1"/>
    <col min="64" max="64" width="20.140625" style="2" customWidth="1"/>
    <col min="65" max="65" width="22.140625" style="2" customWidth="1"/>
    <col min="66" max="67" width="13" style="919" customWidth="1"/>
    <col min="68" max="68" width="14" style="651" customWidth="1"/>
    <col min="69" max="69" width="17.42578125" style="651" customWidth="1"/>
    <col min="70" max="70" width="23" style="570" customWidth="1"/>
    <col min="71" max="16384" width="11.42578125" style="2"/>
  </cols>
  <sheetData>
    <row r="1" spans="1:90" ht="16.5" customHeight="1" x14ac:dyDescent="0.2">
      <c r="A1" s="3239" t="s">
        <v>1818</v>
      </c>
      <c r="B1" s="3240"/>
      <c r="C1" s="3240"/>
      <c r="D1" s="3240"/>
      <c r="E1" s="3240"/>
      <c r="F1" s="3240"/>
      <c r="G1" s="3240"/>
      <c r="H1" s="3240"/>
      <c r="I1" s="3240"/>
      <c r="J1" s="3240"/>
      <c r="K1" s="3240"/>
      <c r="L1" s="3240"/>
      <c r="M1" s="3240"/>
      <c r="N1" s="3240"/>
      <c r="O1" s="3240"/>
      <c r="P1" s="3240"/>
      <c r="Q1" s="3240"/>
      <c r="R1" s="3240"/>
      <c r="S1" s="3240"/>
      <c r="T1" s="3240"/>
      <c r="U1" s="3240"/>
      <c r="V1" s="3240"/>
      <c r="W1" s="3240"/>
      <c r="X1" s="3240"/>
      <c r="Y1" s="3240"/>
      <c r="Z1" s="3240"/>
      <c r="AA1" s="3240"/>
      <c r="AB1" s="3240"/>
      <c r="AC1" s="3240"/>
      <c r="AD1" s="3240"/>
      <c r="AE1" s="3240"/>
      <c r="AF1" s="3240"/>
      <c r="AG1" s="3240"/>
      <c r="AH1" s="3240"/>
      <c r="AI1" s="3240"/>
      <c r="AJ1" s="3240"/>
      <c r="AK1" s="3240"/>
      <c r="AL1" s="3240"/>
      <c r="AM1" s="3240"/>
      <c r="AN1" s="3240"/>
      <c r="AO1" s="3240"/>
      <c r="AP1" s="3240"/>
      <c r="AQ1" s="3240"/>
      <c r="AR1" s="3240"/>
      <c r="AS1" s="3240"/>
      <c r="AT1" s="3240"/>
      <c r="AU1" s="3240"/>
      <c r="AV1" s="3240"/>
      <c r="AW1" s="3240"/>
      <c r="AX1" s="3240"/>
      <c r="AY1" s="3240"/>
      <c r="AZ1" s="3240"/>
      <c r="BA1" s="3240"/>
      <c r="BB1" s="3240"/>
      <c r="BC1" s="3240"/>
      <c r="BD1" s="3240"/>
      <c r="BE1" s="3240"/>
      <c r="BF1" s="3240"/>
      <c r="BG1" s="3240"/>
      <c r="BH1" s="3240"/>
      <c r="BI1" s="3240"/>
      <c r="BJ1" s="3240"/>
      <c r="BK1" s="3240"/>
      <c r="BL1" s="3240"/>
      <c r="BM1" s="3240"/>
      <c r="BN1" s="3240"/>
      <c r="BO1" s="1851"/>
      <c r="BQ1" s="1852" t="s">
        <v>1</v>
      </c>
      <c r="BR1" s="2629" t="s">
        <v>2</v>
      </c>
      <c r="BS1" s="52"/>
      <c r="BT1" s="52"/>
      <c r="BU1" s="52"/>
      <c r="BV1" s="52"/>
      <c r="BW1" s="52"/>
      <c r="BX1" s="52"/>
      <c r="BY1" s="52"/>
      <c r="BZ1" s="52"/>
      <c r="CA1" s="52"/>
      <c r="CB1" s="52"/>
      <c r="CC1" s="52"/>
      <c r="CD1" s="52"/>
      <c r="CE1" s="52"/>
      <c r="CF1" s="52"/>
      <c r="CG1" s="52"/>
      <c r="CH1" s="52"/>
      <c r="CI1" s="52"/>
      <c r="CJ1" s="52"/>
      <c r="CK1" s="52"/>
      <c r="CL1" s="52"/>
    </row>
    <row r="2" spans="1:90" ht="16.5" customHeight="1" x14ac:dyDescent="0.2">
      <c r="A2" s="3241"/>
      <c r="B2" s="2991"/>
      <c r="C2" s="2991"/>
      <c r="D2" s="2991"/>
      <c r="E2" s="2991"/>
      <c r="F2" s="2991"/>
      <c r="G2" s="2991"/>
      <c r="H2" s="2991"/>
      <c r="I2" s="2991"/>
      <c r="J2" s="2991"/>
      <c r="K2" s="2991"/>
      <c r="L2" s="2991"/>
      <c r="M2" s="2991"/>
      <c r="N2" s="2991"/>
      <c r="O2" s="2991"/>
      <c r="P2" s="2991"/>
      <c r="Q2" s="2991"/>
      <c r="R2" s="2991"/>
      <c r="S2" s="2991"/>
      <c r="T2" s="2991"/>
      <c r="U2" s="2991"/>
      <c r="V2" s="2991"/>
      <c r="W2" s="2991"/>
      <c r="X2" s="2991"/>
      <c r="Y2" s="2991"/>
      <c r="Z2" s="2991"/>
      <c r="AA2" s="2991"/>
      <c r="AB2" s="2991"/>
      <c r="AC2" s="2991"/>
      <c r="AD2" s="2991"/>
      <c r="AE2" s="2991"/>
      <c r="AF2" s="2991"/>
      <c r="AG2" s="2991"/>
      <c r="AH2" s="2991"/>
      <c r="AI2" s="2991"/>
      <c r="AJ2" s="2991"/>
      <c r="AK2" s="2991"/>
      <c r="AL2" s="2991"/>
      <c r="AM2" s="2991"/>
      <c r="AN2" s="2991"/>
      <c r="AO2" s="2991"/>
      <c r="AP2" s="2991"/>
      <c r="AQ2" s="2991"/>
      <c r="AR2" s="2991"/>
      <c r="AS2" s="2991"/>
      <c r="AT2" s="2991"/>
      <c r="AU2" s="2991"/>
      <c r="AV2" s="2991"/>
      <c r="AW2" s="2991"/>
      <c r="AX2" s="2991"/>
      <c r="AY2" s="2991"/>
      <c r="AZ2" s="2991"/>
      <c r="BA2" s="2991"/>
      <c r="BB2" s="2991"/>
      <c r="BC2" s="2991"/>
      <c r="BD2" s="2991"/>
      <c r="BE2" s="2991"/>
      <c r="BF2" s="2991"/>
      <c r="BG2" s="2991"/>
      <c r="BH2" s="2991"/>
      <c r="BI2" s="2991"/>
      <c r="BJ2" s="2991"/>
      <c r="BK2" s="2991"/>
      <c r="BL2" s="2991"/>
      <c r="BM2" s="2991"/>
      <c r="BN2" s="2991"/>
      <c r="BO2" s="1717"/>
      <c r="BQ2" s="1853" t="s">
        <v>3</v>
      </c>
      <c r="BR2" s="2630" t="s">
        <v>519</v>
      </c>
      <c r="BS2" s="52"/>
      <c r="BT2" s="52"/>
      <c r="BU2" s="52"/>
      <c r="BV2" s="52"/>
      <c r="BW2" s="52"/>
      <c r="BX2" s="52"/>
      <c r="BY2" s="52"/>
      <c r="BZ2" s="52"/>
      <c r="CA2" s="52"/>
      <c r="CB2" s="52"/>
      <c r="CC2" s="52"/>
      <c r="CD2" s="52"/>
      <c r="CE2" s="52"/>
      <c r="CF2" s="52"/>
      <c r="CG2" s="52"/>
      <c r="CH2" s="52"/>
      <c r="CI2" s="52"/>
      <c r="CJ2" s="52"/>
      <c r="CK2" s="52"/>
      <c r="CL2" s="52"/>
    </row>
    <row r="3" spans="1:90" ht="16.5" customHeight="1" x14ac:dyDescent="0.2">
      <c r="A3" s="3241"/>
      <c r="B3" s="2991"/>
      <c r="C3" s="2991"/>
      <c r="D3" s="2991"/>
      <c r="E3" s="2991"/>
      <c r="F3" s="2991"/>
      <c r="G3" s="2991"/>
      <c r="H3" s="2991"/>
      <c r="I3" s="2991"/>
      <c r="J3" s="2991"/>
      <c r="K3" s="2991"/>
      <c r="L3" s="2991"/>
      <c r="M3" s="2991"/>
      <c r="N3" s="2991"/>
      <c r="O3" s="2991"/>
      <c r="P3" s="2991"/>
      <c r="Q3" s="2991"/>
      <c r="R3" s="2991"/>
      <c r="S3" s="2991"/>
      <c r="T3" s="2991"/>
      <c r="U3" s="2991"/>
      <c r="V3" s="2991"/>
      <c r="W3" s="2991"/>
      <c r="X3" s="2991"/>
      <c r="Y3" s="2991"/>
      <c r="Z3" s="2991"/>
      <c r="AA3" s="2991"/>
      <c r="AB3" s="2991"/>
      <c r="AC3" s="2991"/>
      <c r="AD3" s="2991"/>
      <c r="AE3" s="2991"/>
      <c r="AF3" s="2991"/>
      <c r="AG3" s="2991"/>
      <c r="AH3" s="2991"/>
      <c r="AI3" s="2991"/>
      <c r="AJ3" s="2991"/>
      <c r="AK3" s="2991"/>
      <c r="AL3" s="2991"/>
      <c r="AM3" s="2991"/>
      <c r="AN3" s="2991"/>
      <c r="AO3" s="2991"/>
      <c r="AP3" s="2991"/>
      <c r="AQ3" s="2991"/>
      <c r="AR3" s="2991"/>
      <c r="AS3" s="2991"/>
      <c r="AT3" s="2991"/>
      <c r="AU3" s="2991"/>
      <c r="AV3" s="2991"/>
      <c r="AW3" s="2991"/>
      <c r="AX3" s="2991"/>
      <c r="AY3" s="2991"/>
      <c r="AZ3" s="2991"/>
      <c r="BA3" s="2991"/>
      <c r="BB3" s="2991"/>
      <c r="BC3" s="2991"/>
      <c r="BD3" s="2991"/>
      <c r="BE3" s="2991"/>
      <c r="BF3" s="2991"/>
      <c r="BG3" s="2991"/>
      <c r="BH3" s="2991"/>
      <c r="BI3" s="2991"/>
      <c r="BJ3" s="2991"/>
      <c r="BK3" s="2991"/>
      <c r="BL3" s="2991"/>
      <c r="BM3" s="2991"/>
      <c r="BN3" s="2991"/>
      <c r="BO3" s="1717"/>
      <c r="BQ3" s="1176" t="s">
        <v>4</v>
      </c>
      <c r="BR3" s="2630" t="s">
        <v>5</v>
      </c>
      <c r="BS3" s="52"/>
      <c r="BT3" s="52"/>
      <c r="BU3" s="52"/>
      <c r="BV3" s="52"/>
      <c r="BW3" s="52"/>
      <c r="BX3" s="52"/>
      <c r="BY3" s="52"/>
      <c r="BZ3" s="52"/>
      <c r="CA3" s="52"/>
      <c r="CB3" s="52"/>
      <c r="CC3" s="52"/>
      <c r="CD3" s="52"/>
      <c r="CE3" s="52"/>
      <c r="CF3" s="52"/>
      <c r="CG3" s="52"/>
      <c r="CH3" s="52"/>
      <c r="CI3" s="52"/>
      <c r="CJ3" s="52"/>
      <c r="CK3" s="52"/>
      <c r="CL3" s="52"/>
    </row>
    <row r="4" spans="1:90" ht="16.5" customHeight="1" x14ac:dyDescent="0.2">
      <c r="A4" s="3242"/>
      <c r="B4" s="2746"/>
      <c r="C4" s="2746"/>
      <c r="D4" s="2746"/>
      <c r="E4" s="2746"/>
      <c r="F4" s="2746"/>
      <c r="G4" s="2746"/>
      <c r="H4" s="2746"/>
      <c r="I4" s="2746"/>
      <c r="J4" s="2746"/>
      <c r="K4" s="2746"/>
      <c r="L4" s="2746"/>
      <c r="M4" s="2746"/>
      <c r="N4" s="2746"/>
      <c r="O4" s="2746"/>
      <c r="P4" s="2746"/>
      <c r="Q4" s="2746"/>
      <c r="R4" s="2746"/>
      <c r="S4" s="2746"/>
      <c r="T4" s="2746"/>
      <c r="U4" s="2746"/>
      <c r="V4" s="2746"/>
      <c r="W4" s="2746"/>
      <c r="X4" s="2746"/>
      <c r="Y4" s="2746"/>
      <c r="Z4" s="2746"/>
      <c r="AA4" s="2746"/>
      <c r="AB4" s="2746"/>
      <c r="AC4" s="2746"/>
      <c r="AD4" s="2746"/>
      <c r="AE4" s="2746"/>
      <c r="AF4" s="2746"/>
      <c r="AG4" s="2746"/>
      <c r="AH4" s="2746"/>
      <c r="AI4" s="2746"/>
      <c r="AJ4" s="2746"/>
      <c r="AK4" s="2746"/>
      <c r="AL4" s="2746"/>
      <c r="AM4" s="2746"/>
      <c r="AN4" s="2746"/>
      <c r="AO4" s="2746"/>
      <c r="AP4" s="2746"/>
      <c r="AQ4" s="2746"/>
      <c r="AR4" s="2746"/>
      <c r="AS4" s="2746"/>
      <c r="AT4" s="2746"/>
      <c r="AU4" s="2746"/>
      <c r="AV4" s="2746"/>
      <c r="AW4" s="2746"/>
      <c r="AX4" s="2746"/>
      <c r="AY4" s="2746"/>
      <c r="AZ4" s="2746"/>
      <c r="BA4" s="2746"/>
      <c r="BB4" s="2746"/>
      <c r="BC4" s="2746"/>
      <c r="BD4" s="2746"/>
      <c r="BE4" s="2746"/>
      <c r="BF4" s="2746"/>
      <c r="BG4" s="2746"/>
      <c r="BH4" s="2746"/>
      <c r="BI4" s="2746"/>
      <c r="BJ4" s="2746"/>
      <c r="BK4" s="2746"/>
      <c r="BL4" s="2746"/>
      <c r="BM4" s="2746"/>
      <c r="BN4" s="2746"/>
      <c r="BO4" s="8"/>
      <c r="BQ4" s="1176" t="s">
        <v>6</v>
      </c>
      <c r="BR4" s="2631" t="s">
        <v>520</v>
      </c>
      <c r="BS4" s="52"/>
      <c r="BT4" s="52"/>
      <c r="BU4" s="52"/>
      <c r="BV4" s="52"/>
      <c r="BW4" s="52"/>
      <c r="BX4" s="52"/>
      <c r="BY4" s="52"/>
      <c r="BZ4" s="52"/>
      <c r="CA4" s="52"/>
      <c r="CB4" s="52"/>
      <c r="CC4" s="52"/>
      <c r="CD4" s="52"/>
      <c r="CE4" s="52"/>
      <c r="CF4" s="52"/>
      <c r="CG4" s="52"/>
      <c r="CH4" s="52"/>
      <c r="CI4" s="52"/>
      <c r="CJ4" s="52"/>
      <c r="CK4" s="52"/>
      <c r="CL4" s="52"/>
    </row>
    <row r="5" spans="1:90" ht="18" customHeight="1" x14ac:dyDescent="0.2">
      <c r="A5" s="3243" t="s">
        <v>8</v>
      </c>
      <c r="B5" s="2642"/>
      <c r="C5" s="2642"/>
      <c r="D5" s="2642"/>
      <c r="E5" s="2642"/>
      <c r="F5" s="2642"/>
      <c r="G5" s="2642"/>
      <c r="H5" s="2642"/>
      <c r="I5" s="2642"/>
      <c r="J5" s="2642"/>
      <c r="K5" s="2642"/>
      <c r="L5" s="2642"/>
      <c r="M5" s="2642"/>
      <c r="N5" s="11"/>
      <c r="O5" s="2644" t="s">
        <v>9</v>
      </c>
      <c r="P5" s="2644"/>
      <c r="Q5" s="2644"/>
      <c r="R5" s="2644"/>
      <c r="S5" s="2644"/>
      <c r="T5" s="2644"/>
      <c r="U5" s="2644"/>
      <c r="V5" s="2644"/>
      <c r="W5" s="2644"/>
      <c r="X5" s="2644"/>
      <c r="Y5" s="2644"/>
      <c r="Z5" s="2644"/>
      <c r="AA5" s="2644"/>
      <c r="AB5" s="2644"/>
      <c r="AC5" s="2644"/>
      <c r="AD5" s="2644"/>
      <c r="AE5" s="2644"/>
      <c r="AF5" s="2644"/>
      <c r="AG5" s="2644"/>
      <c r="AH5" s="2644"/>
      <c r="AI5" s="2644"/>
      <c r="AJ5" s="2644"/>
      <c r="AK5" s="2644"/>
      <c r="AL5" s="2644"/>
      <c r="AM5" s="2644"/>
      <c r="AN5" s="2644"/>
      <c r="AO5" s="2644"/>
      <c r="AP5" s="2644"/>
      <c r="AQ5" s="2644"/>
      <c r="AR5" s="2644"/>
      <c r="AS5" s="2644"/>
      <c r="AT5" s="2644"/>
      <c r="AU5" s="2644"/>
      <c r="AV5" s="2644"/>
      <c r="AW5" s="2644"/>
      <c r="AX5" s="2644"/>
      <c r="AY5" s="2644"/>
      <c r="AZ5" s="2644"/>
      <c r="BA5" s="2644"/>
      <c r="BB5" s="2644"/>
      <c r="BC5" s="2644"/>
      <c r="BD5" s="2644"/>
      <c r="BE5" s="2644"/>
      <c r="BF5" s="2644"/>
      <c r="BG5" s="2644"/>
      <c r="BH5" s="2644"/>
      <c r="BI5" s="2644"/>
      <c r="BJ5" s="2644"/>
      <c r="BK5" s="2644"/>
      <c r="BL5" s="2644"/>
      <c r="BM5" s="2644"/>
      <c r="BN5" s="2644"/>
      <c r="BO5" s="2644"/>
      <c r="BP5" s="2644"/>
      <c r="BQ5" s="2994"/>
      <c r="BR5" s="3245"/>
      <c r="BS5" s="52"/>
      <c r="BT5" s="52"/>
      <c r="BU5" s="52"/>
      <c r="BV5" s="52"/>
      <c r="BW5" s="52"/>
      <c r="BX5" s="52"/>
      <c r="BY5" s="52"/>
      <c r="BZ5" s="52"/>
      <c r="CA5" s="52"/>
      <c r="CB5" s="52"/>
      <c r="CC5" s="52"/>
      <c r="CD5" s="52"/>
      <c r="CE5" s="52"/>
      <c r="CF5" s="52"/>
      <c r="CG5" s="52"/>
      <c r="CH5" s="52"/>
      <c r="CI5" s="52"/>
      <c r="CJ5" s="52"/>
      <c r="CK5" s="52"/>
      <c r="CL5" s="52"/>
    </row>
    <row r="6" spans="1:90" ht="18.75" customHeight="1" x14ac:dyDescent="0.2">
      <c r="A6" s="3244"/>
      <c r="B6" s="2643"/>
      <c r="C6" s="2643"/>
      <c r="D6" s="2643"/>
      <c r="E6" s="2643"/>
      <c r="F6" s="2643"/>
      <c r="G6" s="2643"/>
      <c r="H6" s="2643"/>
      <c r="I6" s="2643"/>
      <c r="J6" s="2643"/>
      <c r="K6" s="2643"/>
      <c r="L6" s="2643"/>
      <c r="M6" s="2643"/>
      <c r="N6" s="13"/>
      <c r="O6" s="1854"/>
      <c r="P6" s="1855"/>
      <c r="Q6" s="500"/>
      <c r="R6" s="502"/>
      <c r="S6" s="502"/>
      <c r="T6" s="500"/>
      <c r="U6" s="500"/>
      <c r="V6" s="1856"/>
      <c r="W6" s="1857"/>
      <c r="X6" s="502"/>
      <c r="Y6" s="13"/>
      <c r="Z6" s="13"/>
      <c r="AA6" s="13"/>
      <c r="AB6" s="2994" t="s">
        <v>449</v>
      </c>
      <c r="AC6" s="3246"/>
      <c r="AD6" s="3246"/>
      <c r="AE6" s="3246"/>
      <c r="AF6" s="3246"/>
      <c r="AG6" s="3246"/>
      <c r="AH6" s="3246"/>
      <c r="AI6" s="3246"/>
      <c r="AJ6" s="3246"/>
      <c r="AK6" s="3246"/>
      <c r="AL6" s="3246"/>
      <c r="AM6" s="3246"/>
      <c r="AN6" s="3246"/>
      <c r="AO6" s="3246"/>
      <c r="AP6" s="3246"/>
      <c r="AQ6" s="3246"/>
      <c r="AR6" s="3246"/>
      <c r="AS6" s="3246"/>
      <c r="AT6" s="3246"/>
      <c r="AU6" s="3246"/>
      <c r="AV6" s="3246"/>
      <c r="AW6" s="3246"/>
      <c r="AX6" s="3246"/>
      <c r="AY6" s="3246"/>
      <c r="AZ6" s="3246"/>
      <c r="BA6" s="3246"/>
      <c r="BB6" s="3246"/>
      <c r="BC6" s="3246"/>
      <c r="BD6" s="3247"/>
      <c r="BE6" s="13"/>
      <c r="BF6" s="13"/>
      <c r="BG6" s="13"/>
      <c r="BH6" s="13"/>
      <c r="BI6" s="13"/>
      <c r="BJ6" s="13"/>
      <c r="BK6" s="13"/>
      <c r="BL6" s="13"/>
      <c r="BM6" s="13"/>
      <c r="BN6" s="502"/>
      <c r="BO6" s="502"/>
      <c r="BP6" s="502"/>
      <c r="BQ6" s="502"/>
      <c r="BR6" s="1858"/>
      <c r="BS6" s="52"/>
      <c r="BT6" s="52"/>
      <c r="BU6" s="52"/>
      <c r="BV6" s="52"/>
      <c r="BW6" s="52"/>
      <c r="BX6" s="52"/>
      <c r="BY6" s="52"/>
      <c r="BZ6" s="52"/>
      <c r="CA6" s="52"/>
      <c r="CB6" s="52"/>
      <c r="CC6" s="52"/>
      <c r="CD6" s="52"/>
      <c r="CE6" s="52"/>
      <c r="CF6" s="52"/>
      <c r="CG6" s="52"/>
      <c r="CH6" s="52"/>
      <c r="CI6" s="52"/>
      <c r="CJ6" s="52"/>
      <c r="CK6" s="52"/>
      <c r="CL6" s="52"/>
    </row>
    <row r="7" spans="1:90" ht="18.75" customHeight="1" x14ac:dyDescent="0.2">
      <c r="A7" s="1859"/>
      <c r="B7" s="13"/>
      <c r="C7" s="13"/>
      <c r="D7" s="13"/>
      <c r="E7" s="13"/>
      <c r="F7" s="13"/>
      <c r="G7" s="13"/>
      <c r="H7" s="13"/>
      <c r="I7" s="13"/>
      <c r="J7" s="13"/>
      <c r="K7" s="1856"/>
      <c r="L7" s="13"/>
      <c r="M7" s="13"/>
      <c r="N7" s="13"/>
      <c r="O7" s="1854"/>
      <c r="P7" s="1855"/>
      <c r="Q7" s="500"/>
      <c r="R7" s="502"/>
      <c r="S7" s="502"/>
      <c r="T7" s="500"/>
      <c r="U7" s="500"/>
      <c r="V7" s="1856"/>
      <c r="W7" s="1857"/>
      <c r="X7" s="502"/>
      <c r="Y7" s="13"/>
      <c r="Z7" s="13"/>
      <c r="AA7" s="13"/>
      <c r="AB7" s="3250" t="s">
        <v>25</v>
      </c>
      <c r="AC7" s="3251"/>
      <c r="AD7" s="3251"/>
      <c r="AE7" s="3252"/>
      <c r="AF7" s="3231" t="s">
        <v>26</v>
      </c>
      <c r="AG7" s="3232"/>
      <c r="AH7" s="3232"/>
      <c r="AI7" s="3232"/>
      <c r="AJ7" s="3232"/>
      <c r="AK7" s="3232"/>
      <c r="AL7" s="3232"/>
      <c r="AM7" s="3233"/>
      <c r="AN7" s="3253" t="s">
        <v>27</v>
      </c>
      <c r="AO7" s="3254"/>
      <c r="AP7" s="3254"/>
      <c r="AQ7" s="3254"/>
      <c r="AR7" s="3254"/>
      <c r="AS7" s="3254"/>
      <c r="AT7" s="3254"/>
      <c r="AU7" s="3254"/>
      <c r="AV7" s="3254"/>
      <c r="AW7" s="3254"/>
      <c r="AX7" s="3254"/>
      <c r="AY7" s="3255"/>
      <c r="AZ7" s="3231" t="s">
        <v>28</v>
      </c>
      <c r="BA7" s="3232"/>
      <c r="BB7" s="3232"/>
      <c r="BC7" s="3232"/>
      <c r="BD7" s="3232"/>
      <c r="BE7" s="3233"/>
      <c r="BF7" s="3234" t="s">
        <v>29</v>
      </c>
      <c r="BG7" s="3235"/>
      <c r="BH7" s="1860"/>
      <c r="BI7" s="1860"/>
      <c r="BJ7" s="1860"/>
      <c r="BK7" s="1860"/>
      <c r="BL7" s="1860"/>
      <c r="BM7" s="1860"/>
      <c r="BN7" s="128"/>
      <c r="BO7" s="128"/>
      <c r="BP7" s="128"/>
      <c r="BQ7" s="128"/>
      <c r="BR7" s="1858"/>
      <c r="BS7" s="52"/>
      <c r="BT7" s="52"/>
      <c r="BU7" s="52"/>
      <c r="BV7" s="52"/>
      <c r="BW7" s="52"/>
      <c r="BX7" s="52"/>
      <c r="BY7" s="52"/>
      <c r="BZ7" s="52"/>
      <c r="CA7" s="52"/>
      <c r="CB7" s="52"/>
      <c r="CC7" s="52"/>
      <c r="CD7" s="52"/>
      <c r="CE7" s="52"/>
      <c r="CF7" s="52"/>
      <c r="CG7" s="52"/>
      <c r="CH7" s="52"/>
      <c r="CI7" s="52"/>
      <c r="CJ7" s="52"/>
      <c r="CK7" s="52"/>
      <c r="CL7" s="52"/>
    </row>
    <row r="8" spans="1:90" s="134" customFormat="1" ht="74.25" customHeight="1" x14ac:dyDescent="0.25">
      <c r="A8" s="3238" t="s">
        <v>10</v>
      </c>
      <c r="B8" s="2659" t="s">
        <v>11</v>
      </c>
      <c r="C8" s="2659"/>
      <c r="D8" s="2659" t="s">
        <v>10</v>
      </c>
      <c r="E8" s="2659" t="s">
        <v>12</v>
      </c>
      <c r="F8" s="2659"/>
      <c r="G8" s="2659" t="s">
        <v>10</v>
      </c>
      <c r="H8" s="2659" t="s">
        <v>13</v>
      </c>
      <c r="I8" s="2659"/>
      <c r="J8" s="2659" t="s">
        <v>10</v>
      </c>
      <c r="K8" s="2659" t="s">
        <v>14</v>
      </c>
      <c r="L8" s="2659" t="s">
        <v>15</v>
      </c>
      <c r="M8" s="3248" t="s">
        <v>1819</v>
      </c>
      <c r="N8" s="3249"/>
      <c r="O8" s="2659" t="s">
        <v>17</v>
      </c>
      <c r="P8" s="2659" t="s">
        <v>108</v>
      </c>
      <c r="Q8" s="2659" t="s">
        <v>9</v>
      </c>
      <c r="R8" s="3261" t="s">
        <v>19</v>
      </c>
      <c r="S8" s="3262" t="s">
        <v>20</v>
      </c>
      <c r="T8" s="2659" t="s">
        <v>21</v>
      </c>
      <c r="U8" s="2659" t="s">
        <v>22</v>
      </c>
      <c r="V8" s="2659" t="s">
        <v>23</v>
      </c>
      <c r="W8" s="3262" t="s">
        <v>1777</v>
      </c>
      <c r="X8" s="3262"/>
      <c r="Y8" s="3262"/>
      <c r="Z8" s="3256" t="s">
        <v>1820</v>
      </c>
      <c r="AA8" s="3258" t="s">
        <v>1821</v>
      </c>
      <c r="AB8" s="3259" t="s">
        <v>37</v>
      </c>
      <c r="AC8" s="3260"/>
      <c r="AD8" s="3259" t="s">
        <v>38</v>
      </c>
      <c r="AE8" s="3260"/>
      <c r="AF8" s="3259" t="s">
        <v>39</v>
      </c>
      <c r="AG8" s="3260"/>
      <c r="AH8" s="3259" t="s">
        <v>40</v>
      </c>
      <c r="AI8" s="3260"/>
      <c r="AJ8" s="3259" t="s">
        <v>1822</v>
      </c>
      <c r="AK8" s="3260"/>
      <c r="AL8" s="3259" t="s">
        <v>42</v>
      </c>
      <c r="AM8" s="3260"/>
      <c r="AN8" s="3259" t="s">
        <v>43</v>
      </c>
      <c r="AO8" s="3260"/>
      <c r="AP8" s="3259" t="s">
        <v>44</v>
      </c>
      <c r="AQ8" s="3260"/>
      <c r="AR8" s="3259" t="s">
        <v>45</v>
      </c>
      <c r="AS8" s="3260"/>
      <c r="AT8" s="3259" t="s">
        <v>46</v>
      </c>
      <c r="AU8" s="3260"/>
      <c r="AV8" s="3259" t="s">
        <v>47</v>
      </c>
      <c r="AW8" s="3260"/>
      <c r="AX8" s="3259" t="s">
        <v>48</v>
      </c>
      <c r="AY8" s="3260"/>
      <c r="AZ8" s="3259" t="s">
        <v>49</v>
      </c>
      <c r="BA8" s="3260"/>
      <c r="BB8" s="3259" t="s">
        <v>50</v>
      </c>
      <c r="BC8" s="3260"/>
      <c r="BD8" s="3259" t="s">
        <v>51</v>
      </c>
      <c r="BE8" s="3260"/>
      <c r="BF8" s="3236"/>
      <c r="BG8" s="3237"/>
      <c r="BH8" s="3263" t="s">
        <v>30</v>
      </c>
      <c r="BI8" s="3264"/>
      <c r="BJ8" s="3264"/>
      <c r="BK8" s="3264"/>
      <c r="BL8" s="3264"/>
      <c r="BM8" s="3265"/>
      <c r="BN8" s="3266" t="s">
        <v>31</v>
      </c>
      <c r="BO8" s="3267"/>
      <c r="BP8" s="3268" t="s">
        <v>1823</v>
      </c>
      <c r="BQ8" s="3268"/>
      <c r="BR8" s="3269" t="s">
        <v>33</v>
      </c>
      <c r="BS8" s="1861"/>
      <c r="BT8" s="1861"/>
      <c r="BU8" s="1861"/>
      <c r="BV8" s="1861"/>
      <c r="BW8" s="1861"/>
      <c r="BX8" s="1861"/>
      <c r="BY8" s="1861"/>
      <c r="BZ8" s="1861"/>
      <c r="CA8" s="1861"/>
      <c r="CB8" s="1861"/>
      <c r="CC8" s="1861"/>
      <c r="CD8" s="1861"/>
      <c r="CE8" s="1861"/>
      <c r="CF8" s="1861"/>
      <c r="CG8" s="1861"/>
      <c r="CH8" s="1861"/>
      <c r="CI8" s="1861"/>
      <c r="CJ8" s="1861"/>
      <c r="CK8" s="1861"/>
      <c r="CL8" s="1861"/>
    </row>
    <row r="9" spans="1:90" s="134" customFormat="1" ht="47.25" customHeight="1" x14ac:dyDescent="0.25">
      <c r="A9" s="3238"/>
      <c r="B9" s="2659"/>
      <c r="C9" s="2659"/>
      <c r="D9" s="2659"/>
      <c r="E9" s="2659"/>
      <c r="F9" s="2659"/>
      <c r="G9" s="2659"/>
      <c r="H9" s="2659"/>
      <c r="I9" s="2659"/>
      <c r="J9" s="2659"/>
      <c r="K9" s="2659"/>
      <c r="L9" s="2659"/>
      <c r="M9" s="24" t="s">
        <v>58</v>
      </c>
      <c r="N9" s="24" t="s">
        <v>59</v>
      </c>
      <c r="O9" s="2659"/>
      <c r="P9" s="2659"/>
      <c r="Q9" s="2659"/>
      <c r="R9" s="3261"/>
      <c r="S9" s="3262"/>
      <c r="T9" s="2659"/>
      <c r="U9" s="2659"/>
      <c r="V9" s="2659"/>
      <c r="W9" s="1862" t="s">
        <v>34</v>
      </c>
      <c r="X9" s="24" t="s">
        <v>35</v>
      </c>
      <c r="Y9" s="24" t="s">
        <v>36</v>
      </c>
      <c r="Z9" s="3257"/>
      <c r="AA9" s="3001"/>
      <c r="AB9" s="660" t="s">
        <v>58</v>
      </c>
      <c r="AC9" s="660" t="s">
        <v>59</v>
      </c>
      <c r="AD9" s="660" t="s">
        <v>58</v>
      </c>
      <c r="AE9" s="660" t="s">
        <v>59</v>
      </c>
      <c r="AF9" s="660" t="s">
        <v>58</v>
      </c>
      <c r="AG9" s="660" t="s">
        <v>59</v>
      </c>
      <c r="AH9" s="660" t="s">
        <v>58</v>
      </c>
      <c r="AI9" s="660" t="s">
        <v>59</v>
      </c>
      <c r="AJ9" s="660" t="s">
        <v>58</v>
      </c>
      <c r="AK9" s="660" t="s">
        <v>59</v>
      </c>
      <c r="AL9" s="660" t="s">
        <v>58</v>
      </c>
      <c r="AM9" s="660" t="s">
        <v>59</v>
      </c>
      <c r="AN9" s="660" t="s">
        <v>58</v>
      </c>
      <c r="AO9" s="660" t="s">
        <v>59</v>
      </c>
      <c r="AP9" s="660" t="s">
        <v>58</v>
      </c>
      <c r="AQ9" s="660" t="s">
        <v>59</v>
      </c>
      <c r="AR9" s="660" t="s">
        <v>58</v>
      </c>
      <c r="AS9" s="660" t="s">
        <v>59</v>
      </c>
      <c r="AT9" s="660" t="s">
        <v>58</v>
      </c>
      <c r="AU9" s="660" t="s">
        <v>59</v>
      </c>
      <c r="AV9" s="660" t="s">
        <v>58</v>
      </c>
      <c r="AW9" s="660" t="s">
        <v>59</v>
      </c>
      <c r="AX9" s="660" t="s">
        <v>58</v>
      </c>
      <c r="AY9" s="660" t="s">
        <v>59</v>
      </c>
      <c r="AZ9" s="660" t="s">
        <v>58</v>
      </c>
      <c r="BA9" s="660" t="s">
        <v>59</v>
      </c>
      <c r="BB9" s="660" t="s">
        <v>58</v>
      </c>
      <c r="BC9" s="660" t="s">
        <v>59</v>
      </c>
      <c r="BD9" s="660" t="s">
        <v>58</v>
      </c>
      <c r="BE9" s="660" t="s">
        <v>59</v>
      </c>
      <c r="BF9" s="660" t="s">
        <v>58</v>
      </c>
      <c r="BG9" s="660" t="s">
        <v>59</v>
      </c>
      <c r="BH9" s="1863" t="s">
        <v>52</v>
      </c>
      <c r="BI9" s="1863" t="s">
        <v>53</v>
      </c>
      <c r="BJ9" s="1863" t="s">
        <v>54</v>
      </c>
      <c r="BK9" s="1863" t="s">
        <v>55</v>
      </c>
      <c r="BL9" s="1863" t="s">
        <v>56</v>
      </c>
      <c r="BM9" s="1863" t="s">
        <v>57</v>
      </c>
      <c r="BN9" s="1581" t="s">
        <v>58</v>
      </c>
      <c r="BO9" s="1581" t="s">
        <v>59</v>
      </c>
      <c r="BP9" s="1581" t="s">
        <v>58</v>
      </c>
      <c r="BQ9" s="1581" t="s">
        <v>59</v>
      </c>
      <c r="BR9" s="3269"/>
      <c r="BS9" s="1861"/>
      <c r="BT9" s="1861"/>
      <c r="BU9" s="1861"/>
      <c r="BV9" s="1861"/>
      <c r="BW9" s="1861"/>
      <c r="BX9" s="1861"/>
      <c r="BY9" s="1861"/>
      <c r="BZ9" s="1861"/>
      <c r="CA9" s="1861"/>
      <c r="CB9" s="1861"/>
      <c r="CC9" s="1861"/>
      <c r="CD9" s="1861"/>
      <c r="CE9" s="1861"/>
      <c r="CF9" s="1861"/>
      <c r="CG9" s="1861"/>
      <c r="CH9" s="1861"/>
      <c r="CI9" s="1861"/>
      <c r="CJ9" s="1861"/>
      <c r="CK9" s="1861"/>
      <c r="CL9" s="1861"/>
    </row>
    <row r="10" spans="1:90" s="1871" customFormat="1" ht="18.75" customHeight="1" x14ac:dyDescent="0.2">
      <c r="A10" s="1864">
        <v>4</v>
      </c>
      <c r="B10" s="671" t="s">
        <v>1824</v>
      </c>
      <c r="C10" s="671"/>
      <c r="D10" s="1452"/>
      <c r="E10" s="1452"/>
      <c r="F10" s="1452"/>
      <c r="G10" s="1452"/>
      <c r="H10" s="1452"/>
      <c r="I10" s="1452"/>
      <c r="J10" s="1418"/>
      <c r="K10" s="1865"/>
      <c r="L10" s="1866"/>
      <c r="M10" s="1452"/>
      <c r="N10" s="1452"/>
      <c r="O10" s="1417"/>
      <c r="P10" s="1418"/>
      <c r="Q10" s="1866"/>
      <c r="R10" s="1867"/>
      <c r="S10" s="1868"/>
      <c r="T10" s="1866"/>
      <c r="U10" s="1865"/>
      <c r="V10" s="1865"/>
      <c r="W10" s="1865"/>
      <c r="X10" s="1865"/>
      <c r="Y10" s="1865"/>
      <c r="Z10" s="1865"/>
      <c r="AA10" s="1865"/>
      <c r="AB10" s="1452"/>
      <c r="AC10" s="1452"/>
      <c r="AD10" s="1452"/>
      <c r="AE10" s="1452"/>
      <c r="AF10" s="1452"/>
      <c r="AG10" s="1452"/>
      <c r="AH10" s="1452"/>
      <c r="AI10" s="1452"/>
      <c r="AJ10" s="1452"/>
      <c r="AK10" s="1452"/>
      <c r="AL10" s="1452"/>
      <c r="AM10" s="1452"/>
      <c r="AN10" s="1452"/>
      <c r="AO10" s="1452"/>
      <c r="AP10" s="1452"/>
      <c r="AQ10" s="1452"/>
      <c r="AR10" s="1452"/>
      <c r="AS10" s="1452"/>
      <c r="AT10" s="1452"/>
      <c r="AU10" s="1452"/>
      <c r="AV10" s="1452"/>
      <c r="AW10" s="1452"/>
      <c r="AX10" s="1452"/>
      <c r="AY10" s="1452"/>
      <c r="AZ10" s="1869"/>
      <c r="BA10" s="1869"/>
      <c r="BB10" s="1869"/>
      <c r="BC10" s="1869"/>
      <c r="BD10" s="1866"/>
      <c r="BE10" s="1866"/>
      <c r="BF10" s="1866"/>
      <c r="BG10" s="1866"/>
      <c r="BH10" s="1866"/>
      <c r="BI10" s="1866"/>
      <c r="BJ10" s="1866"/>
      <c r="BK10" s="1866"/>
      <c r="BL10" s="1866"/>
      <c r="BM10" s="1866"/>
      <c r="BN10" s="1866"/>
      <c r="BO10" s="1866"/>
      <c r="BP10" s="1866"/>
      <c r="BQ10" s="1866"/>
      <c r="BR10" s="1870"/>
    </row>
    <row r="11" spans="1:90" s="656" customFormat="1" ht="21.75" customHeight="1" x14ac:dyDescent="0.2">
      <c r="A11" s="3270"/>
      <c r="B11" s="3273"/>
      <c r="C11" s="3274"/>
      <c r="D11" s="1872">
        <v>23</v>
      </c>
      <c r="E11" s="1873" t="s">
        <v>1825</v>
      </c>
      <c r="F11" s="1873"/>
      <c r="G11" s="1874"/>
      <c r="H11" s="1874"/>
      <c r="I11" s="1874"/>
      <c r="J11" s="1875"/>
      <c r="K11" s="1876"/>
      <c r="L11" s="1877"/>
      <c r="M11" s="1874"/>
      <c r="N11" s="1874"/>
      <c r="O11" s="1878"/>
      <c r="P11" s="1875"/>
      <c r="Q11" s="1877"/>
      <c r="R11" s="1879"/>
      <c r="S11" s="1880"/>
      <c r="T11" s="1877"/>
      <c r="U11" s="1876"/>
      <c r="V11" s="1876"/>
      <c r="W11" s="1881"/>
      <c r="X11" s="1881"/>
      <c r="Y11" s="1882"/>
      <c r="Z11" s="1882"/>
      <c r="AA11" s="1882"/>
      <c r="AB11" s="1874"/>
      <c r="AC11" s="1874"/>
      <c r="AD11" s="1874"/>
      <c r="AE11" s="1874"/>
      <c r="AF11" s="1874"/>
      <c r="AG11" s="1874"/>
      <c r="AH11" s="1874"/>
      <c r="AI11" s="1874"/>
      <c r="AJ11" s="1874"/>
      <c r="AK11" s="1874"/>
      <c r="AL11" s="1874"/>
      <c r="AM11" s="1874"/>
      <c r="AN11" s="1874"/>
      <c r="AO11" s="1874"/>
      <c r="AP11" s="1874"/>
      <c r="AQ11" s="1874"/>
      <c r="AR11" s="1874"/>
      <c r="AS11" s="1874"/>
      <c r="AT11" s="1874"/>
      <c r="AU11" s="1874"/>
      <c r="AV11" s="1874"/>
      <c r="AW11" s="1874"/>
      <c r="AX11" s="1874"/>
      <c r="AY11" s="1874"/>
      <c r="AZ11" s="1883"/>
      <c r="BA11" s="1883"/>
      <c r="BB11" s="1883"/>
      <c r="BC11" s="1883"/>
      <c r="BD11" s="1877"/>
      <c r="BE11" s="1877"/>
      <c r="BF11" s="1877"/>
      <c r="BG11" s="1877"/>
      <c r="BH11" s="1877"/>
      <c r="BI11" s="1877"/>
      <c r="BJ11" s="1877"/>
      <c r="BK11" s="1877"/>
      <c r="BL11" s="1877"/>
      <c r="BM11" s="1877"/>
      <c r="BN11" s="1877"/>
      <c r="BO11" s="1877"/>
      <c r="BP11" s="1877"/>
      <c r="BQ11" s="1877"/>
      <c r="BR11" s="1884"/>
    </row>
    <row r="12" spans="1:90" s="656" customFormat="1" ht="15.75" customHeight="1" x14ac:dyDescent="0.2">
      <c r="A12" s="3271"/>
      <c r="B12" s="3275"/>
      <c r="C12" s="3276"/>
      <c r="D12" s="3279"/>
      <c r="E12" s="3280"/>
      <c r="F12" s="3280"/>
      <c r="G12" s="1886">
        <v>75</v>
      </c>
      <c r="H12" s="1366" t="s">
        <v>1826</v>
      </c>
      <c r="I12" s="1366"/>
      <c r="J12" s="1887"/>
      <c r="K12" s="1888"/>
      <c r="L12" s="1889"/>
      <c r="M12" s="1433"/>
      <c r="N12" s="1433"/>
      <c r="O12" s="1434"/>
      <c r="P12" s="1438"/>
      <c r="Q12" s="1368"/>
      <c r="R12" s="1890"/>
      <c r="S12" s="1891"/>
      <c r="T12" s="1889"/>
      <c r="U12" s="1888"/>
      <c r="V12" s="1888"/>
      <c r="W12" s="1892"/>
      <c r="X12" s="1892"/>
      <c r="Y12" s="1893"/>
      <c r="Z12" s="1893"/>
      <c r="AA12" s="1893"/>
      <c r="AB12" s="1433"/>
      <c r="AC12" s="1433"/>
      <c r="AD12" s="1433"/>
      <c r="AE12" s="1433"/>
      <c r="AF12" s="1433"/>
      <c r="AG12" s="1433"/>
      <c r="AH12" s="1433"/>
      <c r="AI12" s="1433"/>
      <c r="AJ12" s="1433"/>
      <c r="AK12" s="1433"/>
      <c r="AL12" s="1433"/>
      <c r="AM12" s="1433"/>
      <c r="AN12" s="1433"/>
      <c r="AO12" s="1433"/>
      <c r="AP12" s="1433"/>
      <c r="AQ12" s="1433"/>
      <c r="AR12" s="1433"/>
      <c r="AS12" s="1433"/>
      <c r="AT12" s="1433"/>
      <c r="AU12" s="1433"/>
      <c r="AV12" s="1433"/>
      <c r="AW12" s="1433"/>
      <c r="AX12" s="1433"/>
      <c r="AY12" s="1433"/>
      <c r="AZ12" s="1894"/>
      <c r="BA12" s="1894"/>
      <c r="BB12" s="1894"/>
      <c r="BC12" s="1894"/>
      <c r="BD12" s="1889"/>
      <c r="BE12" s="1889"/>
      <c r="BF12" s="1889"/>
      <c r="BG12" s="1889"/>
      <c r="BH12" s="1889"/>
      <c r="BI12" s="1889"/>
      <c r="BJ12" s="1889"/>
      <c r="BK12" s="1889"/>
      <c r="BL12" s="1889"/>
      <c r="BM12" s="1889"/>
      <c r="BN12" s="1889"/>
      <c r="BO12" s="1889"/>
      <c r="BP12" s="1889"/>
      <c r="BQ12" s="1889"/>
      <c r="BR12" s="1895"/>
    </row>
    <row r="13" spans="1:90" s="657" customFormat="1" ht="33.75" customHeight="1" x14ac:dyDescent="0.2">
      <c r="A13" s="3271"/>
      <c r="B13" s="3275"/>
      <c r="C13" s="3276"/>
      <c r="D13" s="3279"/>
      <c r="E13" s="3280"/>
      <c r="F13" s="3280"/>
      <c r="G13" s="656"/>
      <c r="H13" s="1896"/>
      <c r="I13" s="1897"/>
      <c r="J13" s="3281">
        <v>214</v>
      </c>
      <c r="K13" s="3283" t="s">
        <v>1827</v>
      </c>
      <c r="L13" s="3285" t="s">
        <v>1828</v>
      </c>
      <c r="M13" s="3287">
        <v>1</v>
      </c>
      <c r="N13" s="3287">
        <v>0</v>
      </c>
      <c r="O13" s="3289"/>
      <c r="P13" s="3291" t="s">
        <v>1829</v>
      </c>
      <c r="Q13" s="3292" t="s">
        <v>1830</v>
      </c>
      <c r="R13" s="3313">
        <f>SUM(W13:W14)/S13</f>
        <v>5.2487744082888388E-3</v>
      </c>
      <c r="S13" s="3315">
        <f>SUM(W13:W49)</f>
        <v>6668223337</v>
      </c>
      <c r="T13" s="3318" t="s">
        <v>1831</v>
      </c>
      <c r="U13" s="3318" t="s">
        <v>1832</v>
      </c>
      <c r="V13" s="3320" t="s">
        <v>1833</v>
      </c>
      <c r="W13" s="1320">
        <v>15000000</v>
      </c>
      <c r="X13" s="1320">
        <v>0</v>
      </c>
      <c r="Y13" s="1320">
        <v>0</v>
      </c>
      <c r="Z13" s="1898">
        <v>20</v>
      </c>
      <c r="AA13" s="1899" t="s">
        <v>1834</v>
      </c>
      <c r="AB13" s="3301">
        <v>292684</v>
      </c>
      <c r="AC13" s="3301">
        <v>49853</v>
      </c>
      <c r="AD13" s="3304">
        <v>282326</v>
      </c>
      <c r="AE13" s="3301">
        <v>47898</v>
      </c>
      <c r="AF13" s="3307">
        <v>174947</v>
      </c>
      <c r="AG13" s="3310">
        <v>12420</v>
      </c>
      <c r="AH13" s="3307">
        <v>128988</v>
      </c>
      <c r="AI13" s="3310">
        <v>38500</v>
      </c>
      <c r="AJ13" s="3307">
        <v>197432</v>
      </c>
      <c r="AK13" s="3310">
        <v>27450</v>
      </c>
      <c r="AL13" s="3330">
        <v>73643</v>
      </c>
      <c r="AM13" s="3333">
        <v>19381</v>
      </c>
      <c r="AN13" s="3325"/>
      <c r="AO13" s="3304"/>
      <c r="AP13" s="3325"/>
      <c r="AQ13" s="1900"/>
      <c r="AR13" s="3326"/>
      <c r="AS13" s="1901"/>
      <c r="AT13" s="3328"/>
      <c r="AU13" s="3326"/>
      <c r="AV13" s="3328"/>
      <c r="AW13" s="3326"/>
      <c r="AX13" s="3328"/>
      <c r="AY13" s="3326"/>
      <c r="AZ13" s="3328"/>
      <c r="BA13" s="3326"/>
      <c r="BB13" s="3328"/>
      <c r="BC13" s="3326"/>
      <c r="BD13" s="3328"/>
      <c r="BE13" s="1901"/>
      <c r="BF13" s="3301">
        <v>575010</v>
      </c>
      <c r="BG13" s="3336">
        <v>97751</v>
      </c>
      <c r="BH13" s="3336">
        <v>17</v>
      </c>
      <c r="BI13" s="3339">
        <f>SUM(X13:X49)</f>
        <v>1151276596</v>
      </c>
      <c r="BJ13" s="3339">
        <f>SUM(Y13:Y49)</f>
        <v>195334116</v>
      </c>
      <c r="BK13" s="3352">
        <f>BJ13/BI13</f>
        <v>0.16966740805699485</v>
      </c>
      <c r="BL13" s="1902"/>
      <c r="BM13" s="1902"/>
      <c r="BN13" s="3169">
        <v>43480</v>
      </c>
      <c r="BO13" s="3169">
        <v>43605</v>
      </c>
      <c r="BP13" s="3169">
        <v>43819</v>
      </c>
      <c r="BQ13" s="3169">
        <v>43820</v>
      </c>
      <c r="BR13" s="3161" t="s">
        <v>1835</v>
      </c>
      <c r="BS13" s="3342"/>
      <c r="BT13" s="3343"/>
    </row>
    <row r="14" spans="1:90" s="657" customFormat="1" ht="34.5" customHeight="1" x14ac:dyDescent="0.2">
      <c r="A14" s="3271"/>
      <c r="B14" s="3275"/>
      <c r="C14" s="3276"/>
      <c r="D14" s="3279"/>
      <c r="E14" s="3280"/>
      <c r="F14" s="3280"/>
      <c r="G14" s="656"/>
      <c r="H14" s="1903"/>
      <c r="I14" s="1904"/>
      <c r="J14" s="3282"/>
      <c r="K14" s="3284"/>
      <c r="L14" s="3286"/>
      <c r="M14" s="3288"/>
      <c r="N14" s="3288"/>
      <c r="O14" s="3290"/>
      <c r="P14" s="3291"/>
      <c r="Q14" s="3293"/>
      <c r="R14" s="3314"/>
      <c r="S14" s="3316"/>
      <c r="T14" s="3318"/>
      <c r="U14" s="3318"/>
      <c r="V14" s="3321"/>
      <c r="W14" s="1320">
        <v>20000000</v>
      </c>
      <c r="X14" s="1320">
        <v>0</v>
      </c>
      <c r="Y14" s="1320">
        <v>0</v>
      </c>
      <c r="Z14" s="1898">
        <v>92</v>
      </c>
      <c r="AA14" s="1899" t="s">
        <v>1836</v>
      </c>
      <c r="AB14" s="3302"/>
      <c r="AC14" s="3302"/>
      <c r="AD14" s="3305"/>
      <c r="AE14" s="3302"/>
      <c r="AF14" s="3308"/>
      <c r="AG14" s="3311"/>
      <c r="AH14" s="3308"/>
      <c r="AI14" s="3311"/>
      <c r="AJ14" s="3308"/>
      <c r="AK14" s="3311"/>
      <c r="AL14" s="3331"/>
      <c r="AM14" s="3334"/>
      <c r="AN14" s="3325"/>
      <c r="AO14" s="3305"/>
      <c r="AP14" s="3325"/>
      <c r="AQ14" s="1905"/>
      <c r="AR14" s="3327"/>
      <c r="AS14" s="1906"/>
      <c r="AT14" s="3328"/>
      <c r="AU14" s="3327"/>
      <c r="AV14" s="3328"/>
      <c r="AW14" s="3327"/>
      <c r="AX14" s="3328"/>
      <c r="AY14" s="3327"/>
      <c r="AZ14" s="3328"/>
      <c r="BA14" s="3327"/>
      <c r="BB14" s="3328"/>
      <c r="BC14" s="3327"/>
      <c r="BD14" s="3328"/>
      <c r="BE14" s="1906"/>
      <c r="BF14" s="3302"/>
      <c r="BG14" s="3337"/>
      <c r="BH14" s="3337"/>
      <c r="BI14" s="3123"/>
      <c r="BJ14" s="3123"/>
      <c r="BK14" s="3353"/>
      <c r="BL14" s="1907"/>
      <c r="BM14" s="1907"/>
      <c r="BN14" s="3355"/>
      <c r="BO14" s="3355"/>
      <c r="BP14" s="3355"/>
      <c r="BQ14" s="3355"/>
      <c r="BR14" s="3161"/>
      <c r="BS14" s="3342"/>
      <c r="BT14" s="3343"/>
    </row>
    <row r="15" spans="1:90" s="657" customFormat="1" ht="60" customHeight="1" x14ac:dyDescent="0.2">
      <c r="A15" s="3271"/>
      <c r="B15" s="3275"/>
      <c r="C15" s="3276"/>
      <c r="D15" s="3279"/>
      <c r="E15" s="3280"/>
      <c r="F15" s="3280"/>
      <c r="G15" s="656"/>
      <c r="H15" s="1903"/>
      <c r="I15" s="1904"/>
      <c r="J15" s="1899">
        <v>215</v>
      </c>
      <c r="K15" s="1908" t="s">
        <v>1837</v>
      </c>
      <c r="L15" s="1909" t="s">
        <v>1838</v>
      </c>
      <c r="M15" s="1910">
        <v>2</v>
      </c>
      <c r="N15" s="1910">
        <v>2</v>
      </c>
      <c r="O15" s="3290"/>
      <c r="P15" s="3291"/>
      <c r="Q15" s="3293"/>
      <c r="R15" s="1911">
        <f>SUM(W15)/S13</f>
        <v>2.2494747464095024E-3</v>
      </c>
      <c r="S15" s="3316"/>
      <c r="T15" s="3318"/>
      <c r="U15" s="3318"/>
      <c r="V15" s="1912" t="s">
        <v>1839</v>
      </c>
      <c r="W15" s="1325">
        <v>15000000</v>
      </c>
      <c r="X15" s="1325">
        <v>14332000</v>
      </c>
      <c r="Y15" s="1325">
        <v>14332000</v>
      </c>
      <c r="Z15" s="1898">
        <v>20</v>
      </c>
      <c r="AA15" s="1899" t="s">
        <v>1840</v>
      </c>
      <c r="AB15" s="3302"/>
      <c r="AC15" s="3302"/>
      <c r="AD15" s="3305"/>
      <c r="AE15" s="3302"/>
      <c r="AF15" s="3308"/>
      <c r="AG15" s="3311"/>
      <c r="AH15" s="3308"/>
      <c r="AI15" s="3311"/>
      <c r="AJ15" s="3308"/>
      <c r="AK15" s="3311"/>
      <c r="AL15" s="3331"/>
      <c r="AM15" s="3334"/>
      <c r="AN15" s="3325"/>
      <c r="AO15" s="3305"/>
      <c r="AP15" s="3325"/>
      <c r="AQ15" s="1905"/>
      <c r="AR15" s="3305"/>
      <c r="AS15" s="1905"/>
      <c r="AT15" s="3325"/>
      <c r="AU15" s="3327"/>
      <c r="AV15" s="3325"/>
      <c r="AW15" s="3327"/>
      <c r="AX15" s="3325"/>
      <c r="AY15" s="3327"/>
      <c r="AZ15" s="3325"/>
      <c r="BA15" s="3327"/>
      <c r="BB15" s="3325"/>
      <c r="BC15" s="3327"/>
      <c r="BD15" s="3325"/>
      <c r="BE15" s="1905"/>
      <c r="BF15" s="3302"/>
      <c r="BG15" s="3337"/>
      <c r="BH15" s="3337"/>
      <c r="BI15" s="3123"/>
      <c r="BJ15" s="3123"/>
      <c r="BK15" s="3353"/>
      <c r="BL15" s="1907"/>
      <c r="BM15" s="1907"/>
      <c r="BN15" s="3355"/>
      <c r="BO15" s="3355"/>
      <c r="BP15" s="3355"/>
      <c r="BQ15" s="3355"/>
      <c r="BR15" s="3341"/>
      <c r="BS15" s="3342"/>
      <c r="BT15" s="3343"/>
    </row>
    <row r="16" spans="1:90" s="657" customFormat="1" ht="41.25" customHeight="1" x14ac:dyDescent="0.2">
      <c r="A16" s="3271"/>
      <c r="B16" s="3275"/>
      <c r="C16" s="3276"/>
      <c r="D16" s="3279"/>
      <c r="E16" s="3280"/>
      <c r="F16" s="3280"/>
      <c r="G16" s="656"/>
      <c r="H16" s="1903"/>
      <c r="I16" s="1904"/>
      <c r="J16" s="3344">
        <v>216</v>
      </c>
      <c r="K16" s="3318" t="s">
        <v>1841</v>
      </c>
      <c r="L16" s="3345" t="s">
        <v>1842</v>
      </c>
      <c r="M16" s="3346">
        <v>1.994</v>
      </c>
      <c r="N16" s="3347">
        <v>0</v>
      </c>
      <c r="O16" s="3290"/>
      <c r="P16" s="3291"/>
      <c r="Q16" s="3293"/>
      <c r="R16" s="3348">
        <f>SUM(W16:W19)/S13</f>
        <v>0.17096008072712218</v>
      </c>
      <c r="S16" s="3316"/>
      <c r="T16" s="3318"/>
      <c r="U16" s="3318"/>
      <c r="V16" s="1912" t="s">
        <v>1843</v>
      </c>
      <c r="W16" s="1325">
        <v>0</v>
      </c>
      <c r="X16" s="1913">
        <v>0</v>
      </c>
      <c r="Y16" s="1325">
        <v>0</v>
      </c>
      <c r="Z16" s="1914">
        <v>20</v>
      </c>
      <c r="AA16" s="1262" t="s">
        <v>1834</v>
      </c>
      <c r="AB16" s="3302"/>
      <c r="AC16" s="3302"/>
      <c r="AD16" s="3305"/>
      <c r="AE16" s="3302"/>
      <c r="AF16" s="3308"/>
      <c r="AG16" s="3311"/>
      <c r="AH16" s="3308"/>
      <c r="AI16" s="3311"/>
      <c r="AJ16" s="3308"/>
      <c r="AK16" s="3311"/>
      <c r="AL16" s="3331"/>
      <c r="AM16" s="3334"/>
      <c r="AN16" s="3325"/>
      <c r="AO16" s="3305"/>
      <c r="AP16" s="3325"/>
      <c r="AQ16" s="1905"/>
      <c r="AR16" s="3305"/>
      <c r="AS16" s="1905"/>
      <c r="AT16" s="3325"/>
      <c r="AU16" s="3327"/>
      <c r="AV16" s="3325"/>
      <c r="AW16" s="3327"/>
      <c r="AX16" s="3325"/>
      <c r="AY16" s="3327"/>
      <c r="AZ16" s="3325"/>
      <c r="BA16" s="3327"/>
      <c r="BB16" s="3325"/>
      <c r="BC16" s="3327"/>
      <c r="BD16" s="3325"/>
      <c r="BE16" s="1905"/>
      <c r="BF16" s="3302"/>
      <c r="BG16" s="3337"/>
      <c r="BH16" s="3337"/>
      <c r="BI16" s="3123"/>
      <c r="BJ16" s="3123"/>
      <c r="BK16" s="3353"/>
      <c r="BL16" s="1907"/>
      <c r="BM16" s="1907"/>
      <c r="BN16" s="3355"/>
      <c r="BO16" s="3355"/>
      <c r="BP16" s="3355"/>
      <c r="BQ16" s="3355"/>
      <c r="BR16" s="3341"/>
      <c r="BS16" s="3342"/>
      <c r="BT16" s="3343"/>
    </row>
    <row r="17" spans="1:72" s="657" customFormat="1" ht="44.25" customHeight="1" x14ac:dyDescent="0.2">
      <c r="A17" s="3271"/>
      <c r="B17" s="3275"/>
      <c r="C17" s="3276"/>
      <c r="D17" s="3279"/>
      <c r="E17" s="3280"/>
      <c r="F17" s="3280"/>
      <c r="G17" s="656"/>
      <c r="H17" s="1903"/>
      <c r="I17" s="1904"/>
      <c r="J17" s="3344"/>
      <c r="K17" s="3318"/>
      <c r="L17" s="3345"/>
      <c r="M17" s="3346"/>
      <c r="N17" s="3347"/>
      <c r="O17" s="3290"/>
      <c r="P17" s="3291"/>
      <c r="Q17" s="3293"/>
      <c r="R17" s="3348"/>
      <c r="S17" s="3316"/>
      <c r="T17" s="3318"/>
      <c r="U17" s="3318"/>
      <c r="V17" s="1912" t="s">
        <v>1844</v>
      </c>
      <c r="W17" s="1325">
        <v>915000000</v>
      </c>
      <c r="X17" s="1913">
        <v>0</v>
      </c>
      <c r="Y17" s="1325">
        <v>0</v>
      </c>
      <c r="Z17" s="1914">
        <v>92</v>
      </c>
      <c r="AA17" s="1233" t="s">
        <v>1836</v>
      </c>
      <c r="AB17" s="3302"/>
      <c r="AC17" s="3302"/>
      <c r="AD17" s="3305"/>
      <c r="AE17" s="3302"/>
      <c r="AF17" s="3308"/>
      <c r="AG17" s="3311"/>
      <c r="AH17" s="3308"/>
      <c r="AI17" s="3311"/>
      <c r="AJ17" s="3308"/>
      <c r="AK17" s="3311"/>
      <c r="AL17" s="3331"/>
      <c r="AM17" s="3334"/>
      <c r="AN17" s="3325"/>
      <c r="AO17" s="3305"/>
      <c r="AP17" s="3325"/>
      <c r="AQ17" s="1905"/>
      <c r="AR17" s="3305"/>
      <c r="AS17" s="1905"/>
      <c r="AT17" s="3325"/>
      <c r="AU17" s="3327"/>
      <c r="AV17" s="3325"/>
      <c r="AW17" s="3327"/>
      <c r="AX17" s="3325"/>
      <c r="AY17" s="3327"/>
      <c r="AZ17" s="3325"/>
      <c r="BA17" s="3327"/>
      <c r="BB17" s="3325"/>
      <c r="BC17" s="3327"/>
      <c r="BD17" s="3325"/>
      <c r="BE17" s="1905"/>
      <c r="BF17" s="3302"/>
      <c r="BG17" s="3337"/>
      <c r="BH17" s="3337"/>
      <c r="BI17" s="3123"/>
      <c r="BJ17" s="3123"/>
      <c r="BK17" s="3353"/>
      <c r="BL17" s="1907"/>
      <c r="BM17" s="1907"/>
      <c r="BN17" s="3355"/>
      <c r="BO17" s="3355"/>
      <c r="BP17" s="3355"/>
      <c r="BQ17" s="3355"/>
      <c r="BR17" s="3341"/>
      <c r="BS17" s="1915"/>
      <c r="BT17" s="1230"/>
    </row>
    <row r="18" spans="1:72" s="657" customFormat="1" ht="51" customHeight="1" x14ac:dyDescent="0.2">
      <c r="A18" s="3271"/>
      <c r="B18" s="3275"/>
      <c r="C18" s="3276"/>
      <c r="D18" s="3279"/>
      <c r="E18" s="3280"/>
      <c r="F18" s="3280"/>
      <c r="G18" s="656"/>
      <c r="H18" s="1903"/>
      <c r="I18" s="1904"/>
      <c r="J18" s="3344"/>
      <c r="K18" s="3318"/>
      <c r="L18" s="3345"/>
      <c r="M18" s="3346"/>
      <c r="N18" s="3347"/>
      <c r="O18" s="3290"/>
      <c r="P18" s="3291"/>
      <c r="Q18" s="3293"/>
      <c r="R18" s="3348"/>
      <c r="S18" s="3316"/>
      <c r="T18" s="3318"/>
      <c r="U18" s="3318"/>
      <c r="V18" s="1916" t="s">
        <v>1845</v>
      </c>
      <c r="W18" s="1320">
        <v>25000000</v>
      </c>
      <c r="X18" s="1917">
        <v>0</v>
      </c>
      <c r="Y18" s="1918">
        <v>0</v>
      </c>
      <c r="Z18" s="1914">
        <v>20</v>
      </c>
      <c r="AA18" s="1262" t="s">
        <v>1834</v>
      </c>
      <c r="AB18" s="3302"/>
      <c r="AC18" s="3302"/>
      <c r="AD18" s="3305"/>
      <c r="AE18" s="3302"/>
      <c r="AF18" s="3308"/>
      <c r="AG18" s="3311"/>
      <c r="AH18" s="3308"/>
      <c r="AI18" s="3311"/>
      <c r="AJ18" s="3308"/>
      <c r="AK18" s="3311"/>
      <c r="AL18" s="3331"/>
      <c r="AM18" s="3334"/>
      <c r="AN18" s="3325"/>
      <c r="AO18" s="3305"/>
      <c r="AP18" s="3325"/>
      <c r="AQ18" s="1905"/>
      <c r="AR18" s="3305"/>
      <c r="AS18" s="1905"/>
      <c r="AT18" s="3325"/>
      <c r="AU18" s="3327"/>
      <c r="AV18" s="3325"/>
      <c r="AW18" s="3327"/>
      <c r="AX18" s="3325"/>
      <c r="AY18" s="3327"/>
      <c r="AZ18" s="3325"/>
      <c r="BA18" s="3327"/>
      <c r="BB18" s="3325"/>
      <c r="BC18" s="3327"/>
      <c r="BD18" s="3325"/>
      <c r="BE18" s="1905"/>
      <c r="BF18" s="3302"/>
      <c r="BG18" s="3337"/>
      <c r="BH18" s="3337"/>
      <c r="BI18" s="3123"/>
      <c r="BJ18" s="3123"/>
      <c r="BK18" s="3353"/>
      <c r="BL18" s="1907"/>
      <c r="BM18" s="1907"/>
      <c r="BN18" s="3355"/>
      <c r="BO18" s="3355"/>
      <c r="BP18" s="3355"/>
      <c r="BQ18" s="3355"/>
      <c r="BR18" s="3341"/>
      <c r="BS18" s="1915"/>
      <c r="BT18" s="1230"/>
    </row>
    <row r="19" spans="1:72" s="657" customFormat="1" ht="42" customHeight="1" x14ac:dyDescent="0.2">
      <c r="A19" s="3271"/>
      <c r="B19" s="3275"/>
      <c r="C19" s="3276"/>
      <c r="D19" s="3279"/>
      <c r="E19" s="3280"/>
      <c r="F19" s="3280"/>
      <c r="G19" s="656"/>
      <c r="H19" s="1903"/>
      <c r="I19" s="1904"/>
      <c r="J19" s="3344"/>
      <c r="K19" s="3318"/>
      <c r="L19" s="3345"/>
      <c r="M19" s="3346"/>
      <c r="N19" s="3347"/>
      <c r="O19" s="3290"/>
      <c r="P19" s="3291"/>
      <c r="Q19" s="3293"/>
      <c r="R19" s="3348"/>
      <c r="S19" s="3316"/>
      <c r="T19" s="3318"/>
      <c r="U19" s="3318"/>
      <c r="V19" s="1919" t="s">
        <v>1846</v>
      </c>
      <c r="W19" s="1320">
        <v>200000000</v>
      </c>
      <c r="X19" s="1917"/>
      <c r="Y19" s="1918"/>
      <c r="Z19" s="1914">
        <v>92</v>
      </c>
      <c r="AA19" s="1233" t="s">
        <v>1836</v>
      </c>
      <c r="AB19" s="3302"/>
      <c r="AC19" s="3302"/>
      <c r="AD19" s="3305"/>
      <c r="AE19" s="3302"/>
      <c r="AF19" s="3308"/>
      <c r="AG19" s="3311"/>
      <c r="AH19" s="3308"/>
      <c r="AI19" s="3311"/>
      <c r="AJ19" s="3308"/>
      <c r="AK19" s="3311"/>
      <c r="AL19" s="3331"/>
      <c r="AM19" s="3334"/>
      <c r="AN19" s="3325"/>
      <c r="AO19" s="3305"/>
      <c r="AP19" s="3325"/>
      <c r="AQ19" s="1905"/>
      <c r="AR19" s="3305"/>
      <c r="AS19" s="1905"/>
      <c r="AT19" s="3325"/>
      <c r="AU19" s="3327"/>
      <c r="AV19" s="3325"/>
      <c r="AW19" s="3327"/>
      <c r="AX19" s="3325"/>
      <c r="AY19" s="3327"/>
      <c r="AZ19" s="3325"/>
      <c r="BA19" s="3327"/>
      <c r="BB19" s="3325"/>
      <c r="BC19" s="3327"/>
      <c r="BD19" s="3325"/>
      <c r="BE19" s="1905"/>
      <c r="BF19" s="3302"/>
      <c r="BG19" s="3337"/>
      <c r="BH19" s="3337"/>
      <c r="BI19" s="3123"/>
      <c r="BJ19" s="3123"/>
      <c r="BK19" s="3353"/>
      <c r="BL19" s="1907"/>
      <c r="BM19" s="1907"/>
      <c r="BN19" s="3355"/>
      <c r="BO19" s="3355"/>
      <c r="BP19" s="3355"/>
      <c r="BQ19" s="3355"/>
      <c r="BR19" s="3341"/>
      <c r="BS19" s="656"/>
      <c r="BT19" s="656"/>
    </row>
    <row r="20" spans="1:72" s="657" customFormat="1" ht="35.25" customHeight="1" x14ac:dyDescent="0.2">
      <c r="A20" s="3271"/>
      <c r="B20" s="3275"/>
      <c r="C20" s="3276"/>
      <c r="D20" s="3279"/>
      <c r="E20" s="3280"/>
      <c r="F20" s="3280"/>
      <c r="G20" s="656"/>
      <c r="H20" s="1903"/>
      <c r="I20" s="1904"/>
      <c r="J20" s="3281">
        <v>217</v>
      </c>
      <c r="K20" s="3349" t="s">
        <v>1847</v>
      </c>
      <c r="L20" s="3294" t="s">
        <v>1848</v>
      </c>
      <c r="M20" s="3287">
        <v>5</v>
      </c>
      <c r="N20" s="3298">
        <v>0.2</v>
      </c>
      <c r="O20" s="1920"/>
      <c r="P20" s="3291"/>
      <c r="Q20" s="3293"/>
      <c r="R20" s="3322">
        <f>SUM(W20:W46)/S13</f>
        <v>0.80285603322467125</v>
      </c>
      <c r="S20" s="3316"/>
      <c r="T20" s="3318"/>
      <c r="U20" s="3319"/>
      <c r="V20" s="2920" t="s">
        <v>1849</v>
      </c>
      <c r="W20" s="1320">
        <v>2263240971</v>
      </c>
      <c r="X20" s="1320">
        <f>3360000+576785230</f>
        <v>580145230</v>
      </c>
      <c r="Y20" s="1320">
        <v>3360000</v>
      </c>
      <c r="Z20" s="1898">
        <v>42</v>
      </c>
      <c r="AA20" s="1899" t="s">
        <v>1850</v>
      </c>
      <c r="AB20" s="3302"/>
      <c r="AC20" s="3302"/>
      <c r="AD20" s="3305"/>
      <c r="AE20" s="3302"/>
      <c r="AF20" s="3308"/>
      <c r="AG20" s="3311"/>
      <c r="AH20" s="3308"/>
      <c r="AI20" s="3311"/>
      <c r="AJ20" s="3308"/>
      <c r="AK20" s="3311"/>
      <c r="AL20" s="3331"/>
      <c r="AM20" s="3334"/>
      <c r="AN20" s="3325"/>
      <c r="AO20" s="3305"/>
      <c r="AP20" s="3325"/>
      <c r="AQ20" s="1905"/>
      <c r="AR20" s="3305"/>
      <c r="AS20" s="1905"/>
      <c r="AT20" s="3325"/>
      <c r="AU20" s="3327"/>
      <c r="AV20" s="3325"/>
      <c r="AW20" s="3327"/>
      <c r="AX20" s="3325"/>
      <c r="AY20" s="3327"/>
      <c r="AZ20" s="3325"/>
      <c r="BA20" s="3327"/>
      <c r="BB20" s="3325"/>
      <c r="BC20" s="3327"/>
      <c r="BD20" s="3325"/>
      <c r="BE20" s="1905"/>
      <c r="BF20" s="3302"/>
      <c r="BG20" s="3337"/>
      <c r="BH20" s="3337"/>
      <c r="BI20" s="3123"/>
      <c r="BJ20" s="3123"/>
      <c r="BK20" s="3353"/>
      <c r="BL20" s="1907"/>
      <c r="BM20" s="1907"/>
      <c r="BN20" s="3355"/>
      <c r="BO20" s="3355"/>
      <c r="BP20" s="3355"/>
      <c r="BQ20" s="3355"/>
      <c r="BR20" s="3341"/>
      <c r="BS20" s="656"/>
      <c r="BT20" s="656"/>
    </row>
    <row r="21" spans="1:72" s="657" customFormat="1" ht="28.5" x14ac:dyDescent="0.2">
      <c r="A21" s="3271"/>
      <c r="B21" s="3275"/>
      <c r="C21" s="3276"/>
      <c r="D21" s="3279"/>
      <c r="E21" s="3280"/>
      <c r="F21" s="3280"/>
      <c r="G21" s="656"/>
      <c r="H21" s="1903"/>
      <c r="I21" s="1904"/>
      <c r="J21" s="3340"/>
      <c r="K21" s="3350"/>
      <c r="L21" s="3295"/>
      <c r="M21" s="3297"/>
      <c r="N21" s="3299"/>
      <c r="O21" s="1920"/>
      <c r="P21" s="3291"/>
      <c r="Q21" s="3293"/>
      <c r="R21" s="3323"/>
      <c r="S21" s="3316"/>
      <c r="T21" s="3318"/>
      <c r="U21" s="3319"/>
      <c r="V21" s="2921"/>
      <c r="W21" s="1320">
        <v>2135000000</v>
      </c>
      <c r="X21" s="1320">
        <v>207595500</v>
      </c>
      <c r="Y21" s="1320">
        <v>103797750</v>
      </c>
      <c r="Z21" s="1898">
        <v>92</v>
      </c>
      <c r="AA21" s="1899" t="s">
        <v>1836</v>
      </c>
      <c r="AB21" s="3302"/>
      <c r="AC21" s="3302"/>
      <c r="AD21" s="3305"/>
      <c r="AE21" s="3302"/>
      <c r="AF21" s="3308"/>
      <c r="AG21" s="3311"/>
      <c r="AH21" s="3308"/>
      <c r="AI21" s="3311"/>
      <c r="AJ21" s="3308"/>
      <c r="AK21" s="3311"/>
      <c r="AL21" s="3331"/>
      <c r="AM21" s="3334"/>
      <c r="AN21" s="3325"/>
      <c r="AO21" s="3305"/>
      <c r="AP21" s="3325"/>
      <c r="AQ21" s="1905"/>
      <c r="AR21" s="3305"/>
      <c r="AS21" s="1905"/>
      <c r="AT21" s="3325"/>
      <c r="AU21" s="3327"/>
      <c r="AV21" s="3325"/>
      <c r="AW21" s="3327"/>
      <c r="AX21" s="3325"/>
      <c r="AY21" s="3327"/>
      <c r="AZ21" s="3325"/>
      <c r="BA21" s="3327"/>
      <c r="BB21" s="3325"/>
      <c r="BC21" s="3327"/>
      <c r="BD21" s="3325"/>
      <c r="BE21" s="1905"/>
      <c r="BF21" s="3302"/>
      <c r="BG21" s="3337"/>
      <c r="BH21" s="3337"/>
      <c r="BI21" s="3123"/>
      <c r="BJ21" s="3123"/>
      <c r="BK21" s="3353"/>
      <c r="BL21" s="1907"/>
      <c r="BM21" s="1907"/>
      <c r="BN21" s="3355"/>
      <c r="BO21" s="3355"/>
      <c r="BP21" s="3355"/>
      <c r="BQ21" s="3355"/>
      <c r="BR21" s="3341"/>
      <c r="BS21" s="656"/>
      <c r="BT21" s="656"/>
    </row>
    <row r="22" spans="1:72" s="657" customFormat="1" ht="35.25" customHeight="1" x14ac:dyDescent="0.2">
      <c r="A22" s="3271"/>
      <c r="B22" s="3275"/>
      <c r="C22" s="3276"/>
      <c r="D22" s="3279"/>
      <c r="E22" s="3280"/>
      <c r="F22" s="3280"/>
      <c r="G22" s="656"/>
      <c r="H22" s="1903"/>
      <c r="I22" s="1904"/>
      <c r="J22" s="3340"/>
      <c r="K22" s="3350"/>
      <c r="L22" s="3295"/>
      <c r="M22" s="3297"/>
      <c r="N22" s="3299"/>
      <c r="O22" s="1920"/>
      <c r="P22" s="3291"/>
      <c r="Q22" s="3293"/>
      <c r="R22" s="3323"/>
      <c r="S22" s="3316"/>
      <c r="T22" s="3318"/>
      <c r="U22" s="3319"/>
      <c r="V22" s="2920" t="s">
        <v>1851</v>
      </c>
      <c r="W22" s="1320">
        <v>103000000</v>
      </c>
      <c r="X22" s="1320">
        <v>3382366</v>
      </c>
      <c r="Y22" s="1320">
        <v>3382366</v>
      </c>
      <c r="Z22" s="1898">
        <v>42</v>
      </c>
      <c r="AA22" s="1899" t="s">
        <v>1850</v>
      </c>
      <c r="AB22" s="3302"/>
      <c r="AC22" s="3302"/>
      <c r="AD22" s="3305"/>
      <c r="AE22" s="3302"/>
      <c r="AF22" s="3308"/>
      <c r="AG22" s="3311"/>
      <c r="AH22" s="3308"/>
      <c r="AI22" s="3311"/>
      <c r="AJ22" s="3308"/>
      <c r="AK22" s="3311"/>
      <c r="AL22" s="3331"/>
      <c r="AM22" s="3334"/>
      <c r="AN22" s="3325"/>
      <c r="AO22" s="3305"/>
      <c r="AP22" s="3325"/>
      <c r="AQ22" s="1905"/>
      <c r="AR22" s="3305"/>
      <c r="AS22" s="1905"/>
      <c r="AT22" s="3325"/>
      <c r="AU22" s="3327"/>
      <c r="AV22" s="3325"/>
      <c r="AW22" s="3327"/>
      <c r="AX22" s="3325"/>
      <c r="AY22" s="3327"/>
      <c r="AZ22" s="3325"/>
      <c r="BA22" s="3327"/>
      <c r="BB22" s="3325"/>
      <c r="BC22" s="3327"/>
      <c r="BD22" s="3325"/>
      <c r="BE22" s="1905"/>
      <c r="BF22" s="3302"/>
      <c r="BG22" s="3337"/>
      <c r="BH22" s="3337"/>
      <c r="BI22" s="3123"/>
      <c r="BJ22" s="3123"/>
      <c r="BK22" s="3353"/>
      <c r="BL22" s="1907"/>
      <c r="BM22" s="1907"/>
      <c r="BN22" s="3355"/>
      <c r="BO22" s="3355"/>
      <c r="BP22" s="3355"/>
      <c r="BQ22" s="3355"/>
      <c r="BR22" s="3341"/>
      <c r="BS22" s="656"/>
      <c r="BT22" s="656"/>
    </row>
    <row r="23" spans="1:72" s="657" customFormat="1" ht="38.25" customHeight="1" x14ac:dyDescent="0.2">
      <c r="A23" s="3271"/>
      <c r="B23" s="3275"/>
      <c r="C23" s="3276"/>
      <c r="D23" s="3279"/>
      <c r="E23" s="3280"/>
      <c r="F23" s="3280"/>
      <c r="G23" s="656"/>
      <c r="H23" s="1903"/>
      <c r="I23" s="1904"/>
      <c r="J23" s="3340"/>
      <c r="K23" s="3350"/>
      <c r="L23" s="3295"/>
      <c r="M23" s="3297"/>
      <c r="N23" s="3299"/>
      <c r="O23" s="1920"/>
      <c r="P23" s="3291"/>
      <c r="Q23" s="3293"/>
      <c r="R23" s="3323"/>
      <c r="S23" s="3316"/>
      <c r="T23" s="3318"/>
      <c r="U23" s="3319"/>
      <c r="V23" s="2921"/>
      <c r="W23" s="1325">
        <v>100382366</v>
      </c>
      <c r="X23" s="1320"/>
      <c r="Y23" s="1320"/>
      <c r="Z23" s="1898">
        <v>92</v>
      </c>
      <c r="AA23" s="1899" t="s">
        <v>1836</v>
      </c>
      <c r="AB23" s="3302"/>
      <c r="AC23" s="3302"/>
      <c r="AD23" s="3305"/>
      <c r="AE23" s="3302"/>
      <c r="AF23" s="3308"/>
      <c r="AG23" s="3311"/>
      <c r="AH23" s="3308"/>
      <c r="AI23" s="3311"/>
      <c r="AJ23" s="3308"/>
      <c r="AK23" s="3311"/>
      <c r="AL23" s="3331"/>
      <c r="AM23" s="3334"/>
      <c r="AN23" s="3325"/>
      <c r="AO23" s="3305"/>
      <c r="AP23" s="3325"/>
      <c r="AQ23" s="1905"/>
      <c r="AR23" s="3305"/>
      <c r="AS23" s="1905"/>
      <c r="AT23" s="3325"/>
      <c r="AU23" s="3327"/>
      <c r="AV23" s="3325"/>
      <c r="AW23" s="3327"/>
      <c r="AX23" s="3325"/>
      <c r="AY23" s="3327"/>
      <c r="AZ23" s="3325"/>
      <c r="BA23" s="3327"/>
      <c r="BB23" s="3325"/>
      <c r="BC23" s="3327"/>
      <c r="BD23" s="3325"/>
      <c r="BE23" s="1905"/>
      <c r="BF23" s="3302"/>
      <c r="BG23" s="3337"/>
      <c r="BH23" s="3337"/>
      <c r="BI23" s="3123"/>
      <c r="BJ23" s="3123"/>
      <c r="BK23" s="3353"/>
      <c r="BL23" s="1907"/>
      <c r="BM23" s="1907"/>
      <c r="BN23" s="3355"/>
      <c r="BO23" s="3355"/>
      <c r="BP23" s="3355"/>
      <c r="BQ23" s="3355"/>
      <c r="BR23" s="3341"/>
      <c r="BS23" s="656"/>
      <c r="BT23" s="656"/>
    </row>
    <row r="24" spans="1:72" s="657" customFormat="1" ht="34.5" customHeight="1" x14ac:dyDescent="0.2">
      <c r="A24" s="3271"/>
      <c r="B24" s="3275"/>
      <c r="C24" s="3276"/>
      <c r="D24" s="3279"/>
      <c r="E24" s="3280"/>
      <c r="F24" s="3280"/>
      <c r="G24" s="656"/>
      <c r="H24" s="1903"/>
      <c r="I24" s="1904"/>
      <c r="J24" s="3340"/>
      <c r="K24" s="3350"/>
      <c r="L24" s="3295"/>
      <c r="M24" s="3297"/>
      <c r="N24" s="3299"/>
      <c r="O24" s="1920"/>
      <c r="P24" s="3291"/>
      <c r="Q24" s="3293"/>
      <c r="R24" s="3323"/>
      <c r="S24" s="3316"/>
      <c r="T24" s="3318"/>
      <c r="U24" s="3319"/>
      <c r="V24" s="2920" t="s">
        <v>1852</v>
      </c>
      <c r="W24" s="1320">
        <v>100000000</v>
      </c>
      <c r="X24" s="1320">
        <v>100000000</v>
      </c>
      <c r="Y24" s="1320">
        <v>0</v>
      </c>
      <c r="Z24" s="1898">
        <v>42</v>
      </c>
      <c r="AA24" s="1899" t="s">
        <v>1850</v>
      </c>
      <c r="AB24" s="3302"/>
      <c r="AC24" s="3302"/>
      <c r="AD24" s="3305"/>
      <c r="AE24" s="3302"/>
      <c r="AF24" s="3308"/>
      <c r="AG24" s="3311"/>
      <c r="AH24" s="3308"/>
      <c r="AI24" s="3311"/>
      <c r="AJ24" s="3308"/>
      <c r="AK24" s="3311"/>
      <c r="AL24" s="3331"/>
      <c r="AM24" s="3334"/>
      <c r="AN24" s="3325"/>
      <c r="AO24" s="3305"/>
      <c r="AP24" s="3325"/>
      <c r="AQ24" s="1905"/>
      <c r="AR24" s="3305"/>
      <c r="AS24" s="1905"/>
      <c r="AT24" s="3325"/>
      <c r="AU24" s="3327"/>
      <c r="AV24" s="3325"/>
      <c r="AW24" s="3327"/>
      <c r="AX24" s="3325"/>
      <c r="AY24" s="3327"/>
      <c r="AZ24" s="3325"/>
      <c r="BA24" s="3327"/>
      <c r="BB24" s="3325"/>
      <c r="BC24" s="3327"/>
      <c r="BD24" s="3325"/>
      <c r="BE24" s="1905"/>
      <c r="BF24" s="3302"/>
      <c r="BG24" s="3337"/>
      <c r="BH24" s="3337"/>
      <c r="BI24" s="3123"/>
      <c r="BJ24" s="3123"/>
      <c r="BK24" s="3353"/>
      <c r="BL24" s="1907"/>
      <c r="BM24" s="1907"/>
      <c r="BN24" s="3355"/>
      <c r="BO24" s="3355"/>
      <c r="BP24" s="3355"/>
      <c r="BQ24" s="3355"/>
      <c r="BR24" s="3341"/>
      <c r="BS24" s="656"/>
      <c r="BT24" s="656"/>
    </row>
    <row r="25" spans="1:72" s="657" customFormat="1" ht="39" customHeight="1" x14ac:dyDescent="0.2">
      <c r="A25" s="3271"/>
      <c r="B25" s="3275"/>
      <c r="C25" s="3276"/>
      <c r="D25" s="3279"/>
      <c r="E25" s="3280"/>
      <c r="F25" s="3280"/>
      <c r="G25" s="656"/>
      <c r="H25" s="1903"/>
      <c r="I25" s="1904"/>
      <c r="J25" s="3340"/>
      <c r="K25" s="3350"/>
      <c r="L25" s="3295"/>
      <c r="M25" s="3297"/>
      <c r="N25" s="3299"/>
      <c r="O25" s="1921"/>
      <c r="P25" s="3291"/>
      <c r="Q25" s="3293"/>
      <c r="R25" s="3323"/>
      <c r="S25" s="3316"/>
      <c r="T25" s="3318"/>
      <c r="U25" s="3319"/>
      <c r="V25" s="2921"/>
      <c r="W25" s="1320">
        <v>0</v>
      </c>
      <c r="X25" s="1320">
        <v>0</v>
      </c>
      <c r="Y25" s="1320">
        <v>0</v>
      </c>
      <c r="Z25" s="1898">
        <v>92</v>
      </c>
      <c r="AA25" s="1899" t="s">
        <v>1836</v>
      </c>
      <c r="AB25" s="3302"/>
      <c r="AC25" s="3302"/>
      <c r="AD25" s="3305"/>
      <c r="AE25" s="3302"/>
      <c r="AF25" s="3308"/>
      <c r="AG25" s="3311"/>
      <c r="AH25" s="3308"/>
      <c r="AI25" s="3311"/>
      <c r="AJ25" s="3308"/>
      <c r="AK25" s="3311"/>
      <c r="AL25" s="3331"/>
      <c r="AM25" s="3334"/>
      <c r="AN25" s="3325"/>
      <c r="AO25" s="3305"/>
      <c r="AP25" s="3325"/>
      <c r="AQ25" s="1905"/>
      <c r="AR25" s="3305"/>
      <c r="AS25" s="1905"/>
      <c r="AT25" s="3325"/>
      <c r="AU25" s="3327"/>
      <c r="AV25" s="3325"/>
      <c r="AW25" s="3327"/>
      <c r="AX25" s="3325"/>
      <c r="AY25" s="3327"/>
      <c r="AZ25" s="3325"/>
      <c r="BA25" s="3327"/>
      <c r="BB25" s="3325"/>
      <c r="BC25" s="3327"/>
      <c r="BD25" s="3325"/>
      <c r="BE25" s="1905"/>
      <c r="BF25" s="3302"/>
      <c r="BG25" s="3337"/>
      <c r="BH25" s="3337"/>
      <c r="BI25" s="3123"/>
      <c r="BJ25" s="3123"/>
      <c r="BK25" s="3353"/>
      <c r="BL25" s="1907"/>
      <c r="BM25" s="1907"/>
      <c r="BN25" s="3355"/>
      <c r="BO25" s="3355"/>
      <c r="BP25" s="3355"/>
      <c r="BQ25" s="3355"/>
      <c r="BR25" s="3341"/>
      <c r="BS25" s="656"/>
      <c r="BT25" s="656"/>
    </row>
    <row r="26" spans="1:72" s="657" customFormat="1" ht="54" customHeight="1" x14ac:dyDescent="0.2">
      <c r="A26" s="3271"/>
      <c r="B26" s="3275"/>
      <c r="C26" s="3276"/>
      <c r="D26" s="3279"/>
      <c r="E26" s="3280"/>
      <c r="F26" s="3280"/>
      <c r="G26" s="656"/>
      <c r="H26" s="1903"/>
      <c r="I26" s="1904"/>
      <c r="J26" s="3340"/>
      <c r="K26" s="3350"/>
      <c r="L26" s="3295"/>
      <c r="M26" s="3297"/>
      <c r="N26" s="3299"/>
      <c r="O26" s="1921"/>
      <c r="P26" s="3291"/>
      <c r="Q26" s="3293"/>
      <c r="R26" s="3323"/>
      <c r="S26" s="3316"/>
      <c r="T26" s="3318"/>
      <c r="U26" s="3319"/>
      <c r="V26" s="1922" t="s">
        <v>1853</v>
      </c>
      <c r="W26" s="1325">
        <v>0</v>
      </c>
      <c r="X26" s="1325">
        <v>0</v>
      </c>
      <c r="Y26" s="1325">
        <v>0</v>
      </c>
      <c r="Z26" s="1898">
        <v>42</v>
      </c>
      <c r="AA26" s="1899" t="s">
        <v>1850</v>
      </c>
      <c r="AB26" s="3302"/>
      <c r="AC26" s="3302"/>
      <c r="AD26" s="3305"/>
      <c r="AE26" s="3302"/>
      <c r="AF26" s="3308"/>
      <c r="AG26" s="3311"/>
      <c r="AH26" s="3308"/>
      <c r="AI26" s="3311"/>
      <c r="AJ26" s="3308"/>
      <c r="AK26" s="3311"/>
      <c r="AL26" s="3331"/>
      <c r="AM26" s="3334"/>
      <c r="AN26" s="3325"/>
      <c r="AO26" s="3305"/>
      <c r="AP26" s="3325"/>
      <c r="AQ26" s="1905"/>
      <c r="AR26" s="3305"/>
      <c r="AS26" s="1905"/>
      <c r="AT26" s="3325"/>
      <c r="AU26" s="3327"/>
      <c r="AV26" s="3325"/>
      <c r="AW26" s="3327"/>
      <c r="AX26" s="3325"/>
      <c r="AY26" s="3327"/>
      <c r="AZ26" s="3325"/>
      <c r="BA26" s="3327"/>
      <c r="BB26" s="3325"/>
      <c r="BC26" s="3327"/>
      <c r="BD26" s="3325"/>
      <c r="BE26" s="1905"/>
      <c r="BF26" s="3302"/>
      <c r="BG26" s="3337"/>
      <c r="BH26" s="3337"/>
      <c r="BI26" s="3123"/>
      <c r="BJ26" s="3123"/>
      <c r="BK26" s="3353"/>
      <c r="BL26" s="1923">
        <v>20</v>
      </c>
      <c r="BM26" s="1924"/>
      <c r="BN26" s="3355"/>
      <c r="BO26" s="3355"/>
      <c r="BP26" s="3355"/>
      <c r="BQ26" s="3355"/>
      <c r="BR26" s="3341"/>
      <c r="BS26" s="656"/>
      <c r="BT26" s="656"/>
    </row>
    <row r="27" spans="1:72" s="657" customFormat="1" ht="43.5" customHeight="1" x14ac:dyDescent="0.2">
      <c r="A27" s="3271"/>
      <c r="B27" s="3275"/>
      <c r="C27" s="3276"/>
      <c r="D27" s="3279"/>
      <c r="E27" s="3280"/>
      <c r="F27" s="3280"/>
      <c r="G27" s="656"/>
      <c r="H27" s="1903"/>
      <c r="I27" s="1904"/>
      <c r="J27" s="3340"/>
      <c r="K27" s="3350"/>
      <c r="L27" s="3295"/>
      <c r="M27" s="3297"/>
      <c r="N27" s="3299"/>
      <c r="O27" s="1921" t="s">
        <v>1854</v>
      </c>
      <c r="P27" s="3291"/>
      <c r="Q27" s="3293"/>
      <c r="R27" s="3323"/>
      <c r="S27" s="3316"/>
      <c r="T27" s="3318"/>
      <c r="U27" s="3319"/>
      <c r="V27" s="2920" t="s">
        <v>1855</v>
      </c>
      <c r="W27" s="1320">
        <v>50000000</v>
      </c>
      <c r="X27" s="1320">
        <v>0</v>
      </c>
      <c r="Y27" s="1320">
        <v>0</v>
      </c>
      <c r="Z27" s="1898">
        <v>42</v>
      </c>
      <c r="AA27" s="1899" t="s">
        <v>1850</v>
      </c>
      <c r="AB27" s="3302"/>
      <c r="AC27" s="3302"/>
      <c r="AD27" s="3305"/>
      <c r="AE27" s="3302"/>
      <c r="AF27" s="3308"/>
      <c r="AG27" s="3311"/>
      <c r="AH27" s="3308"/>
      <c r="AI27" s="3311"/>
      <c r="AJ27" s="3308"/>
      <c r="AK27" s="3311"/>
      <c r="AL27" s="3331"/>
      <c r="AM27" s="3334"/>
      <c r="AN27" s="3325"/>
      <c r="AO27" s="3305"/>
      <c r="AP27" s="3325"/>
      <c r="AQ27" s="1905"/>
      <c r="AR27" s="3305"/>
      <c r="AS27" s="1905"/>
      <c r="AT27" s="3325"/>
      <c r="AU27" s="3327"/>
      <c r="AV27" s="3325"/>
      <c r="AW27" s="3327"/>
      <c r="AX27" s="3325"/>
      <c r="AY27" s="3327"/>
      <c r="AZ27" s="3325"/>
      <c r="BA27" s="3327"/>
      <c r="BB27" s="3325"/>
      <c r="BC27" s="3327"/>
      <c r="BD27" s="3325"/>
      <c r="BE27" s="1905"/>
      <c r="BF27" s="3302"/>
      <c r="BG27" s="3337"/>
      <c r="BH27" s="3337"/>
      <c r="BI27" s="3123"/>
      <c r="BJ27" s="3123"/>
      <c r="BK27" s="3353"/>
      <c r="BL27" s="3340">
        <v>42</v>
      </c>
      <c r="BM27" s="1907"/>
      <c r="BN27" s="3355"/>
      <c r="BO27" s="3355"/>
      <c r="BP27" s="3355"/>
      <c r="BQ27" s="3355"/>
      <c r="BR27" s="3341"/>
      <c r="BS27" s="656"/>
      <c r="BT27" s="656"/>
    </row>
    <row r="28" spans="1:72" s="657" customFormat="1" ht="40.5" customHeight="1" x14ac:dyDescent="0.2">
      <c r="A28" s="3271"/>
      <c r="B28" s="3275"/>
      <c r="C28" s="3276"/>
      <c r="D28" s="3279"/>
      <c r="E28" s="3280"/>
      <c r="F28" s="3280"/>
      <c r="G28" s="656"/>
      <c r="H28" s="1903"/>
      <c r="I28" s="1904"/>
      <c r="J28" s="3340"/>
      <c r="K28" s="3350"/>
      <c r="L28" s="3295"/>
      <c r="M28" s="3297"/>
      <c r="N28" s="3299"/>
      <c r="O28" s="1921"/>
      <c r="P28" s="3291"/>
      <c r="Q28" s="3293"/>
      <c r="R28" s="3323"/>
      <c r="S28" s="3316"/>
      <c r="T28" s="3318"/>
      <c r="U28" s="3319"/>
      <c r="V28" s="2921"/>
      <c r="W28" s="1320">
        <v>47000000</v>
      </c>
      <c r="X28" s="1320">
        <v>0</v>
      </c>
      <c r="Y28" s="1320">
        <v>0</v>
      </c>
      <c r="Z28" s="1898">
        <v>92</v>
      </c>
      <c r="AA28" s="1899" t="s">
        <v>1836</v>
      </c>
      <c r="AB28" s="3302"/>
      <c r="AC28" s="3302"/>
      <c r="AD28" s="3305"/>
      <c r="AE28" s="3302"/>
      <c r="AF28" s="3308"/>
      <c r="AG28" s="3311"/>
      <c r="AH28" s="3308"/>
      <c r="AI28" s="3311"/>
      <c r="AJ28" s="3308"/>
      <c r="AK28" s="3311"/>
      <c r="AL28" s="3331"/>
      <c r="AM28" s="3334"/>
      <c r="AN28" s="3325"/>
      <c r="AO28" s="3305"/>
      <c r="AP28" s="3325"/>
      <c r="AQ28" s="1905"/>
      <c r="AR28" s="3305"/>
      <c r="AS28" s="1905"/>
      <c r="AT28" s="3325"/>
      <c r="AU28" s="3327"/>
      <c r="AV28" s="3325"/>
      <c r="AW28" s="3327"/>
      <c r="AX28" s="3325"/>
      <c r="AY28" s="3327"/>
      <c r="AZ28" s="3325"/>
      <c r="BA28" s="3327"/>
      <c r="BB28" s="3325"/>
      <c r="BC28" s="3327"/>
      <c r="BD28" s="3325"/>
      <c r="BE28" s="1905"/>
      <c r="BF28" s="3302"/>
      <c r="BG28" s="3337"/>
      <c r="BH28" s="3337"/>
      <c r="BI28" s="3123"/>
      <c r="BJ28" s="3123"/>
      <c r="BK28" s="3353"/>
      <c r="BL28" s="3340"/>
      <c r="BM28" s="1924" t="s">
        <v>1856</v>
      </c>
      <c r="BN28" s="3355"/>
      <c r="BO28" s="3355"/>
      <c r="BP28" s="3355"/>
      <c r="BQ28" s="3355"/>
      <c r="BR28" s="3341"/>
      <c r="BS28" s="656"/>
      <c r="BT28" s="656"/>
    </row>
    <row r="29" spans="1:72" s="657" customFormat="1" ht="31.5" customHeight="1" x14ac:dyDescent="0.2">
      <c r="A29" s="3271"/>
      <c r="B29" s="3275"/>
      <c r="C29" s="3276"/>
      <c r="D29" s="3279"/>
      <c r="E29" s="3280"/>
      <c r="F29" s="3280"/>
      <c r="G29" s="656"/>
      <c r="H29" s="1903"/>
      <c r="I29" s="1904"/>
      <c r="J29" s="3340"/>
      <c r="K29" s="3350"/>
      <c r="L29" s="3295"/>
      <c r="M29" s="3297"/>
      <c r="N29" s="3299"/>
      <c r="O29" s="1921"/>
      <c r="P29" s="3291"/>
      <c r="Q29" s="3293"/>
      <c r="R29" s="3323"/>
      <c r="S29" s="3316"/>
      <c r="T29" s="3318"/>
      <c r="U29" s="3319"/>
      <c r="V29" s="2920" t="s">
        <v>1857</v>
      </c>
      <c r="W29" s="1325">
        <v>35100000</v>
      </c>
      <c r="X29" s="1320">
        <v>15000000</v>
      </c>
      <c r="Y29" s="1320">
        <v>0</v>
      </c>
      <c r="Z29" s="1898">
        <v>42</v>
      </c>
      <c r="AA29" s="1899" t="s">
        <v>1850</v>
      </c>
      <c r="AB29" s="3302"/>
      <c r="AC29" s="3302"/>
      <c r="AD29" s="3305"/>
      <c r="AE29" s="3302"/>
      <c r="AF29" s="3308"/>
      <c r="AG29" s="3311"/>
      <c r="AH29" s="3308"/>
      <c r="AI29" s="3311"/>
      <c r="AJ29" s="3308"/>
      <c r="AK29" s="3311"/>
      <c r="AL29" s="3331"/>
      <c r="AM29" s="3334"/>
      <c r="AN29" s="3325"/>
      <c r="AO29" s="3305"/>
      <c r="AP29" s="3325"/>
      <c r="AQ29" s="1905"/>
      <c r="AR29" s="3305"/>
      <c r="AS29" s="1905"/>
      <c r="AT29" s="3325"/>
      <c r="AU29" s="3327"/>
      <c r="AV29" s="3325"/>
      <c r="AW29" s="3327"/>
      <c r="AX29" s="3325"/>
      <c r="AY29" s="3327"/>
      <c r="AZ29" s="3325"/>
      <c r="BA29" s="3327"/>
      <c r="BB29" s="3325"/>
      <c r="BC29" s="3327"/>
      <c r="BD29" s="3325"/>
      <c r="BE29" s="1905"/>
      <c r="BF29" s="3302"/>
      <c r="BG29" s="3337"/>
      <c r="BH29" s="3337"/>
      <c r="BI29" s="3123"/>
      <c r="BJ29" s="3123"/>
      <c r="BK29" s="3353"/>
      <c r="BL29" s="3340"/>
      <c r="BM29" s="1907"/>
      <c r="BN29" s="3355"/>
      <c r="BO29" s="3355"/>
      <c r="BP29" s="3355"/>
      <c r="BQ29" s="3355"/>
      <c r="BR29" s="3341"/>
      <c r="BS29" s="656"/>
      <c r="BT29" s="656"/>
    </row>
    <row r="30" spans="1:72" s="657" customFormat="1" ht="39.75" customHeight="1" x14ac:dyDescent="0.2">
      <c r="A30" s="3271"/>
      <c r="B30" s="3275"/>
      <c r="C30" s="3276"/>
      <c r="D30" s="3279"/>
      <c r="E30" s="3280"/>
      <c r="F30" s="3280"/>
      <c r="G30" s="656"/>
      <c r="H30" s="1903"/>
      <c r="I30" s="1904"/>
      <c r="J30" s="3340"/>
      <c r="K30" s="3350"/>
      <c r="L30" s="3295"/>
      <c r="M30" s="3297"/>
      <c r="N30" s="3299"/>
      <c r="O30" s="1921"/>
      <c r="P30" s="3291"/>
      <c r="Q30" s="3293"/>
      <c r="R30" s="3323"/>
      <c r="S30" s="3316"/>
      <c r="T30" s="3318"/>
      <c r="U30" s="3319"/>
      <c r="V30" s="2921"/>
      <c r="W30" s="1325">
        <v>85000000</v>
      </c>
      <c r="X30" s="1320">
        <v>85000000</v>
      </c>
      <c r="Y30" s="1320">
        <v>0</v>
      </c>
      <c r="Z30" s="1898">
        <v>92</v>
      </c>
      <c r="AA30" s="1899" t="s">
        <v>1836</v>
      </c>
      <c r="AB30" s="3302"/>
      <c r="AC30" s="3302"/>
      <c r="AD30" s="3305"/>
      <c r="AE30" s="3302"/>
      <c r="AF30" s="3308"/>
      <c r="AG30" s="3311"/>
      <c r="AH30" s="3308"/>
      <c r="AI30" s="3311"/>
      <c r="AJ30" s="3308"/>
      <c r="AK30" s="3311"/>
      <c r="AL30" s="3331"/>
      <c r="AM30" s="3334"/>
      <c r="AN30" s="3325"/>
      <c r="AO30" s="3305"/>
      <c r="AP30" s="3325"/>
      <c r="AQ30" s="1905"/>
      <c r="AR30" s="3305"/>
      <c r="AS30" s="1905"/>
      <c r="AT30" s="3325"/>
      <c r="AU30" s="3327"/>
      <c r="AV30" s="3325"/>
      <c r="AW30" s="3327"/>
      <c r="AX30" s="3325"/>
      <c r="AY30" s="3327"/>
      <c r="AZ30" s="3325"/>
      <c r="BA30" s="3327"/>
      <c r="BB30" s="3325"/>
      <c r="BC30" s="3327"/>
      <c r="BD30" s="3325"/>
      <c r="BE30" s="1905"/>
      <c r="BF30" s="3302"/>
      <c r="BG30" s="3337"/>
      <c r="BH30" s="3337"/>
      <c r="BI30" s="3123"/>
      <c r="BJ30" s="3123"/>
      <c r="BK30" s="3353"/>
      <c r="BL30" s="1923">
        <v>92</v>
      </c>
      <c r="BM30" s="1924" t="s">
        <v>1858</v>
      </c>
      <c r="BN30" s="3355"/>
      <c r="BO30" s="3355"/>
      <c r="BP30" s="3355"/>
      <c r="BQ30" s="3355"/>
      <c r="BR30" s="3341"/>
      <c r="BS30" s="656"/>
      <c r="BT30" s="656"/>
    </row>
    <row r="31" spans="1:72" s="657" customFormat="1" ht="31.5" customHeight="1" x14ac:dyDescent="0.2">
      <c r="A31" s="3271"/>
      <c r="B31" s="3275"/>
      <c r="C31" s="3276"/>
      <c r="D31" s="3279"/>
      <c r="E31" s="3280"/>
      <c r="F31" s="3280"/>
      <c r="G31" s="656"/>
      <c r="H31" s="1903"/>
      <c r="I31" s="1904"/>
      <c r="J31" s="3340"/>
      <c r="K31" s="3350"/>
      <c r="L31" s="3295"/>
      <c r="M31" s="3297"/>
      <c r="N31" s="3299"/>
      <c r="O31" s="1921" t="s">
        <v>1859</v>
      </c>
      <c r="P31" s="3291"/>
      <c r="Q31" s="3293"/>
      <c r="R31" s="3323"/>
      <c r="S31" s="3316"/>
      <c r="T31" s="3318"/>
      <c r="U31" s="3319"/>
      <c r="V31" s="2920" t="s">
        <v>1860</v>
      </c>
      <c r="W31" s="1325">
        <v>20000000</v>
      </c>
      <c r="X31" s="1320">
        <v>0</v>
      </c>
      <c r="Y31" s="1320">
        <v>0</v>
      </c>
      <c r="Z31" s="1898">
        <v>42</v>
      </c>
      <c r="AA31" s="1899" t="s">
        <v>1850</v>
      </c>
      <c r="AB31" s="3302"/>
      <c r="AC31" s="3302"/>
      <c r="AD31" s="3305"/>
      <c r="AE31" s="3302"/>
      <c r="AF31" s="3308"/>
      <c r="AG31" s="3311"/>
      <c r="AH31" s="3308"/>
      <c r="AI31" s="3311"/>
      <c r="AJ31" s="3308"/>
      <c r="AK31" s="3311"/>
      <c r="AL31" s="3331"/>
      <c r="AM31" s="3334"/>
      <c r="AN31" s="3325"/>
      <c r="AO31" s="3305"/>
      <c r="AP31" s="3325"/>
      <c r="AQ31" s="1905"/>
      <c r="AR31" s="3305"/>
      <c r="AS31" s="1905"/>
      <c r="AT31" s="3325"/>
      <c r="AU31" s="3327"/>
      <c r="AV31" s="3325"/>
      <c r="AW31" s="3327"/>
      <c r="AX31" s="3325"/>
      <c r="AY31" s="3327"/>
      <c r="AZ31" s="3325"/>
      <c r="BA31" s="3327"/>
      <c r="BB31" s="3325"/>
      <c r="BC31" s="3327"/>
      <c r="BD31" s="3325"/>
      <c r="BE31" s="1905"/>
      <c r="BF31" s="3302"/>
      <c r="BG31" s="3337"/>
      <c r="BH31" s="3337"/>
      <c r="BI31" s="3123"/>
      <c r="BJ31" s="3123"/>
      <c r="BK31" s="3353"/>
      <c r="BL31" s="1907"/>
      <c r="BM31" s="1907"/>
      <c r="BN31" s="3355"/>
      <c r="BO31" s="3355"/>
      <c r="BP31" s="3355"/>
      <c r="BQ31" s="3355"/>
      <c r="BR31" s="3341"/>
      <c r="BS31" s="656"/>
      <c r="BT31" s="656"/>
    </row>
    <row r="32" spans="1:72" s="657" customFormat="1" ht="29.25" customHeight="1" x14ac:dyDescent="0.2">
      <c r="A32" s="3271"/>
      <c r="B32" s="3275"/>
      <c r="C32" s="3276"/>
      <c r="D32" s="3279"/>
      <c r="E32" s="3280"/>
      <c r="F32" s="3280"/>
      <c r="G32" s="656"/>
      <c r="H32" s="1903"/>
      <c r="I32" s="1904"/>
      <c r="J32" s="3340"/>
      <c r="K32" s="3350"/>
      <c r="L32" s="3295"/>
      <c r="M32" s="3297"/>
      <c r="N32" s="3299"/>
      <c r="O32" s="1921"/>
      <c r="P32" s="3291"/>
      <c r="Q32" s="3293"/>
      <c r="R32" s="3323"/>
      <c r="S32" s="3316"/>
      <c r="T32" s="3318"/>
      <c r="U32" s="3319"/>
      <c r="V32" s="2921"/>
      <c r="W32" s="1325">
        <v>53000000</v>
      </c>
      <c r="X32" s="1320"/>
      <c r="Y32" s="1320"/>
      <c r="Z32" s="1898">
        <v>92</v>
      </c>
      <c r="AA32" s="1899" t="s">
        <v>1836</v>
      </c>
      <c r="AB32" s="3302"/>
      <c r="AC32" s="3302"/>
      <c r="AD32" s="3305"/>
      <c r="AE32" s="3302"/>
      <c r="AF32" s="3308"/>
      <c r="AG32" s="3311"/>
      <c r="AH32" s="3308"/>
      <c r="AI32" s="3311"/>
      <c r="AJ32" s="3308"/>
      <c r="AK32" s="3311"/>
      <c r="AL32" s="3331"/>
      <c r="AM32" s="3334"/>
      <c r="AN32" s="3325"/>
      <c r="AO32" s="3305"/>
      <c r="AP32" s="3325"/>
      <c r="AQ32" s="1905"/>
      <c r="AR32" s="3305"/>
      <c r="AS32" s="1905"/>
      <c r="AT32" s="3325"/>
      <c r="AU32" s="3327"/>
      <c r="AV32" s="3325"/>
      <c r="AW32" s="3327"/>
      <c r="AX32" s="3325"/>
      <c r="AY32" s="3327"/>
      <c r="AZ32" s="3325"/>
      <c r="BA32" s="3327"/>
      <c r="BB32" s="3325"/>
      <c r="BC32" s="3327"/>
      <c r="BD32" s="3325"/>
      <c r="BE32" s="1905"/>
      <c r="BF32" s="3302"/>
      <c r="BG32" s="3337"/>
      <c r="BH32" s="3337"/>
      <c r="BI32" s="3123"/>
      <c r="BJ32" s="3123"/>
      <c r="BK32" s="3353"/>
      <c r="BL32" s="1907"/>
      <c r="BM32" s="1907"/>
      <c r="BN32" s="3355"/>
      <c r="BO32" s="3355"/>
      <c r="BP32" s="3355"/>
      <c r="BQ32" s="3355"/>
      <c r="BR32" s="3341"/>
      <c r="BS32" s="656"/>
      <c r="BT32" s="656"/>
    </row>
    <row r="33" spans="1:72" s="657" customFormat="1" ht="43.5" customHeight="1" x14ac:dyDescent="0.2">
      <c r="A33" s="3271"/>
      <c r="B33" s="3275"/>
      <c r="C33" s="3276"/>
      <c r="D33" s="3279"/>
      <c r="E33" s="3280"/>
      <c r="F33" s="3280"/>
      <c r="G33" s="656"/>
      <c r="H33" s="1903"/>
      <c r="I33" s="1904"/>
      <c r="J33" s="3340"/>
      <c r="K33" s="3350"/>
      <c r="L33" s="3295"/>
      <c r="M33" s="3297"/>
      <c r="N33" s="3299"/>
      <c r="O33" s="1841"/>
      <c r="P33" s="3291"/>
      <c r="Q33" s="3293"/>
      <c r="R33" s="3323"/>
      <c r="S33" s="3316"/>
      <c r="T33" s="3318"/>
      <c r="U33" s="3319"/>
      <c r="V33" s="2920" t="s">
        <v>1861</v>
      </c>
      <c r="W33" s="1325">
        <v>0</v>
      </c>
      <c r="X33" s="1320">
        <v>0</v>
      </c>
      <c r="Y33" s="1320">
        <v>0</v>
      </c>
      <c r="Z33" s="1898">
        <v>42</v>
      </c>
      <c r="AA33" s="1899" t="s">
        <v>1850</v>
      </c>
      <c r="AB33" s="3302"/>
      <c r="AC33" s="3302"/>
      <c r="AD33" s="3305"/>
      <c r="AE33" s="3302"/>
      <c r="AF33" s="3308"/>
      <c r="AG33" s="3311"/>
      <c r="AH33" s="3308"/>
      <c r="AI33" s="3311"/>
      <c r="AJ33" s="3308"/>
      <c r="AK33" s="3311"/>
      <c r="AL33" s="3331"/>
      <c r="AM33" s="3334"/>
      <c r="AN33" s="3325"/>
      <c r="AO33" s="3305"/>
      <c r="AP33" s="3325"/>
      <c r="AQ33" s="1905"/>
      <c r="AR33" s="3305"/>
      <c r="AS33" s="1905"/>
      <c r="AT33" s="3325"/>
      <c r="AU33" s="3327"/>
      <c r="AV33" s="3325"/>
      <c r="AW33" s="3327"/>
      <c r="AX33" s="3325"/>
      <c r="AY33" s="3327"/>
      <c r="AZ33" s="3325"/>
      <c r="BA33" s="3327"/>
      <c r="BB33" s="3325"/>
      <c r="BC33" s="3327"/>
      <c r="BD33" s="3325"/>
      <c r="BE33" s="1905"/>
      <c r="BF33" s="3302"/>
      <c r="BG33" s="3337"/>
      <c r="BH33" s="3337"/>
      <c r="BI33" s="3123"/>
      <c r="BJ33" s="3123"/>
      <c r="BK33" s="3353"/>
      <c r="BL33" s="1907"/>
      <c r="BM33" s="1907"/>
      <c r="BN33" s="3355"/>
      <c r="BO33" s="3355"/>
      <c r="BP33" s="3355"/>
      <c r="BQ33" s="3355"/>
      <c r="BR33" s="3341"/>
      <c r="BS33" s="656"/>
      <c r="BT33" s="656"/>
    </row>
    <row r="34" spans="1:72" s="657" customFormat="1" ht="33" customHeight="1" x14ac:dyDescent="0.2">
      <c r="A34" s="3271"/>
      <c r="B34" s="3275"/>
      <c r="C34" s="3276"/>
      <c r="D34" s="3279"/>
      <c r="E34" s="3280"/>
      <c r="F34" s="3280"/>
      <c r="G34" s="656"/>
      <c r="H34" s="1903"/>
      <c r="I34" s="1904"/>
      <c r="J34" s="3340"/>
      <c r="K34" s="3350"/>
      <c r="L34" s="3295"/>
      <c r="M34" s="3297"/>
      <c r="N34" s="3299"/>
      <c r="O34" s="1921"/>
      <c r="P34" s="3291"/>
      <c r="Q34" s="3293"/>
      <c r="R34" s="3323"/>
      <c r="S34" s="3316"/>
      <c r="T34" s="3318"/>
      <c r="U34" s="3319"/>
      <c r="V34" s="2921"/>
      <c r="W34" s="1325">
        <v>0</v>
      </c>
      <c r="X34" s="1320">
        <v>0</v>
      </c>
      <c r="Y34" s="1320">
        <v>0</v>
      </c>
      <c r="Z34" s="1898">
        <v>92</v>
      </c>
      <c r="AA34" s="1899" t="s">
        <v>1836</v>
      </c>
      <c r="AB34" s="3302"/>
      <c r="AC34" s="3302"/>
      <c r="AD34" s="3305"/>
      <c r="AE34" s="3302"/>
      <c r="AF34" s="3308"/>
      <c r="AG34" s="3311"/>
      <c r="AH34" s="3308"/>
      <c r="AI34" s="3311"/>
      <c r="AJ34" s="3308"/>
      <c r="AK34" s="3311"/>
      <c r="AL34" s="3331"/>
      <c r="AM34" s="3334"/>
      <c r="AN34" s="3325"/>
      <c r="AO34" s="3305"/>
      <c r="AP34" s="3325"/>
      <c r="AQ34" s="1905"/>
      <c r="AR34" s="3305"/>
      <c r="AS34" s="1905"/>
      <c r="AT34" s="3325"/>
      <c r="AU34" s="3327"/>
      <c r="AV34" s="3325"/>
      <c r="AW34" s="3327"/>
      <c r="AX34" s="3325"/>
      <c r="AY34" s="3327"/>
      <c r="AZ34" s="3325"/>
      <c r="BA34" s="3327"/>
      <c r="BB34" s="3325"/>
      <c r="BC34" s="3327"/>
      <c r="BD34" s="3325"/>
      <c r="BE34" s="1905"/>
      <c r="BF34" s="3302"/>
      <c r="BG34" s="3337"/>
      <c r="BH34" s="3337"/>
      <c r="BI34" s="3123"/>
      <c r="BJ34" s="3123"/>
      <c r="BK34" s="3353"/>
      <c r="BL34" s="1907"/>
      <c r="BM34" s="1907"/>
      <c r="BN34" s="3355"/>
      <c r="BO34" s="3355"/>
      <c r="BP34" s="3355"/>
      <c r="BQ34" s="3355"/>
      <c r="BR34" s="3341"/>
      <c r="BS34" s="656"/>
      <c r="BT34" s="656"/>
    </row>
    <row r="35" spans="1:72" s="657" customFormat="1" ht="40.5" customHeight="1" x14ac:dyDescent="0.2">
      <c r="A35" s="3271"/>
      <c r="B35" s="3275"/>
      <c r="C35" s="3276"/>
      <c r="D35" s="3279"/>
      <c r="E35" s="3280"/>
      <c r="F35" s="3280"/>
      <c r="G35" s="656"/>
      <c r="H35" s="1903"/>
      <c r="I35" s="1904"/>
      <c r="J35" s="3340"/>
      <c r="K35" s="3350"/>
      <c r="L35" s="3295"/>
      <c r="M35" s="3297"/>
      <c r="N35" s="3299"/>
      <c r="O35" s="1921" t="s">
        <v>1862</v>
      </c>
      <c r="P35" s="3291"/>
      <c r="Q35" s="3293"/>
      <c r="R35" s="3323"/>
      <c r="S35" s="3316"/>
      <c r="T35" s="3318"/>
      <c r="U35" s="3319"/>
      <c r="V35" s="1922" t="s">
        <v>1863</v>
      </c>
      <c r="W35" s="1325">
        <v>0</v>
      </c>
      <c r="X35" s="1325">
        <v>0</v>
      </c>
      <c r="Y35" s="1325">
        <v>0</v>
      </c>
      <c r="Z35" s="1898">
        <v>42</v>
      </c>
      <c r="AA35" s="1899" t="s">
        <v>1850</v>
      </c>
      <c r="AB35" s="3302"/>
      <c r="AC35" s="3302"/>
      <c r="AD35" s="3305"/>
      <c r="AE35" s="3302"/>
      <c r="AF35" s="3308"/>
      <c r="AG35" s="3311"/>
      <c r="AH35" s="3308"/>
      <c r="AI35" s="3311"/>
      <c r="AJ35" s="3308"/>
      <c r="AK35" s="3311"/>
      <c r="AL35" s="3331"/>
      <c r="AM35" s="3334"/>
      <c r="AN35" s="3325"/>
      <c r="AO35" s="3305"/>
      <c r="AP35" s="3325"/>
      <c r="AQ35" s="1905"/>
      <c r="AR35" s="3305"/>
      <c r="AS35" s="1905"/>
      <c r="AT35" s="3325"/>
      <c r="AU35" s="3327"/>
      <c r="AV35" s="3325"/>
      <c r="AW35" s="3327"/>
      <c r="AX35" s="3325"/>
      <c r="AY35" s="3327"/>
      <c r="AZ35" s="3325"/>
      <c r="BA35" s="3327"/>
      <c r="BB35" s="3325"/>
      <c r="BC35" s="3327"/>
      <c r="BD35" s="3325"/>
      <c r="BE35" s="1905"/>
      <c r="BF35" s="3302"/>
      <c r="BG35" s="3337"/>
      <c r="BH35" s="3337"/>
      <c r="BI35" s="3123"/>
      <c r="BJ35" s="3123"/>
      <c r="BK35" s="3353"/>
      <c r="BL35" s="1907"/>
      <c r="BM35" s="1907"/>
      <c r="BN35" s="3355"/>
      <c r="BO35" s="3355"/>
      <c r="BP35" s="3355"/>
      <c r="BQ35" s="3355"/>
      <c r="BR35" s="3341"/>
      <c r="BS35" s="656"/>
      <c r="BT35" s="656"/>
    </row>
    <row r="36" spans="1:72" s="657" customFormat="1" ht="30" customHeight="1" x14ac:dyDescent="0.2">
      <c r="A36" s="3271"/>
      <c r="B36" s="3275"/>
      <c r="C36" s="3276"/>
      <c r="D36" s="3279"/>
      <c r="E36" s="3280"/>
      <c r="F36" s="3280"/>
      <c r="G36" s="656"/>
      <c r="H36" s="1903"/>
      <c r="I36" s="1904"/>
      <c r="J36" s="3340"/>
      <c r="K36" s="3350"/>
      <c r="L36" s="3295"/>
      <c r="M36" s="3297"/>
      <c r="N36" s="3299"/>
      <c r="O36" s="1921"/>
      <c r="P36" s="3291"/>
      <c r="Q36" s="3293"/>
      <c r="R36" s="3323"/>
      <c r="S36" s="3316"/>
      <c r="T36" s="3318"/>
      <c r="U36" s="3319"/>
      <c r="V36" s="2920" t="s">
        <v>1864</v>
      </c>
      <c r="W36" s="1320">
        <v>146759029</v>
      </c>
      <c r="X36" s="1320">
        <v>0</v>
      </c>
      <c r="Y36" s="1320">
        <v>0</v>
      </c>
      <c r="Z36" s="1898">
        <v>42</v>
      </c>
      <c r="AA36" s="1899" t="s">
        <v>1850</v>
      </c>
      <c r="AB36" s="3302"/>
      <c r="AC36" s="3302"/>
      <c r="AD36" s="3305"/>
      <c r="AE36" s="3302"/>
      <c r="AF36" s="3308"/>
      <c r="AG36" s="3311"/>
      <c r="AH36" s="3308"/>
      <c r="AI36" s="3311"/>
      <c r="AJ36" s="3308"/>
      <c r="AK36" s="3311"/>
      <c r="AL36" s="3331"/>
      <c r="AM36" s="3334"/>
      <c r="AN36" s="3325"/>
      <c r="AO36" s="3305"/>
      <c r="AP36" s="3325"/>
      <c r="AQ36" s="1905"/>
      <c r="AR36" s="3305"/>
      <c r="AS36" s="1905"/>
      <c r="AT36" s="3325"/>
      <c r="AU36" s="3327"/>
      <c r="AV36" s="3325"/>
      <c r="AW36" s="3327"/>
      <c r="AX36" s="3325"/>
      <c r="AY36" s="3327"/>
      <c r="AZ36" s="3325"/>
      <c r="BA36" s="3327"/>
      <c r="BB36" s="3325"/>
      <c r="BC36" s="3327"/>
      <c r="BD36" s="3325"/>
      <c r="BE36" s="1905"/>
      <c r="BF36" s="3302"/>
      <c r="BG36" s="3337"/>
      <c r="BH36" s="3337"/>
      <c r="BI36" s="3123"/>
      <c r="BJ36" s="3123"/>
      <c r="BK36" s="3353"/>
      <c r="BL36" s="1907"/>
      <c r="BM36" s="1907"/>
      <c r="BN36" s="3355"/>
      <c r="BO36" s="3355"/>
      <c r="BP36" s="3355"/>
      <c r="BQ36" s="3355"/>
      <c r="BR36" s="3341"/>
      <c r="BS36" s="656"/>
      <c r="BT36" s="656"/>
    </row>
    <row r="37" spans="1:72" s="657" customFormat="1" ht="34.5" customHeight="1" x14ac:dyDescent="0.2">
      <c r="A37" s="3271"/>
      <c r="B37" s="3275"/>
      <c r="C37" s="3276"/>
      <c r="D37" s="3279"/>
      <c r="E37" s="3280"/>
      <c r="F37" s="3280"/>
      <c r="G37" s="656"/>
      <c r="H37" s="1903"/>
      <c r="I37" s="1904"/>
      <c r="J37" s="3340"/>
      <c r="K37" s="3350"/>
      <c r="L37" s="3295"/>
      <c r="M37" s="3297"/>
      <c r="N37" s="3299"/>
      <c r="O37" s="1921"/>
      <c r="P37" s="3291"/>
      <c r="Q37" s="3293"/>
      <c r="R37" s="3323"/>
      <c r="S37" s="3316"/>
      <c r="T37" s="3318"/>
      <c r="U37" s="3319"/>
      <c r="V37" s="2921"/>
      <c r="W37" s="1320">
        <v>83240971</v>
      </c>
      <c r="X37" s="1320"/>
      <c r="Y37" s="1320"/>
      <c r="Z37" s="1898">
        <v>92</v>
      </c>
      <c r="AA37" s="1899" t="s">
        <v>1836</v>
      </c>
      <c r="AB37" s="3302"/>
      <c r="AC37" s="3302"/>
      <c r="AD37" s="3305"/>
      <c r="AE37" s="3302"/>
      <c r="AF37" s="3308"/>
      <c r="AG37" s="3311"/>
      <c r="AH37" s="3308"/>
      <c r="AI37" s="3311"/>
      <c r="AJ37" s="3308"/>
      <c r="AK37" s="3311"/>
      <c r="AL37" s="3331"/>
      <c r="AM37" s="3334"/>
      <c r="AN37" s="3325"/>
      <c r="AO37" s="3305"/>
      <c r="AP37" s="3325"/>
      <c r="AQ37" s="1905"/>
      <c r="AR37" s="3305"/>
      <c r="AS37" s="1905"/>
      <c r="AT37" s="3325"/>
      <c r="AU37" s="3327"/>
      <c r="AV37" s="3325"/>
      <c r="AW37" s="3327"/>
      <c r="AX37" s="3325"/>
      <c r="AY37" s="3327"/>
      <c r="AZ37" s="3325"/>
      <c r="BA37" s="3327"/>
      <c r="BB37" s="3325"/>
      <c r="BC37" s="3327"/>
      <c r="BD37" s="3325"/>
      <c r="BE37" s="1905"/>
      <c r="BF37" s="3302"/>
      <c r="BG37" s="3337"/>
      <c r="BH37" s="3337"/>
      <c r="BI37" s="3123"/>
      <c r="BJ37" s="3123"/>
      <c r="BK37" s="3353"/>
      <c r="BL37" s="1907"/>
      <c r="BM37" s="1907"/>
      <c r="BN37" s="3355"/>
      <c r="BO37" s="3355"/>
      <c r="BP37" s="3355"/>
      <c r="BQ37" s="3355"/>
      <c r="BR37" s="3341"/>
      <c r="BS37" s="656"/>
      <c r="BT37" s="656"/>
    </row>
    <row r="38" spans="1:72" s="657" customFormat="1" ht="51.75" customHeight="1" x14ac:dyDescent="0.2">
      <c r="A38" s="3271"/>
      <c r="B38" s="3275"/>
      <c r="C38" s="3276"/>
      <c r="D38" s="3279"/>
      <c r="E38" s="3280"/>
      <c r="F38" s="3280"/>
      <c r="G38" s="656"/>
      <c r="H38" s="1903"/>
      <c r="I38" s="1904"/>
      <c r="J38" s="3340"/>
      <c r="K38" s="3350"/>
      <c r="L38" s="3295"/>
      <c r="M38" s="3297"/>
      <c r="N38" s="3299"/>
      <c r="O38" s="1925"/>
      <c r="P38" s="3291"/>
      <c r="Q38" s="3293"/>
      <c r="R38" s="3323"/>
      <c r="S38" s="3316"/>
      <c r="T38" s="3318"/>
      <c r="U38" s="3319"/>
      <c r="V38" s="1922" t="s">
        <v>1865</v>
      </c>
      <c r="W38" s="1325">
        <v>30000000</v>
      </c>
      <c r="X38" s="1325">
        <v>0</v>
      </c>
      <c r="Y38" s="1325">
        <v>0</v>
      </c>
      <c r="Z38" s="1898">
        <v>92</v>
      </c>
      <c r="AA38" s="1899" t="s">
        <v>1836</v>
      </c>
      <c r="AB38" s="3302"/>
      <c r="AC38" s="3302"/>
      <c r="AD38" s="3305"/>
      <c r="AE38" s="3302"/>
      <c r="AF38" s="3308"/>
      <c r="AG38" s="3311"/>
      <c r="AH38" s="3308"/>
      <c r="AI38" s="3311"/>
      <c r="AJ38" s="3308"/>
      <c r="AK38" s="3311"/>
      <c r="AL38" s="3331"/>
      <c r="AM38" s="3334"/>
      <c r="AN38" s="3325"/>
      <c r="AO38" s="3305"/>
      <c r="AP38" s="3325"/>
      <c r="AQ38" s="1905"/>
      <c r="AR38" s="3305"/>
      <c r="AS38" s="1905"/>
      <c r="AT38" s="3325"/>
      <c r="AU38" s="3327"/>
      <c r="AV38" s="3325"/>
      <c r="AW38" s="3327"/>
      <c r="AX38" s="3325"/>
      <c r="AY38" s="3327"/>
      <c r="AZ38" s="3325"/>
      <c r="BA38" s="3327"/>
      <c r="BB38" s="3325"/>
      <c r="BC38" s="3327"/>
      <c r="BD38" s="3325"/>
      <c r="BE38" s="1905"/>
      <c r="BF38" s="3302"/>
      <c r="BG38" s="3337"/>
      <c r="BH38" s="3337"/>
      <c r="BI38" s="3123"/>
      <c r="BJ38" s="3123"/>
      <c r="BK38" s="3353"/>
      <c r="BL38" s="1907"/>
      <c r="BM38" s="1907"/>
      <c r="BN38" s="3355"/>
      <c r="BO38" s="3355"/>
      <c r="BP38" s="3355"/>
      <c r="BQ38" s="3355"/>
      <c r="BR38" s="3341"/>
      <c r="BS38" s="656"/>
      <c r="BT38" s="656"/>
    </row>
    <row r="39" spans="1:72" s="657" customFormat="1" ht="33" customHeight="1" x14ac:dyDescent="0.2">
      <c r="A39" s="3271"/>
      <c r="B39" s="3275"/>
      <c r="C39" s="3276"/>
      <c r="D39" s="3279"/>
      <c r="E39" s="3280"/>
      <c r="F39" s="3280"/>
      <c r="G39" s="656"/>
      <c r="H39" s="1903"/>
      <c r="I39" s="1904"/>
      <c r="J39" s="3340"/>
      <c r="K39" s="3350"/>
      <c r="L39" s="3295"/>
      <c r="M39" s="3297"/>
      <c r="N39" s="3299"/>
      <c r="O39" s="1925"/>
      <c r="P39" s="3291"/>
      <c r="Q39" s="3293"/>
      <c r="R39" s="3323"/>
      <c r="S39" s="3316"/>
      <c r="T39" s="3318"/>
      <c r="U39" s="3319"/>
      <c r="V39" s="2920" t="s">
        <v>1866</v>
      </c>
      <c r="W39" s="1325">
        <v>10900000</v>
      </c>
      <c r="X39" s="1320">
        <v>10900000</v>
      </c>
      <c r="Y39" s="1320">
        <v>10900000</v>
      </c>
      <c r="Z39" s="1898">
        <v>42</v>
      </c>
      <c r="AA39" s="1899" t="s">
        <v>1850</v>
      </c>
      <c r="AB39" s="3302"/>
      <c r="AC39" s="3302"/>
      <c r="AD39" s="3305"/>
      <c r="AE39" s="3302"/>
      <c r="AF39" s="3308"/>
      <c r="AG39" s="3311"/>
      <c r="AH39" s="3308"/>
      <c r="AI39" s="3311"/>
      <c r="AJ39" s="3308"/>
      <c r="AK39" s="3311"/>
      <c r="AL39" s="3331"/>
      <c r="AM39" s="3334"/>
      <c r="AN39" s="3325"/>
      <c r="AO39" s="3305"/>
      <c r="AP39" s="3325"/>
      <c r="AQ39" s="1905"/>
      <c r="AR39" s="3305"/>
      <c r="AS39" s="1905"/>
      <c r="AT39" s="3325"/>
      <c r="AU39" s="3327"/>
      <c r="AV39" s="3325"/>
      <c r="AW39" s="3327"/>
      <c r="AX39" s="3325"/>
      <c r="AY39" s="3327"/>
      <c r="AZ39" s="3325"/>
      <c r="BA39" s="3327"/>
      <c r="BB39" s="3325"/>
      <c r="BC39" s="3327"/>
      <c r="BD39" s="3325"/>
      <c r="BE39" s="1905"/>
      <c r="BF39" s="3302"/>
      <c r="BG39" s="3337"/>
      <c r="BH39" s="3337"/>
      <c r="BI39" s="3123"/>
      <c r="BJ39" s="3123"/>
      <c r="BK39" s="3353"/>
      <c r="BL39" s="1907"/>
      <c r="BM39" s="1907"/>
      <c r="BN39" s="3355"/>
      <c r="BO39" s="3355"/>
      <c r="BP39" s="3355"/>
      <c r="BQ39" s="3355"/>
      <c r="BR39" s="3341"/>
      <c r="BS39" s="656"/>
      <c r="BT39" s="656"/>
    </row>
    <row r="40" spans="1:72" s="657" customFormat="1" ht="42" customHeight="1" x14ac:dyDescent="0.2">
      <c r="A40" s="3271"/>
      <c r="B40" s="3275"/>
      <c r="C40" s="3276"/>
      <c r="D40" s="3279"/>
      <c r="E40" s="3280"/>
      <c r="F40" s="3280"/>
      <c r="G40" s="656"/>
      <c r="H40" s="1903"/>
      <c r="I40" s="1904"/>
      <c r="J40" s="3340"/>
      <c r="K40" s="3350"/>
      <c r="L40" s="3295"/>
      <c r="M40" s="3297"/>
      <c r="N40" s="3299"/>
      <c r="O40" s="1925"/>
      <c r="P40" s="3291"/>
      <c r="Q40" s="3293"/>
      <c r="R40" s="3323"/>
      <c r="S40" s="3316"/>
      <c r="T40" s="3318"/>
      <c r="U40" s="3319"/>
      <c r="V40" s="2921"/>
      <c r="W40" s="1325">
        <v>10000000</v>
      </c>
      <c r="X40" s="1320">
        <v>1000000</v>
      </c>
      <c r="Y40" s="1320">
        <v>0</v>
      </c>
      <c r="Z40" s="1898">
        <v>92</v>
      </c>
      <c r="AA40" s="1899" t="s">
        <v>1836</v>
      </c>
      <c r="AB40" s="3302"/>
      <c r="AC40" s="3302"/>
      <c r="AD40" s="3305"/>
      <c r="AE40" s="3302"/>
      <c r="AF40" s="3308"/>
      <c r="AG40" s="3311"/>
      <c r="AH40" s="3308"/>
      <c r="AI40" s="3311"/>
      <c r="AJ40" s="3308"/>
      <c r="AK40" s="3311"/>
      <c r="AL40" s="3331"/>
      <c r="AM40" s="3334"/>
      <c r="AN40" s="3325"/>
      <c r="AO40" s="3305"/>
      <c r="AP40" s="3325"/>
      <c r="AQ40" s="1905"/>
      <c r="AR40" s="3305"/>
      <c r="AS40" s="1905"/>
      <c r="AT40" s="3325"/>
      <c r="AU40" s="3327"/>
      <c r="AV40" s="3325"/>
      <c r="AW40" s="3327"/>
      <c r="AX40" s="3325"/>
      <c r="AY40" s="3327"/>
      <c r="AZ40" s="3325"/>
      <c r="BA40" s="3327"/>
      <c r="BB40" s="3325"/>
      <c r="BC40" s="3327"/>
      <c r="BD40" s="3325"/>
      <c r="BE40" s="1905"/>
      <c r="BF40" s="3302"/>
      <c r="BG40" s="3337"/>
      <c r="BH40" s="3337"/>
      <c r="BI40" s="3123"/>
      <c r="BJ40" s="3123"/>
      <c r="BK40" s="3353"/>
      <c r="BL40" s="1907"/>
      <c r="BM40" s="1907"/>
      <c r="BN40" s="3355"/>
      <c r="BO40" s="3355"/>
      <c r="BP40" s="3355"/>
      <c r="BQ40" s="3355"/>
      <c r="BR40" s="3341"/>
      <c r="BS40" s="656"/>
      <c r="BT40" s="656"/>
    </row>
    <row r="41" spans="1:72" s="657" customFormat="1" ht="35.25" customHeight="1" x14ac:dyDescent="0.2">
      <c r="A41" s="3271"/>
      <c r="B41" s="3275"/>
      <c r="C41" s="3276"/>
      <c r="D41" s="3279"/>
      <c r="E41" s="3280"/>
      <c r="F41" s="3280"/>
      <c r="G41" s="656"/>
      <c r="H41" s="1903"/>
      <c r="I41" s="1904"/>
      <c r="J41" s="3340"/>
      <c r="K41" s="3350"/>
      <c r="L41" s="3295"/>
      <c r="M41" s="3297"/>
      <c r="N41" s="3299"/>
      <c r="O41" s="1925"/>
      <c r="P41" s="3291"/>
      <c r="Q41" s="3293"/>
      <c r="R41" s="3323"/>
      <c r="S41" s="3316"/>
      <c r="T41" s="3318"/>
      <c r="U41" s="3319"/>
      <c r="V41" s="2920" t="s">
        <v>1867</v>
      </c>
      <c r="W41" s="1320">
        <v>10000000</v>
      </c>
      <c r="X41" s="1320">
        <v>10000000</v>
      </c>
      <c r="Y41" s="1320">
        <v>10000000</v>
      </c>
      <c r="Z41" s="1898">
        <v>42</v>
      </c>
      <c r="AA41" s="1899" t="s">
        <v>1850</v>
      </c>
      <c r="AB41" s="3302"/>
      <c r="AC41" s="3302"/>
      <c r="AD41" s="3305"/>
      <c r="AE41" s="3302"/>
      <c r="AF41" s="3308"/>
      <c r="AG41" s="3311"/>
      <c r="AH41" s="3308"/>
      <c r="AI41" s="3311"/>
      <c r="AJ41" s="3308"/>
      <c r="AK41" s="3311"/>
      <c r="AL41" s="3331"/>
      <c r="AM41" s="3334"/>
      <c r="AN41" s="3325"/>
      <c r="AO41" s="3305"/>
      <c r="AP41" s="3325"/>
      <c r="AQ41" s="1905"/>
      <c r="AR41" s="3305"/>
      <c r="AS41" s="1905"/>
      <c r="AT41" s="3325"/>
      <c r="AU41" s="3327"/>
      <c r="AV41" s="3325"/>
      <c r="AW41" s="3327"/>
      <c r="AX41" s="3325"/>
      <c r="AY41" s="3327"/>
      <c r="AZ41" s="3325"/>
      <c r="BA41" s="3327"/>
      <c r="BB41" s="3325"/>
      <c r="BC41" s="3327"/>
      <c r="BD41" s="3325"/>
      <c r="BE41" s="1905"/>
      <c r="BF41" s="3302"/>
      <c r="BG41" s="3337"/>
      <c r="BH41" s="3337"/>
      <c r="BI41" s="3123"/>
      <c r="BJ41" s="3123"/>
      <c r="BK41" s="3353"/>
      <c r="BL41" s="1907"/>
      <c r="BM41" s="1907"/>
      <c r="BN41" s="3355"/>
      <c r="BO41" s="3355"/>
      <c r="BP41" s="3355"/>
      <c r="BQ41" s="3355"/>
      <c r="BR41" s="3341"/>
      <c r="BS41" s="656"/>
      <c r="BT41" s="656"/>
    </row>
    <row r="42" spans="1:72" s="657" customFormat="1" ht="28.5" x14ac:dyDescent="0.2">
      <c r="A42" s="3271"/>
      <c r="B42" s="3275"/>
      <c r="C42" s="3276"/>
      <c r="D42" s="3279"/>
      <c r="E42" s="3280"/>
      <c r="F42" s="3280"/>
      <c r="G42" s="656"/>
      <c r="H42" s="1903"/>
      <c r="I42" s="1904"/>
      <c r="J42" s="3340"/>
      <c r="K42" s="3350"/>
      <c r="L42" s="3295"/>
      <c r="M42" s="3297"/>
      <c r="N42" s="3299"/>
      <c r="O42" s="1925"/>
      <c r="P42" s="3291"/>
      <c r="Q42" s="3293"/>
      <c r="R42" s="3323"/>
      <c r="S42" s="3316"/>
      <c r="T42" s="3318"/>
      <c r="U42" s="3319"/>
      <c r="V42" s="2921"/>
      <c r="W42" s="1320">
        <v>10000000</v>
      </c>
      <c r="X42" s="1320">
        <v>1000000</v>
      </c>
      <c r="Y42" s="1320">
        <v>0</v>
      </c>
      <c r="Z42" s="1898">
        <v>92</v>
      </c>
      <c r="AA42" s="1899" t="s">
        <v>1836</v>
      </c>
      <c r="AB42" s="3302"/>
      <c r="AC42" s="3302"/>
      <c r="AD42" s="3305"/>
      <c r="AE42" s="3302"/>
      <c r="AF42" s="3308"/>
      <c r="AG42" s="3311"/>
      <c r="AH42" s="3308"/>
      <c r="AI42" s="3311"/>
      <c r="AJ42" s="3308"/>
      <c r="AK42" s="3311"/>
      <c r="AL42" s="3331"/>
      <c r="AM42" s="3334"/>
      <c r="AN42" s="3325"/>
      <c r="AO42" s="3305"/>
      <c r="AP42" s="3325"/>
      <c r="AQ42" s="1905"/>
      <c r="AR42" s="3305"/>
      <c r="AS42" s="1905"/>
      <c r="AT42" s="3325"/>
      <c r="AU42" s="3327"/>
      <c r="AV42" s="3325"/>
      <c r="AW42" s="3327"/>
      <c r="AX42" s="3325"/>
      <c r="AY42" s="3327"/>
      <c r="AZ42" s="3325"/>
      <c r="BA42" s="3327"/>
      <c r="BB42" s="3325"/>
      <c r="BC42" s="3327"/>
      <c r="BD42" s="3325"/>
      <c r="BE42" s="1905"/>
      <c r="BF42" s="3302"/>
      <c r="BG42" s="3337"/>
      <c r="BH42" s="3337"/>
      <c r="BI42" s="3123"/>
      <c r="BJ42" s="3123"/>
      <c r="BK42" s="3353"/>
      <c r="BL42" s="1907"/>
      <c r="BM42" s="1907"/>
      <c r="BN42" s="3355"/>
      <c r="BO42" s="3355"/>
      <c r="BP42" s="3355"/>
      <c r="BQ42" s="3355"/>
      <c r="BR42" s="3341"/>
      <c r="BS42" s="656"/>
      <c r="BT42" s="656"/>
    </row>
    <row r="43" spans="1:72" s="657" customFormat="1" ht="42.75" customHeight="1" x14ac:dyDescent="0.2">
      <c r="A43" s="3271"/>
      <c r="B43" s="3275"/>
      <c r="C43" s="3276"/>
      <c r="D43" s="3279"/>
      <c r="E43" s="3280"/>
      <c r="F43" s="3280"/>
      <c r="G43" s="656"/>
      <c r="H43" s="1903"/>
      <c r="I43" s="1904"/>
      <c r="J43" s="3340"/>
      <c r="K43" s="3350"/>
      <c r="L43" s="3295"/>
      <c r="M43" s="3297"/>
      <c r="N43" s="3299"/>
      <c r="O43" s="1925"/>
      <c r="P43" s="3291"/>
      <c r="Q43" s="3293"/>
      <c r="R43" s="3323"/>
      <c r="S43" s="3316"/>
      <c r="T43" s="3318"/>
      <c r="U43" s="3319"/>
      <c r="V43" s="2920" t="s">
        <v>1868</v>
      </c>
      <c r="W43" s="1320">
        <v>10000000</v>
      </c>
      <c r="X43" s="1320">
        <f>4020000+1074900+2980000</f>
        <v>8074900</v>
      </c>
      <c r="Y43" s="1320">
        <f>4020000+2980000</f>
        <v>7000000</v>
      </c>
      <c r="Z43" s="1898">
        <v>42</v>
      </c>
      <c r="AA43" s="1899" t="s">
        <v>1850</v>
      </c>
      <c r="AB43" s="3302"/>
      <c r="AC43" s="3302"/>
      <c r="AD43" s="3305"/>
      <c r="AE43" s="3302"/>
      <c r="AF43" s="3308"/>
      <c r="AG43" s="3311"/>
      <c r="AH43" s="3308"/>
      <c r="AI43" s="3311"/>
      <c r="AJ43" s="3308"/>
      <c r="AK43" s="3311"/>
      <c r="AL43" s="3331"/>
      <c r="AM43" s="3334"/>
      <c r="AN43" s="3325"/>
      <c r="AO43" s="3305"/>
      <c r="AP43" s="3325"/>
      <c r="AQ43" s="1905"/>
      <c r="AR43" s="3305"/>
      <c r="AS43" s="1905"/>
      <c r="AT43" s="3325"/>
      <c r="AU43" s="3327"/>
      <c r="AV43" s="3325"/>
      <c r="AW43" s="3327"/>
      <c r="AX43" s="3325"/>
      <c r="AY43" s="3327"/>
      <c r="AZ43" s="3325"/>
      <c r="BA43" s="3327"/>
      <c r="BB43" s="3325"/>
      <c r="BC43" s="3327"/>
      <c r="BD43" s="3325"/>
      <c r="BE43" s="1905"/>
      <c r="BF43" s="3302"/>
      <c r="BG43" s="3337"/>
      <c r="BH43" s="3337"/>
      <c r="BI43" s="3123"/>
      <c r="BJ43" s="3123"/>
      <c r="BK43" s="3353"/>
      <c r="BL43" s="1907"/>
      <c r="BM43" s="1907"/>
      <c r="BN43" s="3355"/>
      <c r="BO43" s="3355"/>
      <c r="BP43" s="3355"/>
      <c r="BQ43" s="3355"/>
      <c r="BR43" s="3341"/>
      <c r="BS43" s="656"/>
      <c r="BT43" s="656"/>
    </row>
    <row r="44" spans="1:72" s="657" customFormat="1" ht="54" customHeight="1" x14ac:dyDescent="0.2">
      <c r="A44" s="3271"/>
      <c r="B44" s="3275"/>
      <c r="C44" s="3276"/>
      <c r="D44" s="3279"/>
      <c r="E44" s="3280"/>
      <c r="F44" s="3280"/>
      <c r="G44" s="656"/>
      <c r="H44" s="1903"/>
      <c r="I44" s="1904"/>
      <c r="J44" s="3340"/>
      <c r="K44" s="3350"/>
      <c r="L44" s="3295"/>
      <c r="M44" s="3297"/>
      <c r="N44" s="3299"/>
      <c r="O44" s="1925"/>
      <c r="P44" s="3291"/>
      <c r="Q44" s="3293"/>
      <c r="R44" s="3323"/>
      <c r="S44" s="3316"/>
      <c r="T44" s="3318"/>
      <c r="U44" s="3319"/>
      <c r="V44" s="2921"/>
      <c r="W44" s="1320">
        <v>10000000</v>
      </c>
      <c r="X44" s="1320">
        <f>1000000+1000000+1000000</f>
        <v>3000000</v>
      </c>
      <c r="Y44" s="1320">
        <v>1000000</v>
      </c>
      <c r="Z44" s="1898">
        <v>92</v>
      </c>
      <c r="AA44" s="1899" t="s">
        <v>1836</v>
      </c>
      <c r="AB44" s="3302"/>
      <c r="AC44" s="3302"/>
      <c r="AD44" s="3305"/>
      <c r="AE44" s="3302"/>
      <c r="AF44" s="3308"/>
      <c r="AG44" s="3311"/>
      <c r="AH44" s="3308"/>
      <c r="AI44" s="3311"/>
      <c r="AJ44" s="3308"/>
      <c r="AK44" s="3311"/>
      <c r="AL44" s="3331"/>
      <c r="AM44" s="3334"/>
      <c r="AN44" s="3325"/>
      <c r="AO44" s="3305"/>
      <c r="AP44" s="3325"/>
      <c r="AQ44" s="1905"/>
      <c r="AR44" s="3305"/>
      <c r="AS44" s="1905"/>
      <c r="AT44" s="3325"/>
      <c r="AU44" s="3327"/>
      <c r="AV44" s="3325"/>
      <c r="AW44" s="3327"/>
      <c r="AX44" s="3325"/>
      <c r="AY44" s="3327"/>
      <c r="AZ44" s="3325"/>
      <c r="BA44" s="3327"/>
      <c r="BB44" s="3325"/>
      <c r="BC44" s="3327"/>
      <c r="BD44" s="3325"/>
      <c r="BE44" s="1905"/>
      <c r="BF44" s="3302"/>
      <c r="BG44" s="3337"/>
      <c r="BH44" s="3337"/>
      <c r="BI44" s="3123"/>
      <c r="BJ44" s="3123"/>
      <c r="BK44" s="3353"/>
      <c r="BL44" s="1907"/>
      <c r="BM44" s="1907"/>
      <c r="BN44" s="3355"/>
      <c r="BO44" s="3355"/>
      <c r="BP44" s="3355"/>
      <c r="BQ44" s="3355"/>
      <c r="BR44" s="3341"/>
      <c r="BS44" s="656"/>
      <c r="BT44" s="656"/>
    </row>
    <row r="45" spans="1:72" s="657" customFormat="1" ht="44.25" customHeight="1" x14ac:dyDescent="0.2">
      <c r="A45" s="3271"/>
      <c r="B45" s="3275"/>
      <c r="C45" s="3276"/>
      <c r="D45" s="3279"/>
      <c r="E45" s="3280"/>
      <c r="F45" s="3280"/>
      <c r="G45" s="656"/>
      <c r="H45" s="1903"/>
      <c r="I45" s="1904"/>
      <c r="J45" s="3340"/>
      <c r="K45" s="3350"/>
      <c r="L45" s="3295"/>
      <c r="M45" s="3297"/>
      <c r="N45" s="3299"/>
      <c r="O45" s="1925"/>
      <c r="P45" s="3291"/>
      <c r="Q45" s="3293"/>
      <c r="R45" s="3323"/>
      <c r="S45" s="3316"/>
      <c r="T45" s="3318"/>
      <c r="U45" s="3319"/>
      <c r="V45" s="2920" t="s">
        <v>1869</v>
      </c>
      <c r="W45" s="1325">
        <v>11000000</v>
      </c>
      <c r="X45" s="1320">
        <v>0</v>
      </c>
      <c r="Y45" s="1320">
        <v>0</v>
      </c>
      <c r="Z45" s="1898">
        <v>42</v>
      </c>
      <c r="AA45" s="1899" t="s">
        <v>1850</v>
      </c>
      <c r="AB45" s="3302"/>
      <c r="AC45" s="3302"/>
      <c r="AD45" s="3305"/>
      <c r="AE45" s="3302"/>
      <c r="AF45" s="3308"/>
      <c r="AG45" s="3311"/>
      <c r="AH45" s="3308"/>
      <c r="AI45" s="3311"/>
      <c r="AJ45" s="3308"/>
      <c r="AK45" s="3311"/>
      <c r="AL45" s="3331"/>
      <c r="AM45" s="3334"/>
      <c r="AN45" s="3325"/>
      <c r="AO45" s="3305"/>
      <c r="AP45" s="3325"/>
      <c r="AQ45" s="1905"/>
      <c r="AR45" s="3305"/>
      <c r="AS45" s="1905"/>
      <c r="AT45" s="3325"/>
      <c r="AU45" s="3327"/>
      <c r="AV45" s="3325"/>
      <c r="AW45" s="3327"/>
      <c r="AX45" s="3325"/>
      <c r="AY45" s="3327"/>
      <c r="AZ45" s="3325"/>
      <c r="BA45" s="3327"/>
      <c r="BB45" s="3325"/>
      <c r="BC45" s="3327"/>
      <c r="BD45" s="3325"/>
      <c r="BE45" s="1905"/>
      <c r="BF45" s="3302"/>
      <c r="BG45" s="3337"/>
      <c r="BH45" s="3337"/>
      <c r="BI45" s="3123"/>
      <c r="BJ45" s="3123"/>
      <c r="BK45" s="3353"/>
      <c r="BL45" s="1907"/>
      <c r="BM45" s="1907"/>
      <c r="BN45" s="3355"/>
      <c r="BO45" s="3355"/>
      <c r="BP45" s="3355"/>
      <c r="BQ45" s="3355"/>
      <c r="BR45" s="3341"/>
      <c r="BS45" s="656"/>
      <c r="BT45" s="656"/>
    </row>
    <row r="46" spans="1:72" s="657" customFormat="1" ht="28.5" x14ac:dyDescent="0.2">
      <c r="A46" s="3271"/>
      <c r="B46" s="3275"/>
      <c r="C46" s="3276"/>
      <c r="D46" s="3280"/>
      <c r="E46" s="3280"/>
      <c r="F46" s="3280"/>
      <c r="G46" s="656"/>
      <c r="H46" s="1903"/>
      <c r="I46" s="1904"/>
      <c r="J46" s="3282"/>
      <c r="K46" s="3351"/>
      <c r="L46" s="3296"/>
      <c r="M46" s="3288"/>
      <c r="N46" s="3300"/>
      <c r="O46" s="1925"/>
      <c r="P46" s="3291"/>
      <c r="Q46" s="3293"/>
      <c r="R46" s="3324"/>
      <c r="S46" s="3316"/>
      <c r="T46" s="3318"/>
      <c r="U46" s="3319"/>
      <c r="V46" s="2921"/>
      <c r="W46" s="1325">
        <v>30000000</v>
      </c>
      <c r="X46" s="1320">
        <v>0</v>
      </c>
      <c r="Y46" s="1320">
        <v>0</v>
      </c>
      <c r="Z46" s="1898">
        <v>92</v>
      </c>
      <c r="AA46" s="1899" t="s">
        <v>1836</v>
      </c>
      <c r="AB46" s="3302"/>
      <c r="AC46" s="3302"/>
      <c r="AD46" s="3305"/>
      <c r="AE46" s="3302"/>
      <c r="AF46" s="3308"/>
      <c r="AG46" s="3311"/>
      <c r="AH46" s="3308"/>
      <c r="AI46" s="3311"/>
      <c r="AJ46" s="3308"/>
      <c r="AK46" s="3311"/>
      <c r="AL46" s="3331"/>
      <c r="AM46" s="3334"/>
      <c r="AN46" s="3325"/>
      <c r="AO46" s="3305"/>
      <c r="AP46" s="3325"/>
      <c r="AQ46" s="1905"/>
      <c r="AR46" s="3305"/>
      <c r="AS46" s="1905"/>
      <c r="AT46" s="3325"/>
      <c r="AU46" s="3327"/>
      <c r="AV46" s="3325"/>
      <c r="AW46" s="3327"/>
      <c r="AX46" s="3325"/>
      <c r="AY46" s="3327"/>
      <c r="AZ46" s="3325"/>
      <c r="BA46" s="3327"/>
      <c r="BB46" s="3325"/>
      <c r="BC46" s="3327"/>
      <c r="BD46" s="3325"/>
      <c r="BE46" s="1905"/>
      <c r="BF46" s="3302"/>
      <c r="BG46" s="3337"/>
      <c r="BH46" s="3337"/>
      <c r="BI46" s="3123"/>
      <c r="BJ46" s="3123"/>
      <c r="BK46" s="3353"/>
      <c r="BL46" s="1907"/>
      <c r="BM46" s="1907"/>
      <c r="BN46" s="3355"/>
      <c r="BO46" s="3355"/>
      <c r="BP46" s="3355"/>
      <c r="BQ46" s="3355"/>
      <c r="BR46" s="3341"/>
      <c r="BS46" s="656"/>
      <c r="BT46" s="656"/>
    </row>
    <row r="47" spans="1:72" s="657" customFormat="1" ht="47.25" customHeight="1" x14ac:dyDescent="0.2">
      <c r="A47" s="3271"/>
      <c r="B47" s="3275"/>
      <c r="C47" s="3276"/>
      <c r="D47" s="3280"/>
      <c r="E47" s="3280"/>
      <c r="F47" s="3280"/>
      <c r="G47" s="656"/>
      <c r="H47" s="1903"/>
      <c r="I47" s="1904"/>
      <c r="J47" s="3344">
        <v>218</v>
      </c>
      <c r="K47" s="3318" t="s">
        <v>1870</v>
      </c>
      <c r="L47" s="3345" t="s">
        <v>1871</v>
      </c>
      <c r="M47" s="3356">
        <v>3</v>
      </c>
      <c r="N47" s="3357">
        <v>3</v>
      </c>
      <c r="O47" s="1925"/>
      <c r="P47" s="3291"/>
      <c r="Q47" s="3293"/>
      <c r="R47" s="3360">
        <f>SUM(W47:W49)/S13</f>
        <v>1.8685636893508266E-2</v>
      </c>
      <c r="S47" s="3316"/>
      <c r="T47" s="3318"/>
      <c r="U47" s="3318"/>
      <c r="V47" s="2920" t="s">
        <v>1872</v>
      </c>
      <c r="W47" s="1913">
        <v>45600000</v>
      </c>
      <c r="X47" s="1320">
        <f>18750000+8480000+14332000</f>
        <v>41562000</v>
      </c>
      <c r="Y47" s="1320">
        <f>18750000+8480000+14332000</f>
        <v>41562000</v>
      </c>
      <c r="Z47" s="1898">
        <v>20</v>
      </c>
      <c r="AA47" s="1899" t="s">
        <v>1840</v>
      </c>
      <c r="AB47" s="3302"/>
      <c r="AC47" s="3302"/>
      <c r="AD47" s="3305"/>
      <c r="AE47" s="3302"/>
      <c r="AF47" s="3308"/>
      <c r="AG47" s="3311"/>
      <c r="AH47" s="3308"/>
      <c r="AI47" s="3311"/>
      <c r="AJ47" s="3308"/>
      <c r="AK47" s="3311"/>
      <c r="AL47" s="3331"/>
      <c r="AM47" s="3334"/>
      <c r="AN47" s="3325"/>
      <c r="AO47" s="3305"/>
      <c r="AP47" s="3325"/>
      <c r="AQ47" s="1905"/>
      <c r="AR47" s="3305"/>
      <c r="AS47" s="1905"/>
      <c r="AT47" s="3325"/>
      <c r="AU47" s="3327"/>
      <c r="AV47" s="3325"/>
      <c r="AW47" s="3327"/>
      <c r="AX47" s="3325"/>
      <c r="AY47" s="3327"/>
      <c r="AZ47" s="3325"/>
      <c r="BA47" s="3327"/>
      <c r="BB47" s="3325"/>
      <c r="BC47" s="3327"/>
      <c r="BD47" s="3325"/>
      <c r="BE47" s="1905"/>
      <c r="BF47" s="3302"/>
      <c r="BG47" s="3337"/>
      <c r="BH47" s="3337"/>
      <c r="BI47" s="3123"/>
      <c r="BJ47" s="3123"/>
      <c r="BK47" s="3353"/>
      <c r="BL47" s="1907"/>
      <c r="BM47" s="1907"/>
      <c r="BN47" s="3355"/>
      <c r="BO47" s="3355"/>
      <c r="BP47" s="3355"/>
      <c r="BQ47" s="3355"/>
      <c r="BR47" s="3341"/>
      <c r="BS47" s="656"/>
      <c r="BT47" s="656"/>
    </row>
    <row r="48" spans="1:72" s="657" customFormat="1" ht="62.25" customHeight="1" x14ac:dyDescent="0.2">
      <c r="A48" s="3271"/>
      <c r="B48" s="3275"/>
      <c r="C48" s="3276"/>
      <c r="D48" s="3280"/>
      <c r="E48" s="3280"/>
      <c r="F48" s="3280"/>
      <c r="G48" s="656"/>
      <c r="H48" s="1903"/>
      <c r="I48" s="1904"/>
      <c r="J48" s="3344"/>
      <c r="K48" s="3318"/>
      <c r="L48" s="3345"/>
      <c r="M48" s="3356"/>
      <c r="N48" s="3358"/>
      <c r="O48" s="1925"/>
      <c r="P48" s="3291"/>
      <c r="Q48" s="3293"/>
      <c r="R48" s="3360"/>
      <c r="S48" s="3316"/>
      <c r="T48" s="3318"/>
      <c r="U48" s="3318"/>
      <c r="V48" s="2921"/>
      <c r="W48" s="1913">
        <v>75000000</v>
      </c>
      <c r="X48" s="1320">
        <f>9584500+21450000+16860100+10390000+12000000</f>
        <v>70284600</v>
      </c>
      <c r="Y48" s="1320">
        <v>0</v>
      </c>
      <c r="Z48" s="1926">
        <v>92</v>
      </c>
      <c r="AA48" s="1899" t="s">
        <v>1836</v>
      </c>
      <c r="AB48" s="3302"/>
      <c r="AC48" s="3302"/>
      <c r="AD48" s="3305"/>
      <c r="AE48" s="3302"/>
      <c r="AF48" s="3308"/>
      <c r="AG48" s="3311"/>
      <c r="AH48" s="3308"/>
      <c r="AI48" s="3311"/>
      <c r="AJ48" s="3308"/>
      <c r="AK48" s="3311"/>
      <c r="AL48" s="3331"/>
      <c r="AM48" s="3334"/>
      <c r="AN48" s="3325"/>
      <c r="AO48" s="3305"/>
      <c r="AP48" s="3325"/>
      <c r="AQ48" s="1905"/>
      <c r="AR48" s="3305"/>
      <c r="AS48" s="1905"/>
      <c r="AT48" s="3325"/>
      <c r="AU48" s="3327"/>
      <c r="AV48" s="3325"/>
      <c r="AW48" s="3327"/>
      <c r="AX48" s="3325"/>
      <c r="AY48" s="3327"/>
      <c r="AZ48" s="3325"/>
      <c r="BA48" s="3327"/>
      <c r="BB48" s="3325"/>
      <c r="BC48" s="3327"/>
      <c r="BD48" s="3325"/>
      <c r="BE48" s="1905"/>
      <c r="BF48" s="3302"/>
      <c r="BG48" s="3337"/>
      <c r="BH48" s="3337"/>
      <c r="BI48" s="3123"/>
      <c r="BJ48" s="3123"/>
      <c r="BK48" s="3353"/>
      <c r="BL48" s="1907"/>
      <c r="BM48" s="1907"/>
      <c r="BN48" s="3355"/>
      <c r="BO48" s="3355"/>
      <c r="BP48" s="3355"/>
      <c r="BQ48" s="3355"/>
      <c r="BR48" s="3341"/>
      <c r="BS48" s="656"/>
      <c r="BT48" s="656"/>
    </row>
    <row r="49" spans="1:72" s="657" customFormat="1" ht="82.5" customHeight="1" x14ac:dyDescent="0.2">
      <c r="A49" s="3271"/>
      <c r="B49" s="3275"/>
      <c r="C49" s="3276"/>
      <c r="D49" s="3280"/>
      <c r="E49" s="3280"/>
      <c r="F49" s="3280"/>
      <c r="G49" s="656"/>
      <c r="H49" s="1927"/>
      <c r="I49" s="1928"/>
      <c r="J49" s="3344"/>
      <c r="K49" s="3318"/>
      <c r="L49" s="3345"/>
      <c r="M49" s="3287"/>
      <c r="N49" s="3359"/>
      <c r="O49" s="1925"/>
      <c r="P49" s="3291"/>
      <c r="Q49" s="3293"/>
      <c r="R49" s="3360"/>
      <c r="S49" s="3317"/>
      <c r="T49" s="3318"/>
      <c r="U49" s="3318"/>
      <c r="V49" s="1922" t="s">
        <v>1873</v>
      </c>
      <c r="W49" s="1913">
        <v>4000000</v>
      </c>
      <c r="X49" s="1325">
        <v>0</v>
      </c>
      <c r="Y49" s="1325">
        <v>0</v>
      </c>
      <c r="Z49" s="1926">
        <v>20</v>
      </c>
      <c r="AA49" s="1929" t="s">
        <v>1840</v>
      </c>
      <c r="AB49" s="3303"/>
      <c r="AC49" s="3303"/>
      <c r="AD49" s="3306"/>
      <c r="AE49" s="3303"/>
      <c r="AF49" s="3309"/>
      <c r="AG49" s="3312"/>
      <c r="AH49" s="3309"/>
      <c r="AI49" s="3312"/>
      <c r="AJ49" s="3309"/>
      <c r="AK49" s="3312"/>
      <c r="AL49" s="3332"/>
      <c r="AM49" s="3335"/>
      <c r="AN49" s="3325"/>
      <c r="AO49" s="3306"/>
      <c r="AP49" s="3325"/>
      <c r="AQ49" s="1930"/>
      <c r="AR49" s="3306"/>
      <c r="AS49" s="1930"/>
      <c r="AT49" s="3325"/>
      <c r="AU49" s="3329"/>
      <c r="AV49" s="3325"/>
      <c r="AW49" s="3329"/>
      <c r="AX49" s="3325"/>
      <c r="AY49" s="3329"/>
      <c r="AZ49" s="3325"/>
      <c r="BA49" s="3329"/>
      <c r="BB49" s="3325"/>
      <c r="BC49" s="3329"/>
      <c r="BD49" s="3325"/>
      <c r="BE49" s="1930"/>
      <c r="BF49" s="3303"/>
      <c r="BG49" s="3338"/>
      <c r="BH49" s="3338"/>
      <c r="BI49" s="3124"/>
      <c r="BJ49" s="3124"/>
      <c r="BK49" s="3354"/>
      <c r="BL49" s="1931"/>
      <c r="BM49" s="1931"/>
      <c r="BN49" s="3170"/>
      <c r="BO49" s="3170"/>
      <c r="BP49" s="3170"/>
      <c r="BQ49" s="3170"/>
      <c r="BR49" s="3341"/>
      <c r="BS49" s="656"/>
      <c r="BT49" s="656"/>
    </row>
    <row r="50" spans="1:72" s="656" customFormat="1" ht="19.5" customHeight="1" x14ac:dyDescent="0.2">
      <c r="A50" s="3271"/>
      <c r="B50" s="3275"/>
      <c r="C50" s="3276"/>
      <c r="D50" s="3280"/>
      <c r="E50" s="3280"/>
      <c r="F50" s="3280"/>
      <c r="G50" s="1886">
        <v>76</v>
      </c>
      <c r="H50" s="1366" t="s">
        <v>1874</v>
      </c>
      <c r="I50" s="1366"/>
      <c r="J50" s="1932"/>
      <c r="K50" s="1933"/>
      <c r="L50" s="1934"/>
      <c r="M50" s="1402"/>
      <c r="N50" s="1402"/>
      <c r="O50" s="1434"/>
      <c r="P50" s="1438"/>
      <c r="Q50" s="1368"/>
      <c r="R50" s="1935"/>
      <c r="S50" s="1936"/>
      <c r="T50" s="1934"/>
      <c r="U50" s="1933"/>
      <c r="V50" s="1933"/>
      <c r="W50" s="1937"/>
      <c r="X50" s="1937"/>
      <c r="Y50" s="1938"/>
      <c r="Z50" s="1939"/>
      <c r="AA50" s="1939"/>
      <c r="AB50" s="1366"/>
      <c r="AC50" s="1366"/>
      <c r="AD50" s="1366"/>
      <c r="AE50" s="1366"/>
      <c r="AF50" s="1366"/>
      <c r="AG50" s="1366"/>
      <c r="AH50" s="1366"/>
      <c r="AI50" s="1366"/>
      <c r="AJ50" s="1366"/>
      <c r="AK50" s="1366"/>
      <c r="AL50" s="1366"/>
      <c r="AM50" s="1366"/>
      <c r="AN50" s="1366"/>
      <c r="AO50" s="1366"/>
      <c r="AP50" s="1366"/>
      <c r="AQ50" s="1366"/>
      <c r="AR50" s="1366"/>
      <c r="AS50" s="1366"/>
      <c r="AT50" s="1366"/>
      <c r="AU50" s="1366"/>
      <c r="AV50" s="1366"/>
      <c r="AW50" s="1366"/>
      <c r="AX50" s="1366"/>
      <c r="AY50" s="1366"/>
      <c r="AZ50" s="1374"/>
      <c r="BA50" s="1374"/>
      <c r="BB50" s="1374"/>
      <c r="BC50" s="1374"/>
      <c r="BD50" s="1374"/>
      <c r="BE50" s="1374"/>
      <c r="BF50" s="1374"/>
      <c r="BG50" s="1374"/>
      <c r="BH50" s="1374"/>
      <c r="BI50" s="1495"/>
      <c r="BJ50" s="1495"/>
      <c r="BK50" s="1374"/>
      <c r="BL50" s="1374"/>
      <c r="BM50" s="1374"/>
      <c r="BN50" s="1374"/>
      <c r="BO50" s="1374"/>
      <c r="BP50" s="1374"/>
      <c r="BQ50" s="1374"/>
      <c r="BR50" s="1374"/>
    </row>
    <row r="51" spans="1:72" s="657" customFormat="1" ht="58.5" customHeight="1" x14ac:dyDescent="0.2">
      <c r="A51" s="3271"/>
      <c r="B51" s="3275"/>
      <c r="C51" s="3276"/>
      <c r="D51" s="3280"/>
      <c r="E51" s="3280"/>
      <c r="F51" s="3280"/>
      <c r="G51" s="656"/>
      <c r="H51" s="1896"/>
      <c r="I51" s="1897"/>
      <c r="J51" s="3361">
        <v>219</v>
      </c>
      <c r="K51" s="3283" t="s">
        <v>1875</v>
      </c>
      <c r="L51" s="3283" t="s">
        <v>1876</v>
      </c>
      <c r="M51" s="3365">
        <v>11</v>
      </c>
      <c r="N51" s="3367">
        <v>7</v>
      </c>
      <c r="O51" s="1940"/>
      <c r="P51" s="3368" t="s">
        <v>1877</v>
      </c>
      <c r="Q51" s="3292" t="s">
        <v>1878</v>
      </c>
      <c r="R51" s="3313">
        <f>SUM(W51:W57)/S51</f>
        <v>0.48485153703513656</v>
      </c>
      <c r="S51" s="3315">
        <f>SUM(W51:W65)</f>
        <v>718838837</v>
      </c>
      <c r="T51" s="3318" t="s">
        <v>1879</v>
      </c>
      <c r="U51" s="3319" t="s">
        <v>1880</v>
      </c>
      <c r="V51" s="2920" t="s">
        <v>1881</v>
      </c>
      <c r="W51" s="1913">
        <v>50000000</v>
      </c>
      <c r="X51" s="1941">
        <v>41244366</v>
      </c>
      <c r="Y51" s="1320">
        <f>20550000+16362366+4332000</f>
        <v>41244366</v>
      </c>
      <c r="Z51" s="1942" t="s">
        <v>1882</v>
      </c>
      <c r="AA51" s="1943" t="s">
        <v>1883</v>
      </c>
      <c r="AB51" s="3371">
        <v>7650</v>
      </c>
      <c r="AC51" s="3371">
        <v>4437</v>
      </c>
      <c r="AD51" s="3371">
        <v>7350</v>
      </c>
      <c r="AE51" s="3371">
        <v>4263</v>
      </c>
      <c r="AF51" s="3371">
        <v>4564</v>
      </c>
      <c r="AG51" s="3371">
        <v>1500</v>
      </c>
      <c r="AH51" s="3371">
        <v>3365</v>
      </c>
      <c r="AI51" s="3371">
        <v>1500</v>
      </c>
      <c r="AJ51" s="3371">
        <v>1921</v>
      </c>
      <c r="AK51" s="3371">
        <v>950</v>
      </c>
      <c r="AL51" s="3371">
        <v>5150</v>
      </c>
      <c r="AM51" s="3371">
        <v>4750</v>
      </c>
      <c r="AN51" s="3373"/>
      <c r="AO51" s="1944"/>
      <c r="AP51" s="3373"/>
      <c r="AQ51" s="1944"/>
      <c r="AR51" s="3373"/>
      <c r="AS51" s="1944"/>
      <c r="AT51" s="3373"/>
      <c r="AU51" s="1944"/>
      <c r="AV51" s="3373"/>
      <c r="AW51" s="1944"/>
      <c r="AX51" s="3373"/>
      <c r="AY51" s="1944"/>
      <c r="AZ51" s="3373"/>
      <c r="BA51" s="1944"/>
      <c r="BB51" s="3373"/>
      <c r="BC51" s="1944"/>
      <c r="BD51" s="3373"/>
      <c r="BE51" s="3154"/>
      <c r="BF51" s="3388">
        <v>15000</v>
      </c>
      <c r="BG51" s="3371">
        <v>8700</v>
      </c>
      <c r="BH51" s="3371">
        <v>35</v>
      </c>
      <c r="BI51" s="3167">
        <f>SUM(X51:X65)</f>
        <v>435938975</v>
      </c>
      <c r="BJ51" s="3167">
        <f>SUM(Y51:Y65)</f>
        <v>252501015</v>
      </c>
      <c r="BK51" s="3160">
        <f>BJ51/BI51</f>
        <v>0.57921183807894216</v>
      </c>
      <c r="BL51" s="1945"/>
      <c r="BM51" s="1945"/>
      <c r="BN51" s="3381">
        <v>43480</v>
      </c>
      <c r="BO51" s="3381">
        <v>43544</v>
      </c>
      <c r="BP51" s="3381">
        <v>43600</v>
      </c>
      <c r="BQ51" s="3381">
        <v>43809</v>
      </c>
      <c r="BR51" s="3384" t="s">
        <v>1884</v>
      </c>
      <c r="BS51" s="656"/>
      <c r="BT51" s="656"/>
    </row>
    <row r="52" spans="1:72" s="657" customFormat="1" ht="51" customHeight="1" x14ac:dyDescent="0.2">
      <c r="A52" s="3271"/>
      <c r="B52" s="3275"/>
      <c r="C52" s="3276"/>
      <c r="D52" s="3280"/>
      <c r="E52" s="3280"/>
      <c r="F52" s="3280"/>
      <c r="G52" s="656"/>
      <c r="H52" s="1903"/>
      <c r="I52" s="1904"/>
      <c r="J52" s="3362"/>
      <c r="K52" s="3364"/>
      <c r="L52" s="3364"/>
      <c r="M52" s="3365"/>
      <c r="N52" s="3367"/>
      <c r="O52" s="1946"/>
      <c r="P52" s="3369"/>
      <c r="Q52" s="3293"/>
      <c r="R52" s="3370"/>
      <c r="S52" s="3316"/>
      <c r="T52" s="3318"/>
      <c r="U52" s="3319"/>
      <c r="V52" s="2921"/>
      <c r="W52" s="1913">
        <v>130657749</v>
      </c>
      <c r="X52" s="1941">
        <v>80997333</v>
      </c>
      <c r="Y52" s="1320">
        <v>8394000</v>
      </c>
      <c r="Z52" s="1942" t="s">
        <v>1885</v>
      </c>
      <c r="AA52" s="1943" t="s">
        <v>1836</v>
      </c>
      <c r="AB52" s="3372"/>
      <c r="AC52" s="3372"/>
      <c r="AD52" s="3372"/>
      <c r="AE52" s="3372"/>
      <c r="AF52" s="3372"/>
      <c r="AG52" s="3372"/>
      <c r="AH52" s="3372"/>
      <c r="AI52" s="3372"/>
      <c r="AJ52" s="3372"/>
      <c r="AK52" s="3372"/>
      <c r="AL52" s="3372"/>
      <c r="AM52" s="3372"/>
      <c r="AN52" s="3374"/>
      <c r="AO52" s="1947"/>
      <c r="AP52" s="3374"/>
      <c r="AQ52" s="1947"/>
      <c r="AR52" s="3374"/>
      <c r="AS52" s="1947"/>
      <c r="AT52" s="3374"/>
      <c r="AU52" s="1947"/>
      <c r="AV52" s="3374"/>
      <c r="AW52" s="1947"/>
      <c r="AX52" s="3374"/>
      <c r="AY52" s="1947"/>
      <c r="AZ52" s="3374"/>
      <c r="BA52" s="1947"/>
      <c r="BB52" s="3374"/>
      <c r="BC52" s="1947"/>
      <c r="BD52" s="3374"/>
      <c r="BE52" s="3182"/>
      <c r="BF52" s="3389"/>
      <c r="BG52" s="3372"/>
      <c r="BH52" s="3372"/>
      <c r="BI52" s="3187"/>
      <c r="BJ52" s="3187"/>
      <c r="BK52" s="3379"/>
      <c r="BL52" s="1948"/>
      <c r="BM52" s="1948"/>
      <c r="BN52" s="3382"/>
      <c r="BO52" s="3382"/>
      <c r="BP52" s="3382"/>
      <c r="BQ52" s="3382"/>
      <c r="BR52" s="3385"/>
      <c r="BS52" s="656"/>
      <c r="BT52" s="656"/>
    </row>
    <row r="53" spans="1:72" s="657" customFormat="1" ht="50.25" customHeight="1" x14ac:dyDescent="0.2">
      <c r="A53" s="3271"/>
      <c r="B53" s="3275"/>
      <c r="C53" s="3276"/>
      <c r="D53" s="3280"/>
      <c r="E53" s="3280"/>
      <c r="F53" s="3280"/>
      <c r="G53" s="656"/>
      <c r="H53" s="1903"/>
      <c r="I53" s="1904"/>
      <c r="J53" s="3362"/>
      <c r="K53" s="3364"/>
      <c r="L53" s="3364"/>
      <c r="M53" s="3365"/>
      <c r="N53" s="3367"/>
      <c r="O53" s="1946"/>
      <c r="P53" s="3369"/>
      <c r="Q53" s="3293"/>
      <c r="R53" s="3370"/>
      <c r="S53" s="3316"/>
      <c r="T53" s="3318"/>
      <c r="U53" s="3319"/>
      <c r="V53" s="2920" t="s">
        <v>1886</v>
      </c>
      <c r="W53" s="1913">
        <v>23500000</v>
      </c>
      <c r="X53" s="1941">
        <v>23292000</v>
      </c>
      <c r="Y53" s="1941">
        <f>7600000+11192000+4500000</f>
        <v>23292000</v>
      </c>
      <c r="Z53" s="1949">
        <v>20</v>
      </c>
      <c r="AA53" s="1950" t="s">
        <v>1887</v>
      </c>
      <c r="AB53" s="3372"/>
      <c r="AC53" s="3372"/>
      <c r="AD53" s="3372"/>
      <c r="AE53" s="3372"/>
      <c r="AF53" s="3372"/>
      <c r="AG53" s="3372"/>
      <c r="AH53" s="3372"/>
      <c r="AI53" s="3372"/>
      <c r="AJ53" s="3372"/>
      <c r="AK53" s="3372"/>
      <c r="AL53" s="3372"/>
      <c r="AM53" s="3372"/>
      <c r="AN53" s="3374"/>
      <c r="AO53" s="1947"/>
      <c r="AP53" s="3374"/>
      <c r="AQ53" s="1947"/>
      <c r="AR53" s="3374"/>
      <c r="AS53" s="1947"/>
      <c r="AT53" s="3374"/>
      <c r="AU53" s="1947"/>
      <c r="AV53" s="3374"/>
      <c r="AW53" s="1947"/>
      <c r="AX53" s="3374"/>
      <c r="AY53" s="1947"/>
      <c r="AZ53" s="3374"/>
      <c r="BA53" s="1947"/>
      <c r="BB53" s="3374"/>
      <c r="BC53" s="1947"/>
      <c r="BD53" s="3374"/>
      <c r="BE53" s="3182"/>
      <c r="BF53" s="3389"/>
      <c r="BG53" s="3372"/>
      <c r="BH53" s="3372"/>
      <c r="BI53" s="3187"/>
      <c r="BJ53" s="3187"/>
      <c r="BK53" s="3379"/>
      <c r="BL53" s="1948"/>
      <c r="BM53" s="1948"/>
      <c r="BN53" s="3382"/>
      <c r="BO53" s="3382"/>
      <c r="BP53" s="3382"/>
      <c r="BQ53" s="3382"/>
      <c r="BR53" s="3385"/>
      <c r="BS53" s="656"/>
      <c r="BT53" s="656"/>
    </row>
    <row r="54" spans="1:72" s="657" customFormat="1" ht="41.25" customHeight="1" x14ac:dyDescent="0.2">
      <c r="A54" s="3271"/>
      <c r="B54" s="3275"/>
      <c r="C54" s="3276"/>
      <c r="D54" s="3280"/>
      <c r="E54" s="3280"/>
      <c r="F54" s="3280"/>
      <c r="G54" s="656"/>
      <c r="H54" s="1903"/>
      <c r="I54" s="1904"/>
      <c r="J54" s="3362"/>
      <c r="K54" s="3364"/>
      <c r="L54" s="3364"/>
      <c r="M54" s="3365"/>
      <c r="N54" s="3367"/>
      <c r="O54" s="1946"/>
      <c r="P54" s="3369"/>
      <c r="Q54" s="3293"/>
      <c r="R54" s="3370"/>
      <c r="S54" s="3316"/>
      <c r="T54" s="3318"/>
      <c r="U54" s="3319"/>
      <c r="V54" s="2921"/>
      <c r="W54" s="1913">
        <v>55000000</v>
      </c>
      <c r="X54" s="1941">
        <f>8394000+11192000+11192000+123333</f>
        <v>30901333</v>
      </c>
      <c r="Y54" s="1320">
        <v>8394000</v>
      </c>
      <c r="Z54" s="1949">
        <v>92</v>
      </c>
      <c r="AA54" s="1943" t="s">
        <v>1850</v>
      </c>
      <c r="AB54" s="3372"/>
      <c r="AC54" s="3372"/>
      <c r="AD54" s="3372"/>
      <c r="AE54" s="3372"/>
      <c r="AF54" s="3372"/>
      <c r="AG54" s="3372"/>
      <c r="AH54" s="3372"/>
      <c r="AI54" s="3372"/>
      <c r="AJ54" s="3372"/>
      <c r="AK54" s="3372"/>
      <c r="AL54" s="3372"/>
      <c r="AM54" s="3372"/>
      <c r="AN54" s="3374"/>
      <c r="AO54" s="1947"/>
      <c r="AP54" s="3374"/>
      <c r="AQ54" s="1947"/>
      <c r="AR54" s="3374"/>
      <c r="AS54" s="1947"/>
      <c r="AT54" s="3374"/>
      <c r="AU54" s="1947"/>
      <c r="AV54" s="3374"/>
      <c r="AW54" s="1947"/>
      <c r="AX54" s="3374"/>
      <c r="AY54" s="1947"/>
      <c r="AZ54" s="3374"/>
      <c r="BA54" s="1947"/>
      <c r="BB54" s="3374"/>
      <c r="BC54" s="1947"/>
      <c r="BD54" s="3374"/>
      <c r="BE54" s="3182"/>
      <c r="BF54" s="3389"/>
      <c r="BG54" s="3372"/>
      <c r="BH54" s="3372"/>
      <c r="BI54" s="3187"/>
      <c r="BJ54" s="3187"/>
      <c r="BK54" s="3379"/>
      <c r="BL54" s="1948"/>
      <c r="BM54" s="1948"/>
      <c r="BN54" s="3382"/>
      <c r="BO54" s="3382"/>
      <c r="BP54" s="3382"/>
      <c r="BQ54" s="3382"/>
      <c r="BR54" s="3385"/>
      <c r="BS54" s="656"/>
      <c r="BT54" s="656"/>
    </row>
    <row r="55" spans="1:72" s="657" customFormat="1" ht="48" customHeight="1" x14ac:dyDescent="0.2">
      <c r="A55" s="3271"/>
      <c r="B55" s="3275"/>
      <c r="C55" s="3276"/>
      <c r="D55" s="3280"/>
      <c r="E55" s="3280"/>
      <c r="F55" s="3280"/>
      <c r="G55" s="656"/>
      <c r="H55" s="1903"/>
      <c r="I55" s="1904"/>
      <c r="J55" s="3362"/>
      <c r="K55" s="3364"/>
      <c r="L55" s="3364"/>
      <c r="M55" s="3365"/>
      <c r="N55" s="3367"/>
      <c r="O55" s="1946"/>
      <c r="P55" s="3369"/>
      <c r="Q55" s="3293"/>
      <c r="R55" s="3370"/>
      <c r="S55" s="3316"/>
      <c r="T55" s="3318"/>
      <c r="U55" s="3319"/>
      <c r="V55" s="2920" t="s">
        <v>1888</v>
      </c>
      <c r="W55" s="1913">
        <v>23500000</v>
      </c>
      <c r="X55" s="1941">
        <v>17117251</v>
      </c>
      <c r="Y55" s="1941">
        <v>15850585</v>
      </c>
      <c r="Z55" s="1949">
        <v>20</v>
      </c>
      <c r="AA55" s="1950" t="s">
        <v>1887</v>
      </c>
      <c r="AB55" s="3372"/>
      <c r="AC55" s="3372"/>
      <c r="AD55" s="3372"/>
      <c r="AE55" s="3372"/>
      <c r="AF55" s="3372"/>
      <c r="AG55" s="3372"/>
      <c r="AH55" s="3372"/>
      <c r="AI55" s="3372"/>
      <c r="AJ55" s="3372"/>
      <c r="AK55" s="3372"/>
      <c r="AL55" s="3372"/>
      <c r="AM55" s="3372"/>
      <c r="AN55" s="3374"/>
      <c r="AO55" s="1947"/>
      <c r="AP55" s="3374"/>
      <c r="AQ55" s="1947"/>
      <c r="AR55" s="3374"/>
      <c r="AS55" s="1947"/>
      <c r="AT55" s="3374"/>
      <c r="AU55" s="1947"/>
      <c r="AV55" s="3374"/>
      <c r="AW55" s="1947"/>
      <c r="AX55" s="3374"/>
      <c r="AY55" s="1947"/>
      <c r="AZ55" s="3374"/>
      <c r="BA55" s="1947"/>
      <c r="BB55" s="3374"/>
      <c r="BC55" s="1947"/>
      <c r="BD55" s="3374"/>
      <c r="BE55" s="3182"/>
      <c r="BF55" s="3389"/>
      <c r="BG55" s="3372"/>
      <c r="BH55" s="3372"/>
      <c r="BI55" s="3187"/>
      <c r="BJ55" s="3187"/>
      <c r="BK55" s="3379"/>
      <c r="BL55" s="1948"/>
      <c r="BM55" s="1948"/>
      <c r="BN55" s="3382"/>
      <c r="BO55" s="3382"/>
      <c r="BP55" s="3382"/>
      <c r="BQ55" s="3382"/>
      <c r="BR55" s="3385"/>
      <c r="BS55" s="3342"/>
      <c r="BT55" s="656"/>
    </row>
    <row r="56" spans="1:72" s="657" customFormat="1" ht="42" customHeight="1" x14ac:dyDescent="0.2">
      <c r="A56" s="3271"/>
      <c r="B56" s="3275"/>
      <c r="C56" s="3276"/>
      <c r="D56" s="3280"/>
      <c r="E56" s="3280"/>
      <c r="F56" s="3280"/>
      <c r="G56" s="656"/>
      <c r="H56" s="1903"/>
      <c r="I56" s="1904"/>
      <c r="J56" s="3362"/>
      <c r="K56" s="3364"/>
      <c r="L56" s="3364"/>
      <c r="M56" s="3365"/>
      <c r="N56" s="3367"/>
      <c r="O56" s="1946" t="s">
        <v>1889</v>
      </c>
      <c r="P56" s="3369"/>
      <c r="Q56" s="3293"/>
      <c r="R56" s="3370"/>
      <c r="S56" s="3316"/>
      <c r="T56" s="3318"/>
      <c r="U56" s="3319"/>
      <c r="V56" s="2921"/>
      <c r="W56" s="1913">
        <v>62872366</v>
      </c>
      <c r="X56" s="1941">
        <v>35743333</v>
      </c>
      <c r="Y56" s="1320">
        <f>13500000+7461333+3800000+3166000</f>
        <v>27927333</v>
      </c>
      <c r="Z56" s="1951" t="s">
        <v>1885</v>
      </c>
      <c r="AA56" s="1943" t="s">
        <v>1836</v>
      </c>
      <c r="AB56" s="3372"/>
      <c r="AC56" s="3372"/>
      <c r="AD56" s="3372"/>
      <c r="AE56" s="3372"/>
      <c r="AF56" s="3372"/>
      <c r="AG56" s="3372"/>
      <c r="AH56" s="3372"/>
      <c r="AI56" s="3372"/>
      <c r="AJ56" s="3372"/>
      <c r="AK56" s="3372"/>
      <c r="AL56" s="3372"/>
      <c r="AM56" s="3372"/>
      <c r="AN56" s="3374"/>
      <c r="AO56" s="1947"/>
      <c r="AP56" s="3374"/>
      <c r="AQ56" s="1947"/>
      <c r="AR56" s="3374"/>
      <c r="AS56" s="1947"/>
      <c r="AT56" s="3374"/>
      <c r="AU56" s="1947"/>
      <c r="AV56" s="3374"/>
      <c r="AW56" s="1947"/>
      <c r="AX56" s="3374"/>
      <c r="AY56" s="1947"/>
      <c r="AZ56" s="3374"/>
      <c r="BA56" s="1947"/>
      <c r="BB56" s="3374"/>
      <c r="BC56" s="1947"/>
      <c r="BD56" s="3374"/>
      <c r="BE56" s="3182"/>
      <c r="BF56" s="3389"/>
      <c r="BG56" s="3372"/>
      <c r="BH56" s="3372"/>
      <c r="BI56" s="3187"/>
      <c r="BJ56" s="3187"/>
      <c r="BK56" s="3379"/>
      <c r="BL56" s="1948"/>
      <c r="BM56" s="1948"/>
      <c r="BN56" s="3382"/>
      <c r="BO56" s="3382"/>
      <c r="BP56" s="3382"/>
      <c r="BQ56" s="3382"/>
      <c r="BR56" s="3385"/>
      <c r="BS56" s="3342"/>
      <c r="BT56" s="656"/>
    </row>
    <row r="57" spans="1:72" s="657" customFormat="1" ht="48.75" customHeight="1" x14ac:dyDescent="0.2">
      <c r="A57" s="3271"/>
      <c r="B57" s="3275"/>
      <c r="C57" s="3276"/>
      <c r="D57" s="3280"/>
      <c r="E57" s="3280"/>
      <c r="F57" s="3280"/>
      <c r="G57" s="656"/>
      <c r="H57" s="1903"/>
      <c r="I57" s="1904"/>
      <c r="J57" s="3363"/>
      <c r="K57" s="3284"/>
      <c r="L57" s="3284"/>
      <c r="M57" s="3366"/>
      <c r="N57" s="3367"/>
      <c r="O57" s="1946"/>
      <c r="P57" s="3369"/>
      <c r="Q57" s="3293"/>
      <c r="R57" s="3314"/>
      <c r="S57" s="3316"/>
      <c r="T57" s="3318"/>
      <c r="U57" s="3319"/>
      <c r="V57" s="1922" t="s">
        <v>1890</v>
      </c>
      <c r="W57" s="1913">
        <v>3000000</v>
      </c>
      <c r="X57" s="1952">
        <v>0</v>
      </c>
      <c r="Y57" s="1325">
        <v>0</v>
      </c>
      <c r="Z57" s="1949">
        <v>20</v>
      </c>
      <c r="AA57" s="1950" t="s">
        <v>1887</v>
      </c>
      <c r="AB57" s="3372"/>
      <c r="AC57" s="3372"/>
      <c r="AD57" s="3372"/>
      <c r="AE57" s="3372"/>
      <c r="AF57" s="3372"/>
      <c r="AG57" s="3372"/>
      <c r="AH57" s="3372"/>
      <c r="AI57" s="3372"/>
      <c r="AJ57" s="3372"/>
      <c r="AK57" s="3372"/>
      <c r="AL57" s="3372"/>
      <c r="AM57" s="3372"/>
      <c r="AN57" s="3374"/>
      <c r="AO57" s="1947"/>
      <c r="AP57" s="3374"/>
      <c r="AQ57" s="1947"/>
      <c r="AR57" s="3374"/>
      <c r="AS57" s="1947"/>
      <c r="AT57" s="3374"/>
      <c r="AU57" s="1947"/>
      <c r="AV57" s="3374"/>
      <c r="AW57" s="1947"/>
      <c r="AX57" s="3374"/>
      <c r="AY57" s="1947"/>
      <c r="AZ57" s="3374"/>
      <c r="BA57" s="1947"/>
      <c r="BB57" s="3374"/>
      <c r="BC57" s="1947"/>
      <c r="BD57" s="3374"/>
      <c r="BE57" s="3182"/>
      <c r="BF57" s="3389"/>
      <c r="BG57" s="3372"/>
      <c r="BH57" s="3372"/>
      <c r="BI57" s="3187"/>
      <c r="BJ57" s="3187"/>
      <c r="BK57" s="3379"/>
      <c r="BL57" s="1953">
        <v>20</v>
      </c>
      <c r="BM57" s="1924" t="s">
        <v>1856</v>
      </c>
      <c r="BN57" s="3382"/>
      <c r="BO57" s="3382"/>
      <c r="BP57" s="3382"/>
      <c r="BQ57" s="3382"/>
      <c r="BR57" s="3385"/>
      <c r="BS57" s="3342"/>
      <c r="BT57" s="656"/>
    </row>
    <row r="58" spans="1:72" s="657" customFormat="1" ht="66" customHeight="1" x14ac:dyDescent="0.2">
      <c r="A58" s="3271"/>
      <c r="B58" s="3275"/>
      <c r="C58" s="3276"/>
      <c r="D58" s="3280"/>
      <c r="E58" s="3280"/>
      <c r="F58" s="3280"/>
      <c r="G58" s="656"/>
      <c r="H58" s="1903"/>
      <c r="I58" s="1904"/>
      <c r="J58" s="3361">
        <v>220</v>
      </c>
      <c r="K58" s="3283" t="s">
        <v>1891</v>
      </c>
      <c r="L58" s="3349" t="s">
        <v>1892</v>
      </c>
      <c r="M58" s="3377">
        <v>12</v>
      </c>
      <c r="N58" s="3378">
        <v>10</v>
      </c>
      <c r="O58" s="1946"/>
      <c r="P58" s="3369"/>
      <c r="Q58" s="3293"/>
      <c r="R58" s="3322">
        <f>SUM(W58:W64)/S51</f>
        <v>0.50123713891657751</v>
      </c>
      <c r="S58" s="3316"/>
      <c r="T58" s="3318"/>
      <c r="U58" s="3318"/>
      <c r="V58" s="3320" t="s">
        <v>1893</v>
      </c>
      <c r="W58" s="1913">
        <v>26290000</v>
      </c>
      <c r="X58" s="1952">
        <v>17404866</v>
      </c>
      <c r="Y58" s="1325">
        <v>17404866</v>
      </c>
      <c r="Z58" s="1949">
        <v>20</v>
      </c>
      <c r="AA58" s="1950" t="s">
        <v>1887</v>
      </c>
      <c r="AB58" s="3372"/>
      <c r="AC58" s="3372"/>
      <c r="AD58" s="3372"/>
      <c r="AE58" s="3372"/>
      <c r="AF58" s="3372"/>
      <c r="AG58" s="3372"/>
      <c r="AH58" s="3372"/>
      <c r="AI58" s="3372"/>
      <c r="AJ58" s="3372"/>
      <c r="AK58" s="3372"/>
      <c r="AL58" s="3372"/>
      <c r="AM58" s="3372"/>
      <c r="AN58" s="3375"/>
      <c r="AO58" s="1954"/>
      <c r="AP58" s="3375"/>
      <c r="AQ58" s="1954"/>
      <c r="AR58" s="3375"/>
      <c r="AS58" s="1954"/>
      <c r="AT58" s="3375"/>
      <c r="AU58" s="1954"/>
      <c r="AV58" s="3375"/>
      <c r="AW58" s="1954"/>
      <c r="AX58" s="3375"/>
      <c r="AY58" s="1954"/>
      <c r="AZ58" s="3375"/>
      <c r="BA58" s="1954"/>
      <c r="BB58" s="3375"/>
      <c r="BC58" s="1954"/>
      <c r="BD58" s="3375"/>
      <c r="BE58" s="3182"/>
      <c r="BF58" s="3389"/>
      <c r="BG58" s="3372"/>
      <c r="BH58" s="3372"/>
      <c r="BI58" s="3187"/>
      <c r="BJ58" s="3187"/>
      <c r="BK58" s="3379"/>
      <c r="BL58" s="1953">
        <v>92</v>
      </c>
      <c r="BM58" s="1924" t="s">
        <v>1858</v>
      </c>
      <c r="BN58" s="3382"/>
      <c r="BO58" s="3382"/>
      <c r="BP58" s="3382"/>
      <c r="BQ58" s="3382"/>
      <c r="BR58" s="3386"/>
      <c r="BS58" s="3342"/>
      <c r="BT58" s="656"/>
    </row>
    <row r="59" spans="1:72" s="657" customFormat="1" ht="58.5" customHeight="1" x14ac:dyDescent="0.2">
      <c r="A59" s="3271"/>
      <c r="B59" s="3275"/>
      <c r="C59" s="3276"/>
      <c r="D59" s="3280"/>
      <c r="E59" s="3280"/>
      <c r="F59" s="3280"/>
      <c r="G59" s="656"/>
      <c r="H59" s="1903"/>
      <c r="I59" s="1904"/>
      <c r="J59" s="3362"/>
      <c r="K59" s="3364"/>
      <c r="L59" s="3350"/>
      <c r="M59" s="3365"/>
      <c r="N59" s="3378"/>
      <c r="O59" s="1946"/>
      <c r="P59" s="3369"/>
      <c r="Q59" s="3293"/>
      <c r="R59" s="3323"/>
      <c r="S59" s="3316"/>
      <c r="T59" s="3318"/>
      <c r="U59" s="3318"/>
      <c r="V59" s="3321"/>
      <c r="W59" s="1913">
        <v>130940708</v>
      </c>
      <c r="X59" s="1941">
        <f>8394000+8394000+8394000+7461333</f>
        <v>32643333</v>
      </c>
      <c r="Y59" s="1941">
        <f>8394000+8394000+8394000+7461333</f>
        <v>32643333</v>
      </c>
      <c r="Z59" s="1951" t="s">
        <v>1885</v>
      </c>
      <c r="AA59" s="1943" t="s">
        <v>1836</v>
      </c>
      <c r="AB59" s="3372"/>
      <c r="AC59" s="3372"/>
      <c r="AD59" s="3372"/>
      <c r="AE59" s="3372"/>
      <c r="AF59" s="3372"/>
      <c r="AG59" s="3372"/>
      <c r="AH59" s="3372"/>
      <c r="AI59" s="3372"/>
      <c r="AJ59" s="3372"/>
      <c r="AK59" s="3372"/>
      <c r="AL59" s="3372"/>
      <c r="AM59" s="3372"/>
      <c r="AN59" s="3375"/>
      <c r="AO59" s="1954"/>
      <c r="AP59" s="3375"/>
      <c r="AQ59" s="1954"/>
      <c r="AR59" s="3375"/>
      <c r="AS59" s="1954"/>
      <c r="AT59" s="3375"/>
      <c r="AU59" s="1954"/>
      <c r="AV59" s="3375"/>
      <c r="AW59" s="1954"/>
      <c r="AX59" s="3375"/>
      <c r="AY59" s="1954"/>
      <c r="AZ59" s="3375"/>
      <c r="BA59" s="1954"/>
      <c r="BB59" s="3375"/>
      <c r="BC59" s="1954"/>
      <c r="BD59" s="3375"/>
      <c r="BE59" s="3182"/>
      <c r="BF59" s="3389"/>
      <c r="BG59" s="3372"/>
      <c r="BH59" s="3372"/>
      <c r="BI59" s="3187"/>
      <c r="BJ59" s="3187"/>
      <c r="BK59" s="3379"/>
      <c r="BL59" s="1953"/>
      <c r="BN59" s="3382"/>
      <c r="BO59" s="3382"/>
      <c r="BP59" s="3382"/>
      <c r="BQ59" s="3382"/>
      <c r="BR59" s="3386"/>
      <c r="BS59" s="1915"/>
      <c r="BT59" s="656"/>
    </row>
    <row r="60" spans="1:72" s="657" customFormat="1" ht="55.5" customHeight="1" x14ac:dyDescent="0.2">
      <c r="A60" s="3271"/>
      <c r="B60" s="3275"/>
      <c r="C60" s="3276"/>
      <c r="D60" s="3280"/>
      <c r="E60" s="3280"/>
      <c r="F60" s="3280"/>
      <c r="G60" s="656"/>
      <c r="H60" s="1903"/>
      <c r="I60" s="1904"/>
      <c r="J60" s="3362"/>
      <c r="K60" s="3364"/>
      <c r="L60" s="3350"/>
      <c r="M60" s="3365"/>
      <c r="N60" s="3378"/>
      <c r="O60" s="1946" t="s">
        <v>1894</v>
      </c>
      <c r="P60" s="3369"/>
      <c r="Q60" s="3293"/>
      <c r="R60" s="3323"/>
      <c r="S60" s="3316"/>
      <c r="T60" s="3318"/>
      <c r="U60" s="3318"/>
      <c r="V60" s="1955" t="s">
        <v>1895</v>
      </c>
      <c r="W60" s="1913">
        <v>30812000</v>
      </c>
      <c r="X60" s="1952">
        <f>9554666+5097095</f>
        <v>14651761</v>
      </c>
      <c r="Y60" s="1325">
        <v>9504666</v>
      </c>
      <c r="Z60" s="1951" t="s">
        <v>1885</v>
      </c>
      <c r="AA60" s="1943" t="s">
        <v>1836</v>
      </c>
      <c r="AB60" s="3372"/>
      <c r="AC60" s="3372"/>
      <c r="AD60" s="3372"/>
      <c r="AE60" s="3372"/>
      <c r="AF60" s="3372"/>
      <c r="AG60" s="3372"/>
      <c r="AH60" s="3372"/>
      <c r="AI60" s="3372"/>
      <c r="AJ60" s="3372"/>
      <c r="AK60" s="3372"/>
      <c r="AL60" s="3372"/>
      <c r="AM60" s="3372"/>
      <c r="AN60" s="3375"/>
      <c r="AO60" s="1954"/>
      <c r="AP60" s="3375"/>
      <c r="AQ60" s="1954"/>
      <c r="AR60" s="3375"/>
      <c r="AS60" s="1954"/>
      <c r="AT60" s="3375"/>
      <c r="AU60" s="1954"/>
      <c r="AV60" s="3375"/>
      <c r="AW60" s="1954"/>
      <c r="AX60" s="3375"/>
      <c r="AY60" s="1954"/>
      <c r="AZ60" s="3375"/>
      <c r="BA60" s="1954"/>
      <c r="BB60" s="3375"/>
      <c r="BC60" s="1954"/>
      <c r="BD60" s="3375"/>
      <c r="BE60" s="3182"/>
      <c r="BF60" s="3389"/>
      <c r="BG60" s="3372"/>
      <c r="BH60" s="3372"/>
      <c r="BI60" s="3187"/>
      <c r="BJ60" s="3187"/>
      <c r="BK60" s="3379"/>
      <c r="BL60" s="1953"/>
      <c r="BN60" s="3382"/>
      <c r="BO60" s="3382"/>
      <c r="BP60" s="3382"/>
      <c r="BQ60" s="3382"/>
      <c r="BR60" s="3386"/>
      <c r="BS60" s="1915"/>
      <c r="BT60" s="656"/>
    </row>
    <row r="61" spans="1:72" s="657" customFormat="1" ht="48.75" customHeight="1" x14ac:dyDescent="0.2">
      <c r="A61" s="3271"/>
      <c r="B61" s="3275"/>
      <c r="C61" s="3276"/>
      <c r="D61" s="3280"/>
      <c r="E61" s="3280"/>
      <c r="F61" s="3280"/>
      <c r="G61" s="656"/>
      <c r="H61" s="1903"/>
      <c r="I61" s="1904"/>
      <c r="J61" s="3362"/>
      <c r="K61" s="3364"/>
      <c r="L61" s="3350"/>
      <c r="M61" s="3365"/>
      <c r="N61" s="3378"/>
      <c r="O61" s="1956"/>
      <c r="P61" s="3369"/>
      <c r="Q61" s="3293"/>
      <c r="R61" s="3323"/>
      <c r="S61" s="3316"/>
      <c r="T61" s="3318"/>
      <c r="U61" s="3318"/>
      <c r="V61" s="3320" t="s">
        <v>1886</v>
      </c>
      <c r="W61" s="1913">
        <v>26290000</v>
      </c>
      <c r="X61" s="1941">
        <v>25524000</v>
      </c>
      <c r="Y61" s="1320">
        <f>14332000+11192000</f>
        <v>25524000</v>
      </c>
      <c r="Z61" s="1949">
        <v>20</v>
      </c>
      <c r="AA61" s="1950" t="s">
        <v>1887</v>
      </c>
      <c r="AB61" s="3372"/>
      <c r="AC61" s="3372"/>
      <c r="AD61" s="3372"/>
      <c r="AE61" s="3372"/>
      <c r="AF61" s="3372"/>
      <c r="AG61" s="3372"/>
      <c r="AH61" s="3372"/>
      <c r="AI61" s="3372"/>
      <c r="AJ61" s="3372"/>
      <c r="AK61" s="3372"/>
      <c r="AL61" s="3372"/>
      <c r="AM61" s="3372"/>
      <c r="AN61" s="3375"/>
      <c r="AO61" s="1954"/>
      <c r="AP61" s="3375"/>
      <c r="AQ61" s="1954"/>
      <c r="AR61" s="3375"/>
      <c r="AS61" s="1954"/>
      <c r="AT61" s="3375"/>
      <c r="AU61" s="1954"/>
      <c r="AV61" s="3375"/>
      <c r="AW61" s="1954"/>
      <c r="AX61" s="3375"/>
      <c r="AY61" s="1954"/>
      <c r="AZ61" s="3375"/>
      <c r="BA61" s="1954"/>
      <c r="BB61" s="3375"/>
      <c r="BC61" s="1954"/>
      <c r="BD61" s="3375"/>
      <c r="BE61" s="3182"/>
      <c r="BF61" s="3389"/>
      <c r="BG61" s="3372"/>
      <c r="BH61" s="3372"/>
      <c r="BI61" s="3187"/>
      <c r="BJ61" s="3187"/>
      <c r="BK61" s="3379"/>
      <c r="BL61" s="1948"/>
      <c r="BN61" s="3382"/>
      <c r="BO61" s="3382"/>
      <c r="BP61" s="3382"/>
      <c r="BQ61" s="3382"/>
      <c r="BR61" s="3386"/>
      <c r="BS61" s="656"/>
      <c r="BT61" s="656"/>
    </row>
    <row r="62" spans="1:72" s="657" customFormat="1" ht="42.75" x14ac:dyDescent="0.2">
      <c r="A62" s="3271"/>
      <c r="B62" s="3275"/>
      <c r="C62" s="3276"/>
      <c r="D62" s="3280"/>
      <c r="E62" s="3280"/>
      <c r="F62" s="3280"/>
      <c r="G62" s="656"/>
      <c r="H62" s="1903"/>
      <c r="I62" s="1904"/>
      <c r="J62" s="3362"/>
      <c r="K62" s="3364"/>
      <c r="L62" s="3350"/>
      <c r="M62" s="3365"/>
      <c r="N62" s="3378"/>
      <c r="O62" s="1946"/>
      <c r="P62" s="3369"/>
      <c r="Q62" s="3293"/>
      <c r="R62" s="3323"/>
      <c r="S62" s="3316"/>
      <c r="T62" s="3318"/>
      <c r="U62" s="3318"/>
      <c r="V62" s="3321"/>
      <c r="W62" s="1913">
        <v>36044666</v>
      </c>
      <c r="X62" s="1941">
        <v>5700000</v>
      </c>
      <c r="Y62" s="1320">
        <v>5700000</v>
      </c>
      <c r="Z62" s="1951" t="s">
        <v>1885</v>
      </c>
      <c r="AA62" s="1943" t="s">
        <v>1896</v>
      </c>
      <c r="AB62" s="3372"/>
      <c r="AC62" s="3372"/>
      <c r="AD62" s="3372"/>
      <c r="AE62" s="3372"/>
      <c r="AF62" s="3372"/>
      <c r="AG62" s="3372"/>
      <c r="AH62" s="3372"/>
      <c r="AI62" s="3372"/>
      <c r="AJ62" s="3372"/>
      <c r="AK62" s="3372"/>
      <c r="AL62" s="3372"/>
      <c r="AM62" s="3372"/>
      <c r="AN62" s="3375"/>
      <c r="AO62" s="1954"/>
      <c r="AP62" s="3375"/>
      <c r="AQ62" s="1954"/>
      <c r="AR62" s="3375"/>
      <c r="AS62" s="1954"/>
      <c r="AT62" s="3375"/>
      <c r="AU62" s="1954"/>
      <c r="AV62" s="3375"/>
      <c r="AW62" s="1954"/>
      <c r="AX62" s="3375"/>
      <c r="AY62" s="1954"/>
      <c r="AZ62" s="3375"/>
      <c r="BA62" s="1954"/>
      <c r="BB62" s="3375"/>
      <c r="BC62" s="1954"/>
      <c r="BD62" s="3375"/>
      <c r="BE62" s="3182"/>
      <c r="BF62" s="3389"/>
      <c r="BG62" s="3372"/>
      <c r="BH62" s="3372"/>
      <c r="BI62" s="3187"/>
      <c r="BJ62" s="3187"/>
      <c r="BK62" s="3379"/>
      <c r="BL62" s="1948"/>
      <c r="BM62" s="1948"/>
      <c r="BN62" s="3382"/>
      <c r="BO62" s="3382"/>
      <c r="BP62" s="3382"/>
      <c r="BQ62" s="3382"/>
      <c r="BR62" s="3386"/>
      <c r="BS62" s="656"/>
      <c r="BT62" s="656"/>
    </row>
    <row r="63" spans="1:72" s="657" customFormat="1" ht="38.25" customHeight="1" x14ac:dyDescent="0.2">
      <c r="A63" s="3271"/>
      <c r="B63" s="3275"/>
      <c r="C63" s="3276"/>
      <c r="D63" s="3280"/>
      <c r="E63" s="3280"/>
      <c r="F63" s="3280"/>
      <c r="G63" s="656"/>
      <c r="H63" s="1903"/>
      <c r="I63" s="1904"/>
      <c r="J63" s="3362"/>
      <c r="K63" s="3364"/>
      <c r="L63" s="3350"/>
      <c r="M63" s="3365"/>
      <c r="N63" s="3378"/>
      <c r="O63" s="1956"/>
      <c r="P63" s="3369"/>
      <c r="Q63" s="3293"/>
      <c r="R63" s="3323"/>
      <c r="S63" s="3316"/>
      <c r="T63" s="3318"/>
      <c r="U63" s="3318"/>
      <c r="V63" s="3320" t="s">
        <v>1888</v>
      </c>
      <c r="W63" s="1913">
        <v>26290000</v>
      </c>
      <c r="X63" s="1941">
        <f>1791500+19039200</f>
        <v>20830700</v>
      </c>
      <c r="Y63" s="1941">
        <f>1791500+19039200</f>
        <v>20830700</v>
      </c>
      <c r="Z63" s="1949">
        <v>20</v>
      </c>
      <c r="AA63" s="1950" t="s">
        <v>1897</v>
      </c>
      <c r="AB63" s="3372"/>
      <c r="AC63" s="3372"/>
      <c r="AD63" s="3372"/>
      <c r="AE63" s="3372"/>
      <c r="AF63" s="3372"/>
      <c r="AG63" s="3372"/>
      <c r="AH63" s="3372"/>
      <c r="AI63" s="3372"/>
      <c r="AJ63" s="3372"/>
      <c r="AK63" s="3372"/>
      <c r="AL63" s="3372"/>
      <c r="AM63" s="3372"/>
      <c r="AN63" s="3375"/>
      <c r="AO63" s="1954"/>
      <c r="AP63" s="3375"/>
      <c r="AQ63" s="1954"/>
      <c r="AR63" s="3375"/>
      <c r="AS63" s="1954"/>
      <c r="AT63" s="3375"/>
      <c r="AU63" s="1954"/>
      <c r="AV63" s="3375"/>
      <c r="AW63" s="1954"/>
      <c r="AX63" s="3375"/>
      <c r="AY63" s="1954"/>
      <c r="AZ63" s="3375"/>
      <c r="BA63" s="1954"/>
      <c r="BB63" s="3375"/>
      <c r="BC63" s="1954"/>
      <c r="BD63" s="3375"/>
      <c r="BE63" s="3182"/>
      <c r="BF63" s="3389"/>
      <c r="BG63" s="3372"/>
      <c r="BH63" s="3372"/>
      <c r="BI63" s="3187"/>
      <c r="BJ63" s="3187"/>
      <c r="BK63" s="3379"/>
      <c r="BL63" s="1948"/>
      <c r="BM63" s="1948"/>
      <c r="BN63" s="3382"/>
      <c r="BO63" s="3382"/>
      <c r="BP63" s="3382"/>
      <c r="BQ63" s="3382"/>
      <c r="BR63" s="3386"/>
      <c r="BS63" s="656"/>
      <c r="BT63" s="656"/>
    </row>
    <row r="64" spans="1:72" s="657" customFormat="1" ht="30" x14ac:dyDescent="0.2">
      <c r="A64" s="3271"/>
      <c r="B64" s="3275"/>
      <c r="C64" s="3276"/>
      <c r="D64" s="3280"/>
      <c r="E64" s="3280"/>
      <c r="F64" s="3280"/>
      <c r="G64" s="656"/>
      <c r="H64" s="1903"/>
      <c r="I64" s="1904"/>
      <c r="J64" s="3363"/>
      <c r="K64" s="3284"/>
      <c r="L64" s="3351"/>
      <c r="M64" s="3366"/>
      <c r="N64" s="3378"/>
      <c r="O64" s="1946"/>
      <c r="P64" s="3369"/>
      <c r="Q64" s="3293"/>
      <c r="R64" s="3324"/>
      <c r="S64" s="3316"/>
      <c r="T64" s="3318"/>
      <c r="U64" s="3318"/>
      <c r="V64" s="3321"/>
      <c r="W64" s="1913">
        <v>83641348</v>
      </c>
      <c r="X64" s="1941">
        <v>81083033</v>
      </c>
      <c r="Y64" s="1320">
        <f>8394000+3800000</f>
        <v>12194000</v>
      </c>
      <c r="Z64" s="1951" t="s">
        <v>1885</v>
      </c>
      <c r="AA64" s="1943" t="s">
        <v>1836</v>
      </c>
      <c r="AB64" s="3372"/>
      <c r="AC64" s="3372"/>
      <c r="AD64" s="3372"/>
      <c r="AE64" s="3372"/>
      <c r="AF64" s="3372"/>
      <c r="AG64" s="3372"/>
      <c r="AH64" s="3372"/>
      <c r="AI64" s="3372"/>
      <c r="AJ64" s="3372"/>
      <c r="AK64" s="3372"/>
      <c r="AL64" s="3372"/>
      <c r="AM64" s="3372"/>
      <c r="AN64" s="3375"/>
      <c r="AO64" s="1954"/>
      <c r="AP64" s="3375"/>
      <c r="AQ64" s="1954"/>
      <c r="AR64" s="3375"/>
      <c r="AS64" s="1954"/>
      <c r="AT64" s="3375"/>
      <c r="AU64" s="1954"/>
      <c r="AV64" s="3375"/>
      <c r="AW64" s="1954"/>
      <c r="AX64" s="3375"/>
      <c r="AY64" s="1954"/>
      <c r="AZ64" s="3375"/>
      <c r="BA64" s="1954"/>
      <c r="BB64" s="3375"/>
      <c r="BC64" s="1954"/>
      <c r="BD64" s="3375"/>
      <c r="BE64" s="3182"/>
      <c r="BF64" s="3389"/>
      <c r="BG64" s="3372"/>
      <c r="BH64" s="3372"/>
      <c r="BI64" s="3187"/>
      <c r="BJ64" s="3187"/>
      <c r="BK64" s="3379"/>
      <c r="BL64" s="1948"/>
      <c r="BM64" s="1948"/>
      <c r="BN64" s="3382"/>
      <c r="BO64" s="3382"/>
      <c r="BP64" s="3382"/>
      <c r="BQ64" s="3382"/>
      <c r="BR64" s="3386"/>
      <c r="BS64" s="656"/>
      <c r="BT64" s="656"/>
    </row>
    <row r="65" spans="1:72" s="657" customFormat="1" ht="82.5" customHeight="1" x14ac:dyDescent="0.2">
      <c r="A65" s="3271"/>
      <c r="B65" s="3275"/>
      <c r="C65" s="3276"/>
      <c r="D65" s="3280"/>
      <c r="E65" s="3280"/>
      <c r="F65" s="3280"/>
      <c r="G65" s="656"/>
      <c r="H65" s="1927"/>
      <c r="I65" s="1928"/>
      <c r="J65" s="1957">
        <v>222</v>
      </c>
      <c r="K65" s="1958" t="s">
        <v>1898</v>
      </c>
      <c r="L65" s="1958" t="s">
        <v>1899</v>
      </c>
      <c r="M65" s="1959">
        <v>1</v>
      </c>
      <c r="N65" s="1960">
        <v>0.65</v>
      </c>
      <c r="O65" s="1961"/>
      <c r="P65" s="3369"/>
      <c r="Q65" s="3293"/>
      <c r="R65" s="1911">
        <f>SUM(W65)/S51</f>
        <v>1.3911324048285944E-2</v>
      </c>
      <c r="S65" s="3317"/>
      <c r="T65" s="3318"/>
      <c r="U65" s="3318"/>
      <c r="V65" s="1912" t="s">
        <v>1900</v>
      </c>
      <c r="W65" s="1320">
        <v>10000000</v>
      </c>
      <c r="X65" s="1952">
        <f>1791500+1805666+5208500</f>
        <v>8805666</v>
      </c>
      <c r="Y65" s="1325">
        <f>1791500+1805666</f>
        <v>3597166</v>
      </c>
      <c r="Z65" s="1949">
        <v>20</v>
      </c>
      <c r="AA65" s="1950" t="s">
        <v>1887</v>
      </c>
      <c r="AB65" s="3372"/>
      <c r="AC65" s="3372"/>
      <c r="AD65" s="3372"/>
      <c r="AE65" s="3372"/>
      <c r="AF65" s="3372"/>
      <c r="AG65" s="3372"/>
      <c r="AH65" s="3372"/>
      <c r="AI65" s="3372"/>
      <c r="AJ65" s="3372"/>
      <c r="AK65" s="3372"/>
      <c r="AL65" s="3372"/>
      <c r="AM65" s="3372"/>
      <c r="AN65" s="3376"/>
      <c r="AO65" s="1962"/>
      <c r="AP65" s="3376"/>
      <c r="AQ65" s="1962"/>
      <c r="AR65" s="3376"/>
      <c r="AS65" s="1962"/>
      <c r="AT65" s="3376"/>
      <c r="AU65" s="1962"/>
      <c r="AV65" s="3376"/>
      <c r="AW65" s="1962"/>
      <c r="AX65" s="3376"/>
      <c r="AY65" s="1962"/>
      <c r="AZ65" s="3376"/>
      <c r="BA65" s="1962"/>
      <c r="BB65" s="3376"/>
      <c r="BC65" s="1962"/>
      <c r="BD65" s="3376"/>
      <c r="BE65" s="3171"/>
      <c r="BF65" s="3389"/>
      <c r="BG65" s="3372"/>
      <c r="BH65" s="3372"/>
      <c r="BI65" s="3177"/>
      <c r="BJ65" s="3177"/>
      <c r="BK65" s="3380"/>
      <c r="BL65" s="1963"/>
      <c r="BM65" s="1963"/>
      <c r="BN65" s="3383"/>
      <c r="BO65" s="3383"/>
      <c r="BP65" s="3383"/>
      <c r="BQ65" s="3383"/>
      <c r="BR65" s="3387"/>
      <c r="BS65" s="656"/>
      <c r="BT65" s="656"/>
    </row>
    <row r="66" spans="1:72" s="656" customFormat="1" ht="15" customHeight="1" x14ac:dyDescent="0.2">
      <c r="A66" s="3271"/>
      <c r="B66" s="3275"/>
      <c r="C66" s="3276"/>
      <c r="D66" s="1964">
        <v>24</v>
      </c>
      <c r="E66" s="1965" t="s">
        <v>1901</v>
      </c>
      <c r="F66" s="1965"/>
      <c r="G66" s="1874"/>
      <c r="H66" s="1874"/>
      <c r="I66" s="1874"/>
      <c r="J66" s="1966"/>
      <c r="K66" s="1967"/>
      <c r="L66" s="1968"/>
      <c r="M66" s="1969"/>
      <c r="N66" s="1969"/>
      <c r="O66" s="1878"/>
      <c r="P66" s="1875"/>
      <c r="Q66" s="1877"/>
      <c r="R66" s="1970"/>
      <c r="S66" s="1971"/>
      <c r="T66" s="1968"/>
      <c r="U66" s="1967"/>
      <c r="V66" s="1967"/>
      <c r="W66" s="1972"/>
      <c r="X66" s="1972"/>
      <c r="Y66" s="1973"/>
      <c r="Z66" s="1974"/>
      <c r="AA66" s="1974"/>
      <c r="AB66" s="1881"/>
      <c r="AC66" s="1881"/>
      <c r="AD66" s="1881"/>
      <c r="AE66" s="1881"/>
      <c r="AF66" s="1881"/>
      <c r="AG66" s="1881"/>
      <c r="AH66" s="1881"/>
      <c r="AI66" s="1881"/>
      <c r="AJ66" s="1881"/>
      <c r="AK66" s="1881"/>
      <c r="AL66" s="1881"/>
      <c r="AM66" s="1881"/>
      <c r="AN66" s="1881"/>
      <c r="AO66" s="1881"/>
      <c r="AP66" s="1881"/>
      <c r="AQ66" s="1881"/>
      <c r="AR66" s="1881"/>
      <c r="AS66" s="1881"/>
      <c r="AT66" s="1881"/>
      <c r="AU66" s="1881"/>
      <c r="AV66" s="1881"/>
      <c r="AW66" s="1881"/>
      <c r="AX66" s="1881"/>
      <c r="AY66" s="1881"/>
      <c r="AZ66" s="1881"/>
      <c r="BA66" s="1881"/>
      <c r="BB66" s="1883"/>
      <c r="BC66" s="1883"/>
      <c r="BD66" s="1877"/>
      <c r="BE66" s="1877"/>
      <c r="BF66" s="1877"/>
      <c r="BG66" s="1877"/>
      <c r="BH66" s="1877"/>
      <c r="BI66" s="1975"/>
      <c r="BJ66" s="1975"/>
      <c r="BK66" s="1877"/>
      <c r="BL66" s="1877"/>
      <c r="BM66" s="1877"/>
      <c r="BN66" s="1877"/>
      <c r="BO66" s="1877"/>
      <c r="BP66" s="1877"/>
      <c r="BQ66" s="1877"/>
      <c r="BR66" s="1884"/>
    </row>
    <row r="67" spans="1:72" s="656" customFormat="1" ht="15" customHeight="1" x14ac:dyDescent="0.2">
      <c r="A67" s="3271"/>
      <c r="B67" s="3275"/>
      <c r="C67" s="3276"/>
      <c r="D67" s="3390"/>
      <c r="E67" s="3390"/>
      <c r="F67" s="3390"/>
      <c r="G67" s="1886">
        <v>78</v>
      </c>
      <c r="H67" s="1366" t="s">
        <v>1902</v>
      </c>
      <c r="I67" s="1366"/>
      <c r="J67" s="1887"/>
      <c r="K67" s="1888"/>
      <c r="L67" s="1889"/>
      <c r="M67" s="1433"/>
      <c r="N67" s="1433"/>
      <c r="O67" s="1434"/>
      <c r="P67" s="1438"/>
      <c r="Q67" s="1368"/>
      <c r="R67" s="1890"/>
      <c r="S67" s="1976"/>
      <c r="T67" s="1889"/>
      <c r="U67" s="1888"/>
      <c r="V67" s="1888"/>
      <c r="W67" s="1937"/>
      <c r="X67" s="1937"/>
      <c r="Y67" s="1938"/>
      <c r="Z67" s="1977"/>
      <c r="AA67" s="1977"/>
      <c r="AB67" s="1978"/>
      <c r="AC67" s="1978"/>
      <c r="AD67" s="1978"/>
      <c r="AE67" s="1978"/>
      <c r="AF67" s="1978"/>
      <c r="AG67" s="1978"/>
      <c r="AH67" s="1978"/>
      <c r="AI67" s="1978"/>
      <c r="AJ67" s="1978"/>
      <c r="AK67" s="1978"/>
      <c r="AL67" s="1978"/>
      <c r="AM67" s="1978"/>
      <c r="AN67" s="1978"/>
      <c r="AO67" s="1978"/>
      <c r="AP67" s="1978"/>
      <c r="AQ67" s="1978"/>
      <c r="AR67" s="1978"/>
      <c r="AS67" s="1978"/>
      <c r="AT67" s="1978"/>
      <c r="AU67" s="1978"/>
      <c r="AV67" s="1978"/>
      <c r="AW67" s="1978"/>
      <c r="AX67" s="1978"/>
      <c r="AY67" s="1978"/>
      <c r="AZ67" s="1978"/>
      <c r="BA67" s="1978"/>
      <c r="BB67" s="1978"/>
      <c r="BC67" s="1978"/>
      <c r="BD67" s="1978"/>
      <c r="BE67" s="1978"/>
      <c r="BF67" s="1978"/>
      <c r="BG67" s="1978"/>
      <c r="BH67" s="1978"/>
      <c r="BI67" s="1979"/>
      <c r="BJ67" s="1979"/>
      <c r="BK67" s="1978"/>
      <c r="BL67" s="1978"/>
      <c r="BM67" s="1978"/>
      <c r="BN67" s="1978"/>
      <c r="BO67" s="1978"/>
      <c r="BP67" s="1978"/>
      <c r="BQ67" s="1978"/>
      <c r="BR67" s="1980"/>
    </row>
    <row r="68" spans="1:72" s="657" customFormat="1" ht="77.25" customHeight="1" x14ac:dyDescent="0.25">
      <c r="A68" s="3271"/>
      <c r="B68" s="3275"/>
      <c r="C68" s="3276"/>
      <c r="D68" s="3390"/>
      <c r="E68" s="3390"/>
      <c r="F68" s="3390"/>
      <c r="G68" s="1981"/>
      <c r="H68" s="1982"/>
      <c r="I68" s="1983"/>
      <c r="J68" s="3391">
        <v>226</v>
      </c>
      <c r="K68" s="3392" t="s">
        <v>1903</v>
      </c>
      <c r="L68" s="3345" t="s">
        <v>1904</v>
      </c>
      <c r="M68" s="3393">
        <v>12</v>
      </c>
      <c r="N68" s="3367">
        <v>12</v>
      </c>
      <c r="O68" s="1984"/>
      <c r="P68" s="3369" t="s">
        <v>1905</v>
      </c>
      <c r="Q68" s="3293" t="s">
        <v>1906</v>
      </c>
      <c r="R68" s="3348">
        <f>SUM(W68:W77)/S68</f>
        <v>0.55679287305122493</v>
      </c>
      <c r="S68" s="3315">
        <f>SUM(W68:W91)</f>
        <v>449000000</v>
      </c>
      <c r="T68" s="3318" t="s">
        <v>1907</v>
      </c>
      <c r="U68" s="3319" t="s">
        <v>1908</v>
      </c>
      <c r="V68" s="1922" t="s">
        <v>1909</v>
      </c>
      <c r="W68" s="1320">
        <v>6500000</v>
      </c>
      <c r="X68" s="1325">
        <f>3500000+3000000</f>
        <v>6500000</v>
      </c>
      <c r="Y68" s="1913">
        <v>3500000</v>
      </c>
      <c r="Z68" s="1985">
        <v>20</v>
      </c>
      <c r="AA68" s="1986" t="s">
        <v>1910</v>
      </c>
      <c r="AB68" s="3336">
        <v>1199</v>
      </c>
      <c r="AC68" s="3336" t="s">
        <v>1911</v>
      </c>
      <c r="AD68" s="3336">
        <v>1151</v>
      </c>
      <c r="AE68" s="3409">
        <v>577</v>
      </c>
      <c r="AF68" s="3406">
        <v>715</v>
      </c>
      <c r="AG68" s="3406" t="s">
        <v>1912</v>
      </c>
      <c r="AH68" s="3406">
        <v>527</v>
      </c>
      <c r="AI68" s="3406" t="s">
        <v>1913</v>
      </c>
      <c r="AJ68" s="3336">
        <v>301</v>
      </c>
      <c r="AK68" s="3406" t="s">
        <v>1914</v>
      </c>
      <c r="AL68" s="3336">
        <v>807</v>
      </c>
      <c r="AM68" s="3336" t="s">
        <v>1915</v>
      </c>
      <c r="AN68" s="3406"/>
      <c r="AO68" s="1987"/>
      <c r="AP68" s="3406"/>
      <c r="AQ68" s="1987"/>
      <c r="AR68" s="3406"/>
      <c r="AS68" s="1987"/>
      <c r="AT68" s="3406"/>
      <c r="AU68" s="1987"/>
      <c r="AV68" s="3406"/>
      <c r="AW68" s="1987"/>
      <c r="AX68" s="3406"/>
      <c r="AY68" s="1987"/>
      <c r="AZ68" s="3406">
        <v>2350</v>
      </c>
      <c r="BA68" s="3409">
        <v>1175</v>
      </c>
      <c r="BB68" s="3406"/>
      <c r="BC68" s="1987"/>
      <c r="BD68" s="3406"/>
      <c r="BE68" s="1987"/>
      <c r="BF68" s="3301">
        <v>2350</v>
      </c>
      <c r="BG68" s="3336">
        <v>1175</v>
      </c>
      <c r="BH68" s="3336">
        <v>19</v>
      </c>
      <c r="BI68" s="3339">
        <f>SUM(X68:X91)</f>
        <v>285300048</v>
      </c>
      <c r="BJ68" s="3339">
        <f>SUM(Y68:Y91)</f>
        <v>141379048</v>
      </c>
      <c r="BK68" s="3352">
        <f>BJ68/BI68</f>
        <v>0.49554512517992988</v>
      </c>
      <c r="BL68" s="1988"/>
      <c r="BM68" s="1989"/>
      <c r="BN68" s="3403">
        <v>43475</v>
      </c>
      <c r="BO68" s="3381">
        <v>43570</v>
      </c>
      <c r="BP68" s="3403">
        <v>43819</v>
      </c>
      <c r="BQ68" s="3381">
        <v>43819</v>
      </c>
      <c r="BR68" s="3400" t="s">
        <v>1884</v>
      </c>
      <c r="BS68" s="656"/>
      <c r="BT68" s="656"/>
    </row>
    <row r="69" spans="1:72" s="657" customFormat="1" ht="52.5" customHeight="1" x14ac:dyDescent="0.25">
      <c r="A69" s="3271"/>
      <c r="B69" s="3275"/>
      <c r="C69" s="3276"/>
      <c r="D69" s="3390"/>
      <c r="E69" s="3390"/>
      <c r="F69" s="3390"/>
      <c r="G69" s="1990"/>
      <c r="H69" s="1991"/>
      <c r="I69" s="1992"/>
      <c r="J69" s="3391"/>
      <c r="K69" s="3392"/>
      <c r="L69" s="3345"/>
      <c r="M69" s="3393"/>
      <c r="N69" s="3367"/>
      <c r="O69" s="1984"/>
      <c r="P69" s="3369"/>
      <c r="Q69" s="3293"/>
      <c r="R69" s="3348"/>
      <c r="S69" s="3316"/>
      <c r="T69" s="3318"/>
      <c r="U69" s="3319"/>
      <c r="V69" s="1922" t="s">
        <v>1916</v>
      </c>
      <c r="W69" s="1320">
        <v>5000000</v>
      </c>
      <c r="X69" s="1325">
        <f>1517000+3483000</f>
        <v>5000000</v>
      </c>
      <c r="Y69" s="1913">
        <f>1517000</f>
        <v>1517000</v>
      </c>
      <c r="Z69" s="1898">
        <v>20</v>
      </c>
      <c r="AA69" s="1993" t="s">
        <v>86</v>
      </c>
      <c r="AB69" s="3337"/>
      <c r="AC69" s="3337"/>
      <c r="AD69" s="3337"/>
      <c r="AE69" s="3410"/>
      <c r="AF69" s="3407"/>
      <c r="AG69" s="3407"/>
      <c r="AH69" s="3407"/>
      <c r="AI69" s="3407"/>
      <c r="AJ69" s="3337"/>
      <c r="AK69" s="3407"/>
      <c r="AL69" s="3337"/>
      <c r="AM69" s="3337"/>
      <c r="AN69" s="3407"/>
      <c r="AO69" s="1994"/>
      <c r="AP69" s="3407"/>
      <c r="AQ69" s="1994"/>
      <c r="AR69" s="3407"/>
      <c r="AS69" s="1994"/>
      <c r="AT69" s="3407"/>
      <c r="AU69" s="1994"/>
      <c r="AV69" s="3407"/>
      <c r="AW69" s="1994"/>
      <c r="AX69" s="3407"/>
      <c r="AY69" s="1994"/>
      <c r="AZ69" s="3407"/>
      <c r="BA69" s="3410"/>
      <c r="BB69" s="3407"/>
      <c r="BC69" s="1994"/>
      <c r="BD69" s="3407"/>
      <c r="BE69" s="1994"/>
      <c r="BF69" s="3302"/>
      <c r="BG69" s="3337"/>
      <c r="BH69" s="3337"/>
      <c r="BI69" s="3123"/>
      <c r="BJ69" s="3123"/>
      <c r="BK69" s="3353"/>
      <c r="BL69" s="1995"/>
      <c r="BM69" s="1996"/>
      <c r="BN69" s="3404"/>
      <c r="BO69" s="3382"/>
      <c r="BP69" s="3404"/>
      <c r="BQ69" s="3382"/>
      <c r="BR69" s="3341"/>
      <c r="BS69" s="656"/>
      <c r="BT69" s="656"/>
    </row>
    <row r="70" spans="1:72" s="657" customFormat="1" ht="24.75" customHeight="1" x14ac:dyDescent="0.25">
      <c r="A70" s="3271"/>
      <c r="B70" s="3275"/>
      <c r="C70" s="3276"/>
      <c r="D70" s="3390"/>
      <c r="E70" s="3390"/>
      <c r="F70" s="3390"/>
      <c r="G70" s="1990"/>
      <c r="H70" s="1991"/>
      <c r="I70" s="1992"/>
      <c r="J70" s="3391"/>
      <c r="K70" s="3392"/>
      <c r="L70" s="3345"/>
      <c r="M70" s="3393"/>
      <c r="N70" s="3367"/>
      <c r="O70" s="1984"/>
      <c r="P70" s="3369"/>
      <c r="Q70" s="3293"/>
      <c r="R70" s="3348"/>
      <c r="S70" s="3316"/>
      <c r="T70" s="3318"/>
      <c r="U70" s="3319"/>
      <c r="V70" s="3401" t="s">
        <v>1917</v>
      </c>
      <c r="W70" s="1320">
        <v>50000000</v>
      </c>
      <c r="X70" s="1325">
        <f>14400000+2500000+500000+2000000+7490000+6490000+13998000+396000+2226000</f>
        <v>50000000</v>
      </c>
      <c r="Y70" s="1913">
        <v>33380000</v>
      </c>
      <c r="Z70" s="1898">
        <v>20</v>
      </c>
      <c r="AA70" s="1993"/>
      <c r="AB70" s="3337"/>
      <c r="AC70" s="3337"/>
      <c r="AD70" s="3337"/>
      <c r="AE70" s="3410"/>
      <c r="AF70" s="3407"/>
      <c r="AG70" s="3407"/>
      <c r="AH70" s="3407"/>
      <c r="AI70" s="3407"/>
      <c r="AJ70" s="3337"/>
      <c r="AK70" s="3407"/>
      <c r="AL70" s="3337"/>
      <c r="AM70" s="3337"/>
      <c r="AN70" s="3407"/>
      <c r="AO70" s="1994"/>
      <c r="AP70" s="3407"/>
      <c r="AQ70" s="1994"/>
      <c r="AR70" s="3407"/>
      <c r="AS70" s="1994"/>
      <c r="AT70" s="3407"/>
      <c r="AU70" s="1994"/>
      <c r="AV70" s="3407"/>
      <c r="AW70" s="1994"/>
      <c r="AX70" s="3407"/>
      <c r="AY70" s="1994"/>
      <c r="AZ70" s="3407"/>
      <c r="BA70" s="3410"/>
      <c r="BB70" s="3407"/>
      <c r="BC70" s="1994"/>
      <c r="BD70" s="3407"/>
      <c r="BE70" s="1994"/>
      <c r="BF70" s="3302"/>
      <c r="BG70" s="3337"/>
      <c r="BH70" s="3337"/>
      <c r="BI70" s="3123"/>
      <c r="BJ70" s="3123"/>
      <c r="BK70" s="3353"/>
      <c r="BL70" s="1995"/>
      <c r="BM70" s="1996"/>
      <c r="BN70" s="3404"/>
      <c r="BO70" s="3382"/>
      <c r="BP70" s="3404"/>
      <c r="BQ70" s="3382"/>
      <c r="BR70" s="3341"/>
      <c r="BS70" s="656"/>
      <c r="BT70" s="656"/>
    </row>
    <row r="71" spans="1:72" s="657" customFormat="1" ht="33" customHeight="1" x14ac:dyDescent="0.25">
      <c r="A71" s="3271"/>
      <c r="B71" s="3275"/>
      <c r="C71" s="3276"/>
      <c r="D71" s="3390"/>
      <c r="E71" s="3390"/>
      <c r="F71" s="3390"/>
      <c r="G71" s="1990"/>
      <c r="H71" s="1991"/>
      <c r="I71" s="1992"/>
      <c r="J71" s="3391"/>
      <c r="K71" s="3392"/>
      <c r="L71" s="3345"/>
      <c r="M71" s="3393"/>
      <c r="N71" s="3367"/>
      <c r="O71" s="1984"/>
      <c r="P71" s="3369"/>
      <c r="Q71" s="3293"/>
      <c r="R71" s="3348"/>
      <c r="S71" s="3316"/>
      <c r="T71" s="3318"/>
      <c r="U71" s="3319"/>
      <c r="V71" s="3402"/>
      <c r="W71" s="1997">
        <v>20000000</v>
      </c>
      <c r="X71" s="1998">
        <f>4406000+5128000+2017000+8149000</f>
        <v>19700000</v>
      </c>
      <c r="Y71" s="1999">
        <v>0</v>
      </c>
      <c r="Z71" s="1926">
        <v>88</v>
      </c>
      <c r="AA71" s="1993" t="s">
        <v>86</v>
      </c>
      <c r="AB71" s="3337"/>
      <c r="AC71" s="3337"/>
      <c r="AD71" s="3337"/>
      <c r="AE71" s="3410"/>
      <c r="AF71" s="3407"/>
      <c r="AG71" s="3407"/>
      <c r="AH71" s="3407"/>
      <c r="AI71" s="3407"/>
      <c r="AJ71" s="3337"/>
      <c r="AK71" s="3407"/>
      <c r="AL71" s="3337"/>
      <c r="AM71" s="3337"/>
      <c r="AN71" s="3407"/>
      <c r="AO71" s="1994"/>
      <c r="AP71" s="3407"/>
      <c r="AQ71" s="1994"/>
      <c r="AR71" s="3407"/>
      <c r="AS71" s="1994"/>
      <c r="AT71" s="3407"/>
      <c r="AU71" s="1994"/>
      <c r="AV71" s="3407"/>
      <c r="AW71" s="1994"/>
      <c r="AX71" s="3407"/>
      <c r="AY71" s="1994"/>
      <c r="AZ71" s="3407"/>
      <c r="BA71" s="3410"/>
      <c r="BB71" s="3407"/>
      <c r="BC71" s="1994"/>
      <c r="BD71" s="3407"/>
      <c r="BE71" s="1994"/>
      <c r="BF71" s="3302"/>
      <c r="BG71" s="3337"/>
      <c r="BH71" s="3337"/>
      <c r="BI71" s="3123"/>
      <c r="BJ71" s="3123"/>
      <c r="BK71" s="3353"/>
      <c r="BL71" s="1995"/>
      <c r="BM71" s="1996"/>
      <c r="BN71" s="3404"/>
      <c r="BO71" s="3382"/>
      <c r="BP71" s="3404"/>
      <c r="BQ71" s="3382"/>
      <c r="BR71" s="3341"/>
      <c r="BS71" s="3342"/>
      <c r="BT71" s="656"/>
    </row>
    <row r="72" spans="1:72" s="657" customFormat="1" ht="108.75" customHeight="1" x14ac:dyDescent="0.25">
      <c r="A72" s="3271"/>
      <c r="B72" s="3275"/>
      <c r="C72" s="3276"/>
      <c r="D72" s="3390"/>
      <c r="E72" s="3390"/>
      <c r="F72" s="3390"/>
      <c r="G72" s="1990"/>
      <c r="H72" s="1991"/>
      <c r="I72" s="1992"/>
      <c r="J72" s="3391"/>
      <c r="K72" s="3392"/>
      <c r="L72" s="3345"/>
      <c r="M72" s="3393"/>
      <c r="N72" s="3367"/>
      <c r="O72" s="1984"/>
      <c r="P72" s="3369"/>
      <c r="Q72" s="3293"/>
      <c r="R72" s="3348"/>
      <c r="S72" s="3316"/>
      <c r="T72" s="3318"/>
      <c r="U72" s="3319"/>
      <c r="V72" s="1922" t="s">
        <v>1918</v>
      </c>
      <c r="W72" s="1320">
        <v>9250000</v>
      </c>
      <c r="X72" s="1325">
        <f>6000000+3250000</f>
        <v>9250000</v>
      </c>
      <c r="Y72" s="1913">
        <v>6000000</v>
      </c>
      <c r="Z72" s="1898">
        <v>20</v>
      </c>
      <c r="AA72" s="1993" t="s">
        <v>86</v>
      </c>
      <c r="AB72" s="3337"/>
      <c r="AC72" s="3337"/>
      <c r="AD72" s="3337"/>
      <c r="AE72" s="3410"/>
      <c r="AF72" s="3407"/>
      <c r="AG72" s="3407"/>
      <c r="AH72" s="3407"/>
      <c r="AI72" s="3407"/>
      <c r="AJ72" s="3337"/>
      <c r="AK72" s="3407"/>
      <c r="AL72" s="3337"/>
      <c r="AM72" s="3337"/>
      <c r="AN72" s="3407"/>
      <c r="AO72" s="1994"/>
      <c r="AP72" s="3407"/>
      <c r="AQ72" s="1994"/>
      <c r="AR72" s="3407"/>
      <c r="AS72" s="1994"/>
      <c r="AT72" s="3407"/>
      <c r="AU72" s="1994"/>
      <c r="AV72" s="3407"/>
      <c r="AW72" s="1994"/>
      <c r="AX72" s="3407"/>
      <c r="AY72" s="1994"/>
      <c r="AZ72" s="3407"/>
      <c r="BA72" s="3410"/>
      <c r="BB72" s="3407"/>
      <c r="BC72" s="1994"/>
      <c r="BD72" s="3407"/>
      <c r="BE72" s="1994"/>
      <c r="BF72" s="3302"/>
      <c r="BG72" s="3337"/>
      <c r="BH72" s="3337"/>
      <c r="BI72" s="3123"/>
      <c r="BJ72" s="3123"/>
      <c r="BK72" s="3353"/>
      <c r="BL72" s="1995"/>
      <c r="BM72" s="1996"/>
      <c r="BN72" s="3404"/>
      <c r="BO72" s="3382"/>
      <c r="BP72" s="3404"/>
      <c r="BQ72" s="3382"/>
      <c r="BR72" s="3341"/>
      <c r="BS72" s="3342"/>
      <c r="BT72" s="656"/>
    </row>
    <row r="73" spans="1:72" s="657" customFormat="1" ht="62.25" customHeight="1" x14ac:dyDescent="0.25">
      <c r="A73" s="3271"/>
      <c r="B73" s="3275"/>
      <c r="C73" s="3276"/>
      <c r="D73" s="3390"/>
      <c r="E73" s="3390"/>
      <c r="F73" s="3390"/>
      <c r="G73" s="1990"/>
      <c r="H73" s="1991"/>
      <c r="I73" s="1992"/>
      <c r="J73" s="3391"/>
      <c r="K73" s="3392"/>
      <c r="L73" s="3345"/>
      <c r="M73" s="3393"/>
      <c r="N73" s="3367"/>
      <c r="O73" s="1984"/>
      <c r="P73" s="3369"/>
      <c r="Q73" s="3293"/>
      <c r="R73" s="3348"/>
      <c r="S73" s="3316"/>
      <c r="T73" s="3318"/>
      <c r="U73" s="3319"/>
      <c r="V73" s="1922" t="s">
        <v>1919</v>
      </c>
      <c r="W73" s="1320">
        <v>10000000</v>
      </c>
      <c r="X73" s="1325">
        <f>1000000+9000000</f>
        <v>10000000</v>
      </c>
      <c r="Y73" s="1913">
        <v>1000000</v>
      </c>
      <c r="Z73" s="1898">
        <v>20</v>
      </c>
      <c r="AA73" s="1993" t="s">
        <v>86</v>
      </c>
      <c r="AB73" s="3337"/>
      <c r="AC73" s="3337"/>
      <c r="AD73" s="3337"/>
      <c r="AE73" s="3410"/>
      <c r="AF73" s="3407"/>
      <c r="AG73" s="3407"/>
      <c r="AH73" s="3407"/>
      <c r="AI73" s="3407"/>
      <c r="AJ73" s="3337"/>
      <c r="AK73" s="3407"/>
      <c r="AL73" s="3337"/>
      <c r="AM73" s="3337"/>
      <c r="AN73" s="3407"/>
      <c r="AO73" s="1994"/>
      <c r="AP73" s="3407"/>
      <c r="AQ73" s="1994"/>
      <c r="AR73" s="3407"/>
      <c r="AS73" s="1994"/>
      <c r="AT73" s="3407"/>
      <c r="AU73" s="1994"/>
      <c r="AV73" s="3407"/>
      <c r="AW73" s="1994"/>
      <c r="AX73" s="3407"/>
      <c r="AY73" s="1994"/>
      <c r="AZ73" s="3407"/>
      <c r="BA73" s="3410"/>
      <c r="BB73" s="3407"/>
      <c r="BC73" s="1994"/>
      <c r="BD73" s="3407"/>
      <c r="BE73" s="1994"/>
      <c r="BF73" s="3302"/>
      <c r="BG73" s="3337"/>
      <c r="BH73" s="3337"/>
      <c r="BI73" s="3123"/>
      <c r="BJ73" s="3123"/>
      <c r="BK73" s="3353"/>
      <c r="BL73" s="1996"/>
      <c r="BM73" s="1995"/>
      <c r="BN73" s="3404"/>
      <c r="BO73" s="3382"/>
      <c r="BP73" s="3404"/>
      <c r="BQ73" s="3382"/>
      <c r="BR73" s="3341"/>
      <c r="BS73" s="3342"/>
      <c r="BT73" s="656"/>
    </row>
    <row r="74" spans="1:72" s="657" customFormat="1" ht="60" customHeight="1" x14ac:dyDescent="0.25">
      <c r="A74" s="3271"/>
      <c r="B74" s="3275"/>
      <c r="C74" s="3276"/>
      <c r="D74" s="3390"/>
      <c r="E74" s="3390"/>
      <c r="F74" s="3390"/>
      <c r="G74" s="1990"/>
      <c r="H74" s="1991"/>
      <c r="I74" s="1992"/>
      <c r="J74" s="3391"/>
      <c r="K74" s="3392"/>
      <c r="L74" s="3345"/>
      <c r="M74" s="3393"/>
      <c r="N74" s="3367"/>
      <c r="O74" s="1984"/>
      <c r="P74" s="3369"/>
      <c r="Q74" s="3293"/>
      <c r="R74" s="3348"/>
      <c r="S74" s="3316"/>
      <c r="T74" s="3318"/>
      <c r="U74" s="3319"/>
      <c r="V74" s="1922" t="s">
        <v>1920</v>
      </c>
      <c r="W74" s="1320">
        <v>6250000</v>
      </c>
      <c r="X74" s="1325">
        <f>3000000+1000000+1250000</f>
        <v>5250000</v>
      </c>
      <c r="Y74" s="1913">
        <f>3000000+1000000</f>
        <v>4000000</v>
      </c>
      <c r="Z74" s="1898">
        <v>20</v>
      </c>
      <c r="AA74" s="1993" t="s">
        <v>86</v>
      </c>
      <c r="AB74" s="3337"/>
      <c r="AC74" s="3337"/>
      <c r="AD74" s="3337"/>
      <c r="AE74" s="3410"/>
      <c r="AF74" s="3407"/>
      <c r="AG74" s="3407"/>
      <c r="AH74" s="3407"/>
      <c r="AI74" s="3407"/>
      <c r="AJ74" s="3337"/>
      <c r="AK74" s="3407"/>
      <c r="AL74" s="3337"/>
      <c r="AM74" s="3337"/>
      <c r="AN74" s="3407"/>
      <c r="AO74" s="1994"/>
      <c r="AP74" s="3407"/>
      <c r="AQ74" s="1994"/>
      <c r="AR74" s="3407"/>
      <c r="AS74" s="1994"/>
      <c r="AT74" s="3407"/>
      <c r="AU74" s="1994"/>
      <c r="AV74" s="3407"/>
      <c r="AW74" s="1994"/>
      <c r="AX74" s="3407"/>
      <c r="AY74" s="1994"/>
      <c r="AZ74" s="3407"/>
      <c r="BA74" s="3410"/>
      <c r="BB74" s="3407"/>
      <c r="BC74" s="1994"/>
      <c r="BD74" s="3407"/>
      <c r="BE74" s="1994"/>
      <c r="BF74" s="3302"/>
      <c r="BG74" s="3337"/>
      <c r="BH74" s="3337"/>
      <c r="BI74" s="3123"/>
      <c r="BJ74" s="3123"/>
      <c r="BK74" s="3353"/>
      <c r="BL74" s="1995"/>
      <c r="BM74" s="1995"/>
      <c r="BN74" s="3404"/>
      <c r="BO74" s="3382"/>
      <c r="BP74" s="3404"/>
      <c r="BQ74" s="3382"/>
      <c r="BR74" s="3341"/>
      <c r="BS74" s="656"/>
      <c r="BT74" s="656"/>
    </row>
    <row r="75" spans="1:72" s="657" customFormat="1" ht="29.25" customHeight="1" x14ac:dyDescent="0.25">
      <c r="A75" s="3271"/>
      <c r="B75" s="3275"/>
      <c r="C75" s="3276"/>
      <c r="D75" s="3390"/>
      <c r="E75" s="3390"/>
      <c r="F75" s="3390"/>
      <c r="G75" s="1990"/>
      <c r="H75" s="1991"/>
      <c r="I75" s="1992"/>
      <c r="J75" s="3391"/>
      <c r="K75" s="3392"/>
      <c r="L75" s="3345"/>
      <c r="M75" s="3393"/>
      <c r="N75" s="3367"/>
      <c r="O75" s="1984"/>
      <c r="P75" s="3369"/>
      <c r="Q75" s="3293"/>
      <c r="R75" s="3348"/>
      <c r="S75" s="3316"/>
      <c r="T75" s="3318"/>
      <c r="U75" s="3319"/>
      <c r="V75" s="2920" t="s">
        <v>1921</v>
      </c>
      <c r="W75" s="2000">
        <v>98000000</v>
      </c>
      <c r="X75" s="1320">
        <f>6000000+2000000</f>
        <v>8000000</v>
      </c>
      <c r="Y75" s="1917">
        <f>6000000+2000000</f>
        <v>8000000</v>
      </c>
      <c r="Z75" s="1898">
        <v>20</v>
      </c>
      <c r="AA75" s="1993" t="s">
        <v>86</v>
      </c>
      <c r="AB75" s="3337"/>
      <c r="AC75" s="3337"/>
      <c r="AD75" s="3337"/>
      <c r="AE75" s="3410"/>
      <c r="AF75" s="3407"/>
      <c r="AG75" s="3407"/>
      <c r="AH75" s="3407"/>
      <c r="AI75" s="3407"/>
      <c r="AJ75" s="3337"/>
      <c r="AK75" s="3407"/>
      <c r="AL75" s="3337"/>
      <c r="AM75" s="3337"/>
      <c r="AN75" s="3407"/>
      <c r="AO75" s="1994"/>
      <c r="AP75" s="3407"/>
      <c r="AQ75" s="1994"/>
      <c r="AR75" s="3407"/>
      <c r="AS75" s="1994"/>
      <c r="AT75" s="3407"/>
      <c r="AU75" s="1994"/>
      <c r="AV75" s="3407"/>
      <c r="AW75" s="1994"/>
      <c r="AX75" s="3407"/>
      <c r="AY75" s="1994"/>
      <c r="AZ75" s="3407"/>
      <c r="BA75" s="3410"/>
      <c r="BB75" s="3407"/>
      <c r="BC75" s="1994"/>
      <c r="BD75" s="3407"/>
      <c r="BE75" s="1994"/>
      <c r="BF75" s="3302"/>
      <c r="BG75" s="3337"/>
      <c r="BH75" s="3337"/>
      <c r="BI75" s="3123"/>
      <c r="BJ75" s="3123"/>
      <c r="BK75" s="3353"/>
      <c r="BL75" s="1995"/>
      <c r="BM75" s="1995"/>
      <c r="BN75" s="3404"/>
      <c r="BO75" s="3382"/>
      <c r="BP75" s="3404"/>
      <c r="BQ75" s="3382"/>
      <c r="BR75" s="3341"/>
      <c r="BS75" s="656"/>
      <c r="BT75" s="656"/>
    </row>
    <row r="76" spans="1:72" s="657" customFormat="1" ht="41.25" customHeight="1" x14ac:dyDescent="0.25">
      <c r="A76" s="3271"/>
      <c r="B76" s="3275"/>
      <c r="C76" s="3276"/>
      <c r="D76" s="3390"/>
      <c r="E76" s="3390"/>
      <c r="F76" s="3390"/>
      <c r="G76" s="1990"/>
      <c r="H76" s="1991"/>
      <c r="I76" s="1992"/>
      <c r="J76" s="3391"/>
      <c r="K76" s="3392"/>
      <c r="L76" s="3345"/>
      <c r="M76" s="3393"/>
      <c r="N76" s="3367"/>
      <c r="O76" s="1984"/>
      <c r="P76" s="3369"/>
      <c r="Q76" s="3293"/>
      <c r="R76" s="3348"/>
      <c r="S76" s="3316"/>
      <c r="T76" s="3318"/>
      <c r="U76" s="3319"/>
      <c r="V76" s="2921"/>
      <c r="W76" s="2000">
        <v>30000000</v>
      </c>
      <c r="X76" s="1320">
        <v>0</v>
      </c>
      <c r="Y76" s="1917">
        <v>0</v>
      </c>
      <c r="Z76" s="1898">
        <v>88</v>
      </c>
      <c r="AA76" s="1993" t="s">
        <v>1922</v>
      </c>
      <c r="AB76" s="3337"/>
      <c r="AC76" s="3337"/>
      <c r="AD76" s="3337"/>
      <c r="AE76" s="3410"/>
      <c r="AF76" s="3407"/>
      <c r="AG76" s="3407"/>
      <c r="AH76" s="3407"/>
      <c r="AI76" s="3407"/>
      <c r="AJ76" s="3337"/>
      <c r="AK76" s="3407"/>
      <c r="AL76" s="3337"/>
      <c r="AM76" s="3337"/>
      <c r="AN76" s="3407"/>
      <c r="AO76" s="1994"/>
      <c r="AP76" s="3407"/>
      <c r="AQ76" s="1994"/>
      <c r="AR76" s="3407"/>
      <c r="AS76" s="1994"/>
      <c r="AT76" s="3407"/>
      <c r="AU76" s="1994"/>
      <c r="AV76" s="3407"/>
      <c r="AW76" s="1994"/>
      <c r="AX76" s="3407"/>
      <c r="AY76" s="1994"/>
      <c r="AZ76" s="3407"/>
      <c r="BA76" s="3410"/>
      <c r="BB76" s="3407"/>
      <c r="BC76" s="1994"/>
      <c r="BD76" s="3407"/>
      <c r="BE76" s="1994"/>
      <c r="BF76" s="3302"/>
      <c r="BG76" s="3337"/>
      <c r="BH76" s="3337"/>
      <c r="BI76" s="3123"/>
      <c r="BJ76" s="3123"/>
      <c r="BK76" s="3353"/>
      <c r="BL76" s="1995"/>
      <c r="BM76" s="1995"/>
      <c r="BN76" s="3404"/>
      <c r="BO76" s="3382"/>
      <c r="BP76" s="3404"/>
      <c r="BQ76" s="3382"/>
      <c r="BR76" s="3341"/>
      <c r="BS76" s="656"/>
      <c r="BT76" s="656"/>
    </row>
    <row r="77" spans="1:72" s="657" customFormat="1" ht="33" customHeight="1" x14ac:dyDescent="0.25">
      <c r="A77" s="3271"/>
      <c r="B77" s="3275"/>
      <c r="C77" s="3276"/>
      <c r="D77" s="3390"/>
      <c r="E77" s="3390"/>
      <c r="F77" s="3390"/>
      <c r="G77" s="1990"/>
      <c r="H77" s="1991"/>
      <c r="I77" s="1992"/>
      <c r="J77" s="3391"/>
      <c r="K77" s="3392"/>
      <c r="L77" s="3345"/>
      <c r="M77" s="3393"/>
      <c r="N77" s="3367"/>
      <c r="O77" s="1984"/>
      <c r="P77" s="3369"/>
      <c r="Q77" s="3293"/>
      <c r="R77" s="3348"/>
      <c r="S77" s="3316"/>
      <c r="T77" s="3318"/>
      <c r="U77" s="3319"/>
      <c r="V77" s="1922" t="s">
        <v>1923</v>
      </c>
      <c r="W77" s="1320">
        <v>15000000</v>
      </c>
      <c r="X77" s="1325">
        <f>1000000+3000000+5000000</f>
        <v>9000000</v>
      </c>
      <c r="Y77" s="1913">
        <v>0</v>
      </c>
      <c r="Z77" s="1898">
        <v>20</v>
      </c>
      <c r="AA77" s="1993" t="s">
        <v>86</v>
      </c>
      <c r="AB77" s="3337"/>
      <c r="AC77" s="3337"/>
      <c r="AD77" s="3337"/>
      <c r="AE77" s="3410"/>
      <c r="AF77" s="3407"/>
      <c r="AG77" s="3407"/>
      <c r="AH77" s="3407"/>
      <c r="AI77" s="3407"/>
      <c r="AJ77" s="3337"/>
      <c r="AK77" s="3407"/>
      <c r="AL77" s="3337"/>
      <c r="AM77" s="3337"/>
      <c r="AN77" s="3407"/>
      <c r="AO77" s="1994"/>
      <c r="AP77" s="3407"/>
      <c r="AQ77" s="1994"/>
      <c r="AR77" s="3407"/>
      <c r="AS77" s="1994"/>
      <c r="AT77" s="3407"/>
      <c r="AU77" s="1994"/>
      <c r="AV77" s="3407"/>
      <c r="AW77" s="1994"/>
      <c r="AX77" s="3407"/>
      <c r="AY77" s="1994"/>
      <c r="AZ77" s="3407"/>
      <c r="BA77" s="3410"/>
      <c r="BB77" s="3407"/>
      <c r="BC77" s="1994"/>
      <c r="BD77" s="3407"/>
      <c r="BE77" s="1994"/>
      <c r="BF77" s="3302"/>
      <c r="BG77" s="3337"/>
      <c r="BH77" s="3337"/>
      <c r="BI77" s="3123"/>
      <c r="BJ77" s="3123"/>
      <c r="BK77" s="3353"/>
      <c r="BL77" s="2001"/>
      <c r="BN77" s="3404"/>
      <c r="BO77" s="3382"/>
      <c r="BP77" s="3404"/>
      <c r="BQ77" s="3382"/>
      <c r="BR77" s="3341"/>
      <c r="BS77" s="656"/>
      <c r="BT77" s="656"/>
    </row>
    <row r="78" spans="1:72" s="657" customFormat="1" ht="53.25" customHeight="1" x14ac:dyDescent="0.25">
      <c r="A78" s="3271"/>
      <c r="B78" s="3275"/>
      <c r="C78" s="3276"/>
      <c r="D78" s="3390"/>
      <c r="E78" s="3390"/>
      <c r="F78" s="3390"/>
      <c r="G78" s="1990"/>
      <c r="H78" s="1991"/>
      <c r="I78" s="1992"/>
      <c r="J78" s="3344">
        <v>227</v>
      </c>
      <c r="K78" s="3318" t="s">
        <v>1924</v>
      </c>
      <c r="L78" s="3345" t="s">
        <v>1925</v>
      </c>
      <c r="M78" s="3393">
        <v>12</v>
      </c>
      <c r="N78" s="3377">
        <v>3</v>
      </c>
      <c r="O78" s="1984"/>
      <c r="P78" s="3369"/>
      <c r="Q78" s="3293"/>
      <c r="R78" s="3394">
        <f>SUM(W78:W79)/S68</f>
        <v>8.9086859688195991E-2</v>
      </c>
      <c r="S78" s="3316"/>
      <c r="T78" s="3318"/>
      <c r="U78" s="3319"/>
      <c r="V78" s="1922" t="s">
        <v>1926</v>
      </c>
      <c r="W78" s="1325">
        <v>20000000</v>
      </c>
      <c r="X78" s="1325">
        <v>3010933</v>
      </c>
      <c r="Y78" s="1913">
        <v>3010933</v>
      </c>
      <c r="Z78" s="1898">
        <v>20</v>
      </c>
      <c r="AA78" s="1993" t="s">
        <v>86</v>
      </c>
      <c r="AB78" s="3337"/>
      <c r="AC78" s="3337"/>
      <c r="AD78" s="3337"/>
      <c r="AE78" s="3410"/>
      <c r="AF78" s="3407"/>
      <c r="AG78" s="3407"/>
      <c r="AH78" s="3407"/>
      <c r="AI78" s="3407"/>
      <c r="AJ78" s="3337"/>
      <c r="AK78" s="3407"/>
      <c r="AL78" s="3337"/>
      <c r="AM78" s="3337"/>
      <c r="AN78" s="3407"/>
      <c r="AO78" s="1994"/>
      <c r="AP78" s="3407"/>
      <c r="AQ78" s="1994"/>
      <c r="AR78" s="3407"/>
      <c r="AS78" s="1994"/>
      <c r="AT78" s="3407"/>
      <c r="AU78" s="1994"/>
      <c r="AV78" s="3407"/>
      <c r="AW78" s="1994"/>
      <c r="AX78" s="3407"/>
      <c r="AY78" s="1994"/>
      <c r="AZ78" s="3407"/>
      <c r="BA78" s="3410"/>
      <c r="BB78" s="3407"/>
      <c r="BC78" s="1994"/>
      <c r="BD78" s="3407"/>
      <c r="BE78" s="1994"/>
      <c r="BF78" s="3302"/>
      <c r="BG78" s="3337"/>
      <c r="BH78" s="3337"/>
      <c r="BI78" s="3123"/>
      <c r="BJ78" s="3123"/>
      <c r="BK78" s="3353"/>
      <c r="BL78" s="2001"/>
      <c r="BN78" s="3404"/>
      <c r="BO78" s="3382"/>
      <c r="BP78" s="3404"/>
      <c r="BQ78" s="3382"/>
      <c r="BR78" s="3341"/>
      <c r="BS78" s="656"/>
      <c r="BT78" s="656"/>
    </row>
    <row r="79" spans="1:72" s="657" customFormat="1" ht="50.25" customHeight="1" x14ac:dyDescent="0.25">
      <c r="A79" s="3271"/>
      <c r="B79" s="3275"/>
      <c r="C79" s="3276"/>
      <c r="D79" s="3390"/>
      <c r="E79" s="3390"/>
      <c r="F79" s="3390"/>
      <c r="G79" s="1990"/>
      <c r="H79" s="1991"/>
      <c r="I79" s="1992"/>
      <c r="J79" s="3344"/>
      <c r="K79" s="3318"/>
      <c r="L79" s="3345"/>
      <c r="M79" s="3393"/>
      <c r="N79" s="3366"/>
      <c r="O79" s="1984"/>
      <c r="P79" s="3369"/>
      <c r="Q79" s="3293"/>
      <c r="R79" s="3394"/>
      <c r="S79" s="3316"/>
      <c r="T79" s="3318"/>
      <c r="U79" s="3319"/>
      <c r="V79" s="1922" t="s">
        <v>1927</v>
      </c>
      <c r="W79" s="1325">
        <v>20000000</v>
      </c>
      <c r="X79" s="1325">
        <f>1000000+1000000+233000+500000</f>
        <v>2733000</v>
      </c>
      <c r="Y79" s="1913">
        <f>1000000+1000000</f>
        <v>2000000</v>
      </c>
      <c r="Z79" s="1898">
        <v>20</v>
      </c>
      <c r="AA79" s="1993" t="s">
        <v>86</v>
      </c>
      <c r="AB79" s="3337"/>
      <c r="AC79" s="3337"/>
      <c r="AD79" s="3337"/>
      <c r="AE79" s="3410"/>
      <c r="AF79" s="3407"/>
      <c r="AG79" s="3407"/>
      <c r="AH79" s="3407"/>
      <c r="AI79" s="3407"/>
      <c r="AJ79" s="3337"/>
      <c r="AK79" s="3407"/>
      <c r="AL79" s="3337"/>
      <c r="AM79" s="3337"/>
      <c r="AN79" s="3407"/>
      <c r="AO79" s="1994"/>
      <c r="AP79" s="3407"/>
      <c r="AQ79" s="1994"/>
      <c r="AR79" s="3407"/>
      <c r="AS79" s="1994"/>
      <c r="AT79" s="3407"/>
      <c r="AU79" s="1994"/>
      <c r="AV79" s="3407"/>
      <c r="AW79" s="1994"/>
      <c r="AX79" s="3407"/>
      <c r="AY79" s="1994"/>
      <c r="AZ79" s="3407"/>
      <c r="BA79" s="3410"/>
      <c r="BB79" s="3407"/>
      <c r="BC79" s="1994"/>
      <c r="BD79" s="3407"/>
      <c r="BE79" s="1994"/>
      <c r="BF79" s="3302"/>
      <c r="BG79" s="3337"/>
      <c r="BH79" s="3337"/>
      <c r="BI79" s="3123"/>
      <c r="BJ79" s="3123"/>
      <c r="BK79" s="3353"/>
      <c r="BL79" s="2002">
        <v>20</v>
      </c>
      <c r="BM79" s="2003" t="s">
        <v>1928</v>
      </c>
      <c r="BN79" s="3404"/>
      <c r="BO79" s="3382"/>
      <c r="BP79" s="3404"/>
      <c r="BQ79" s="3382"/>
      <c r="BR79" s="3341"/>
      <c r="BS79" s="656"/>
      <c r="BT79" s="656"/>
    </row>
    <row r="80" spans="1:72" s="657" customFormat="1" ht="43.5" customHeight="1" x14ac:dyDescent="0.25">
      <c r="A80" s="3271"/>
      <c r="B80" s="3275"/>
      <c r="C80" s="3276"/>
      <c r="D80" s="3390"/>
      <c r="E80" s="3390"/>
      <c r="F80" s="3390"/>
      <c r="G80" s="1990"/>
      <c r="H80" s="1991"/>
      <c r="I80" s="1992"/>
      <c r="J80" s="3344">
        <v>228</v>
      </c>
      <c r="K80" s="3345" t="s">
        <v>1929</v>
      </c>
      <c r="L80" s="3345" t="s">
        <v>1930</v>
      </c>
      <c r="M80" s="3393">
        <v>2</v>
      </c>
      <c r="N80" s="3367">
        <v>2</v>
      </c>
      <c r="O80" s="2004" t="s">
        <v>1931</v>
      </c>
      <c r="P80" s="3369"/>
      <c r="Q80" s="3293"/>
      <c r="R80" s="3394">
        <f>SUM(W80:W85)/S68</f>
        <v>8.9086859688195991E-2</v>
      </c>
      <c r="S80" s="3316"/>
      <c r="T80" s="3318"/>
      <c r="U80" s="3319"/>
      <c r="V80" s="1922" t="s">
        <v>1932</v>
      </c>
      <c r="W80" s="1325">
        <v>7400000</v>
      </c>
      <c r="X80" s="1325">
        <v>7060340</v>
      </c>
      <c r="Y80" s="1325">
        <v>6060340</v>
      </c>
      <c r="Z80" s="1898">
        <v>20</v>
      </c>
      <c r="AA80" s="1993" t="s">
        <v>86</v>
      </c>
      <c r="AB80" s="3337"/>
      <c r="AC80" s="3337"/>
      <c r="AD80" s="3337"/>
      <c r="AE80" s="3410"/>
      <c r="AF80" s="3407"/>
      <c r="AG80" s="3407"/>
      <c r="AH80" s="3407"/>
      <c r="AI80" s="3407"/>
      <c r="AJ80" s="3337"/>
      <c r="AK80" s="3407"/>
      <c r="AL80" s="3337"/>
      <c r="AM80" s="3337"/>
      <c r="AN80" s="3407"/>
      <c r="AO80" s="1994"/>
      <c r="AP80" s="3407"/>
      <c r="AQ80" s="1994"/>
      <c r="AR80" s="3407"/>
      <c r="AS80" s="1994"/>
      <c r="AT80" s="3407"/>
      <c r="AU80" s="1994"/>
      <c r="AV80" s="3407"/>
      <c r="AW80" s="1994"/>
      <c r="AX80" s="3407"/>
      <c r="AY80" s="1994"/>
      <c r="AZ80" s="3407"/>
      <c r="BA80" s="3410"/>
      <c r="BB80" s="3407"/>
      <c r="BC80" s="1994"/>
      <c r="BD80" s="3407"/>
      <c r="BE80" s="1994"/>
      <c r="BF80" s="3302"/>
      <c r="BG80" s="3337"/>
      <c r="BH80" s="3337"/>
      <c r="BI80" s="3123"/>
      <c r="BJ80" s="3123"/>
      <c r="BK80" s="3353"/>
      <c r="BL80" s="2005">
        <v>88</v>
      </c>
      <c r="BM80" s="1996" t="s">
        <v>1933</v>
      </c>
      <c r="BN80" s="3404"/>
      <c r="BO80" s="3382"/>
      <c r="BP80" s="3404"/>
      <c r="BQ80" s="3382"/>
      <c r="BR80" s="3341"/>
      <c r="BS80" s="656"/>
      <c r="BT80" s="656"/>
    </row>
    <row r="81" spans="1:72" s="657" customFormat="1" ht="52.5" customHeight="1" x14ac:dyDescent="0.25">
      <c r="A81" s="3271"/>
      <c r="B81" s="3275"/>
      <c r="C81" s="3276"/>
      <c r="D81" s="3390"/>
      <c r="E81" s="3390"/>
      <c r="F81" s="3390"/>
      <c r="G81" s="1990"/>
      <c r="H81" s="1991"/>
      <c r="I81" s="1992"/>
      <c r="J81" s="3344"/>
      <c r="K81" s="3345"/>
      <c r="L81" s="3345"/>
      <c r="M81" s="3393"/>
      <c r="N81" s="3367"/>
      <c r="O81" s="2004"/>
      <c r="P81" s="3369"/>
      <c r="Q81" s="3293"/>
      <c r="R81" s="3394"/>
      <c r="S81" s="3316"/>
      <c r="T81" s="3318"/>
      <c r="U81" s="3319"/>
      <c r="V81" s="1922" t="s">
        <v>1934</v>
      </c>
      <c r="W81" s="1325">
        <v>18700000</v>
      </c>
      <c r="X81" s="1325">
        <v>18700000</v>
      </c>
      <c r="Y81" s="1325">
        <v>18700000</v>
      </c>
      <c r="Z81" s="1898">
        <v>20</v>
      </c>
      <c r="AA81" s="1993" t="s">
        <v>86</v>
      </c>
      <c r="AB81" s="3337"/>
      <c r="AC81" s="3337"/>
      <c r="AD81" s="3337"/>
      <c r="AE81" s="3410"/>
      <c r="AF81" s="3407"/>
      <c r="AG81" s="3407"/>
      <c r="AH81" s="3407"/>
      <c r="AI81" s="3407"/>
      <c r="AJ81" s="3337"/>
      <c r="AK81" s="3407"/>
      <c r="AL81" s="3337"/>
      <c r="AM81" s="3337"/>
      <c r="AN81" s="3407"/>
      <c r="AO81" s="1994"/>
      <c r="AP81" s="3407"/>
      <c r="AQ81" s="1994"/>
      <c r="AR81" s="3407"/>
      <c r="AS81" s="1994"/>
      <c r="AT81" s="3407"/>
      <c r="AU81" s="1994"/>
      <c r="AV81" s="3407"/>
      <c r="AW81" s="1994"/>
      <c r="AX81" s="3407"/>
      <c r="AY81" s="1994"/>
      <c r="AZ81" s="3407"/>
      <c r="BA81" s="3410"/>
      <c r="BB81" s="3407"/>
      <c r="BC81" s="1994"/>
      <c r="BD81" s="3407"/>
      <c r="BE81" s="1994"/>
      <c r="BF81" s="3302"/>
      <c r="BG81" s="3337"/>
      <c r="BH81" s="3337"/>
      <c r="BI81" s="3123"/>
      <c r="BJ81" s="3123"/>
      <c r="BK81" s="3353"/>
      <c r="BL81" s="1995"/>
      <c r="BM81" s="1996"/>
      <c r="BN81" s="3404"/>
      <c r="BO81" s="3382"/>
      <c r="BP81" s="3404"/>
      <c r="BQ81" s="3382"/>
      <c r="BR81" s="3341"/>
      <c r="BS81" s="656"/>
      <c r="BT81" s="656"/>
    </row>
    <row r="82" spans="1:72" s="657" customFormat="1" ht="46.5" customHeight="1" x14ac:dyDescent="0.25">
      <c r="A82" s="3271"/>
      <c r="B82" s="3275"/>
      <c r="C82" s="3276"/>
      <c r="D82" s="3390"/>
      <c r="E82" s="3390"/>
      <c r="F82" s="3390"/>
      <c r="G82" s="1990"/>
      <c r="H82" s="1991"/>
      <c r="I82" s="1992"/>
      <c r="J82" s="3344"/>
      <c r="K82" s="3345"/>
      <c r="L82" s="3345"/>
      <c r="M82" s="3393"/>
      <c r="N82" s="3367"/>
      <c r="O82" s="2004" t="s">
        <v>1935</v>
      </c>
      <c r="P82" s="3369"/>
      <c r="Q82" s="3293"/>
      <c r="R82" s="3394"/>
      <c r="S82" s="3316"/>
      <c r="T82" s="3318"/>
      <c r="U82" s="3319"/>
      <c r="V82" s="1922" t="s">
        <v>1936</v>
      </c>
      <c r="W82" s="1325">
        <v>6000000</v>
      </c>
      <c r="X82" s="1325">
        <f>3000000+3000000</f>
        <v>6000000</v>
      </c>
      <c r="Y82" s="1913">
        <v>3000000</v>
      </c>
      <c r="Z82" s="1898">
        <v>20</v>
      </c>
      <c r="AA82" s="1993" t="s">
        <v>86</v>
      </c>
      <c r="AB82" s="3337"/>
      <c r="AC82" s="3337"/>
      <c r="AD82" s="3337"/>
      <c r="AE82" s="3410"/>
      <c r="AF82" s="3407"/>
      <c r="AG82" s="3407"/>
      <c r="AH82" s="3407"/>
      <c r="AI82" s="3407"/>
      <c r="AJ82" s="3337"/>
      <c r="AK82" s="3407"/>
      <c r="AL82" s="3337"/>
      <c r="AM82" s="3337"/>
      <c r="AN82" s="3407"/>
      <c r="AO82" s="1994"/>
      <c r="AP82" s="3407"/>
      <c r="AQ82" s="1994"/>
      <c r="AR82" s="3407"/>
      <c r="AS82" s="1994"/>
      <c r="AT82" s="3407"/>
      <c r="AU82" s="1994"/>
      <c r="AV82" s="3407"/>
      <c r="AW82" s="1994"/>
      <c r="AX82" s="3407"/>
      <c r="AY82" s="1994"/>
      <c r="AZ82" s="3407"/>
      <c r="BA82" s="3410"/>
      <c r="BB82" s="3407"/>
      <c r="BC82" s="1994"/>
      <c r="BD82" s="3407"/>
      <c r="BE82" s="1994"/>
      <c r="BF82" s="3302"/>
      <c r="BG82" s="3337"/>
      <c r="BH82" s="3337"/>
      <c r="BI82" s="3123"/>
      <c r="BJ82" s="3123"/>
      <c r="BK82" s="3353"/>
      <c r="BL82" s="1995"/>
      <c r="BM82" s="1996"/>
      <c r="BN82" s="3404"/>
      <c r="BO82" s="3382"/>
      <c r="BP82" s="3404"/>
      <c r="BQ82" s="3382"/>
      <c r="BR82" s="3341"/>
      <c r="BS82" s="656"/>
      <c r="BT82" s="656"/>
    </row>
    <row r="83" spans="1:72" s="657" customFormat="1" ht="58.5" customHeight="1" x14ac:dyDescent="0.25">
      <c r="A83" s="3271"/>
      <c r="B83" s="3275"/>
      <c r="C83" s="3276"/>
      <c r="D83" s="3390"/>
      <c r="E83" s="3390"/>
      <c r="F83" s="3390"/>
      <c r="G83" s="1990"/>
      <c r="H83" s="1991"/>
      <c r="I83" s="1992"/>
      <c r="J83" s="3344"/>
      <c r="K83" s="3345"/>
      <c r="L83" s="3345"/>
      <c r="M83" s="3393"/>
      <c r="N83" s="3367"/>
      <c r="O83" s="2004"/>
      <c r="P83" s="3369"/>
      <c r="Q83" s="3293"/>
      <c r="R83" s="3394"/>
      <c r="S83" s="3316"/>
      <c r="T83" s="3318"/>
      <c r="U83" s="3319"/>
      <c r="V83" s="1922" t="s">
        <v>1937</v>
      </c>
      <c r="W83" s="1325">
        <v>2500000</v>
      </c>
      <c r="X83" s="1325">
        <f>1000000+1000000+220442</f>
        <v>2220442</v>
      </c>
      <c r="Y83" s="1913">
        <f>1000000+220442</f>
        <v>1220442</v>
      </c>
      <c r="Z83" s="1898">
        <v>20</v>
      </c>
      <c r="AA83" s="1993" t="s">
        <v>86</v>
      </c>
      <c r="AB83" s="3337"/>
      <c r="AC83" s="3337"/>
      <c r="AD83" s="3337"/>
      <c r="AE83" s="3410"/>
      <c r="AF83" s="3407"/>
      <c r="AG83" s="3407"/>
      <c r="AH83" s="3407"/>
      <c r="AI83" s="3407"/>
      <c r="AJ83" s="3337"/>
      <c r="AK83" s="3407"/>
      <c r="AL83" s="3337"/>
      <c r="AM83" s="3337"/>
      <c r="AN83" s="3407"/>
      <c r="AO83" s="1994"/>
      <c r="AP83" s="3407"/>
      <c r="AQ83" s="1994"/>
      <c r="AR83" s="3407"/>
      <c r="AS83" s="1994"/>
      <c r="AT83" s="3407"/>
      <c r="AU83" s="1994"/>
      <c r="AV83" s="3407"/>
      <c r="AW83" s="1994"/>
      <c r="AX83" s="3407"/>
      <c r="AY83" s="1994"/>
      <c r="AZ83" s="3407"/>
      <c r="BA83" s="3410"/>
      <c r="BB83" s="3407"/>
      <c r="BC83" s="1994"/>
      <c r="BD83" s="3407"/>
      <c r="BE83" s="1994"/>
      <c r="BF83" s="3302"/>
      <c r="BG83" s="3337"/>
      <c r="BH83" s="3337"/>
      <c r="BI83" s="3123"/>
      <c r="BJ83" s="3123"/>
      <c r="BK83" s="3353"/>
      <c r="BL83" s="1995"/>
      <c r="BM83" s="1996"/>
      <c r="BN83" s="3404"/>
      <c r="BO83" s="3382"/>
      <c r="BP83" s="3404"/>
      <c r="BQ83" s="3382"/>
      <c r="BR83" s="3341"/>
      <c r="BS83" s="656"/>
      <c r="BT83" s="656"/>
    </row>
    <row r="84" spans="1:72" s="657" customFormat="1" ht="66.75" customHeight="1" x14ac:dyDescent="0.25">
      <c r="A84" s="3271"/>
      <c r="B84" s="3275"/>
      <c r="C84" s="3276"/>
      <c r="D84" s="3390"/>
      <c r="E84" s="3390"/>
      <c r="F84" s="3390"/>
      <c r="G84" s="1990"/>
      <c r="H84" s="1991"/>
      <c r="I84" s="1992"/>
      <c r="J84" s="3341"/>
      <c r="K84" s="3395"/>
      <c r="L84" s="3395"/>
      <c r="M84" s="3396"/>
      <c r="N84" s="3367"/>
      <c r="O84" s="1984"/>
      <c r="P84" s="3369"/>
      <c r="Q84" s="3293"/>
      <c r="R84" s="3397"/>
      <c r="S84" s="3316"/>
      <c r="T84" s="3318"/>
      <c r="U84" s="3319"/>
      <c r="V84" s="1922" t="s">
        <v>1938</v>
      </c>
      <c r="W84" s="1325">
        <v>2000000</v>
      </c>
      <c r="X84" s="1325">
        <f>1000000+1000000</f>
        <v>2000000</v>
      </c>
      <c r="Y84" s="1913">
        <v>1000000</v>
      </c>
      <c r="Z84" s="1898">
        <v>20</v>
      </c>
      <c r="AA84" s="1993" t="s">
        <v>86</v>
      </c>
      <c r="AB84" s="3337"/>
      <c r="AC84" s="3337"/>
      <c r="AD84" s="3337"/>
      <c r="AE84" s="3410"/>
      <c r="AF84" s="3407"/>
      <c r="AG84" s="3407"/>
      <c r="AH84" s="3407"/>
      <c r="AI84" s="3407"/>
      <c r="AJ84" s="3337"/>
      <c r="AK84" s="3407"/>
      <c r="AL84" s="3337"/>
      <c r="AM84" s="3337"/>
      <c r="AN84" s="3407"/>
      <c r="AO84" s="1994"/>
      <c r="AP84" s="3407"/>
      <c r="AQ84" s="1994"/>
      <c r="AR84" s="3407"/>
      <c r="AS84" s="1994"/>
      <c r="AT84" s="3407"/>
      <c r="AU84" s="1994"/>
      <c r="AV84" s="3407"/>
      <c r="AW84" s="1994"/>
      <c r="AX84" s="3407"/>
      <c r="AY84" s="1994"/>
      <c r="AZ84" s="3407"/>
      <c r="BA84" s="3410"/>
      <c r="BB84" s="3407"/>
      <c r="BC84" s="1994"/>
      <c r="BD84" s="3407"/>
      <c r="BE84" s="1994"/>
      <c r="BF84" s="3302"/>
      <c r="BG84" s="3337"/>
      <c r="BH84" s="3337"/>
      <c r="BI84" s="3123"/>
      <c r="BJ84" s="3123"/>
      <c r="BK84" s="3353"/>
      <c r="BL84" s="1995"/>
      <c r="BM84" s="1996"/>
      <c r="BN84" s="3404"/>
      <c r="BO84" s="3382"/>
      <c r="BP84" s="3404"/>
      <c r="BQ84" s="3382"/>
      <c r="BR84" s="3341"/>
      <c r="BS84" s="656"/>
      <c r="BT84" s="656"/>
    </row>
    <row r="85" spans="1:72" s="657" customFormat="1" ht="36.75" customHeight="1" x14ac:dyDescent="0.25">
      <c r="A85" s="3271"/>
      <c r="B85" s="3275"/>
      <c r="C85" s="3276"/>
      <c r="D85" s="3390"/>
      <c r="E85" s="3390"/>
      <c r="F85" s="3390"/>
      <c r="G85" s="1990"/>
      <c r="H85" s="1991"/>
      <c r="I85" s="1992"/>
      <c r="J85" s="3341"/>
      <c r="K85" s="3395"/>
      <c r="L85" s="3395"/>
      <c r="M85" s="3396"/>
      <c r="N85" s="3367"/>
      <c r="O85" s="1984"/>
      <c r="P85" s="3369"/>
      <c r="Q85" s="3293"/>
      <c r="R85" s="3397"/>
      <c r="S85" s="3316"/>
      <c r="T85" s="3318"/>
      <c r="U85" s="3319"/>
      <c r="V85" s="1922" t="s">
        <v>1923</v>
      </c>
      <c r="W85" s="1325">
        <v>3400000</v>
      </c>
      <c r="X85" s="1325">
        <v>3400000</v>
      </c>
      <c r="Y85" s="1913">
        <v>0</v>
      </c>
      <c r="Z85" s="1898">
        <v>20</v>
      </c>
      <c r="AA85" s="1993" t="s">
        <v>86</v>
      </c>
      <c r="AB85" s="3337"/>
      <c r="AC85" s="3337"/>
      <c r="AD85" s="3337"/>
      <c r="AE85" s="3410"/>
      <c r="AF85" s="3407"/>
      <c r="AG85" s="3407"/>
      <c r="AH85" s="3407"/>
      <c r="AI85" s="3407"/>
      <c r="AJ85" s="3337"/>
      <c r="AK85" s="3407"/>
      <c r="AL85" s="3337"/>
      <c r="AM85" s="3337"/>
      <c r="AN85" s="3407"/>
      <c r="AO85" s="1994"/>
      <c r="AP85" s="3407"/>
      <c r="AQ85" s="1994"/>
      <c r="AR85" s="3407"/>
      <c r="AS85" s="1994"/>
      <c r="AT85" s="3407"/>
      <c r="AU85" s="1994"/>
      <c r="AV85" s="3407"/>
      <c r="AW85" s="1994"/>
      <c r="AX85" s="3407"/>
      <c r="AY85" s="1994"/>
      <c r="AZ85" s="3407"/>
      <c r="BA85" s="3410"/>
      <c r="BB85" s="3407"/>
      <c r="BC85" s="1994"/>
      <c r="BD85" s="3407"/>
      <c r="BE85" s="1994"/>
      <c r="BF85" s="3302"/>
      <c r="BG85" s="3337"/>
      <c r="BH85" s="3337"/>
      <c r="BI85" s="3123"/>
      <c r="BJ85" s="3123"/>
      <c r="BK85" s="3353"/>
      <c r="BL85" s="1995"/>
      <c r="BM85" s="1996"/>
      <c r="BN85" s="3404"/>
      <c r="BO85" s="3382"/>
      <c r="BP85" s="3404"/>
      <c r="BQ85" s="3382"/>
      <c r="BR85" s="3341"/>
      <c r="BS85" s="656"/>
      <c r="BT85" s="656"/>
    </row>
    <row r="86" spans="1:72" s="657" customFormat="1" ht="62.25" customHeight="1" x14ac:dyDescent="0.25">
      <c r="A86" s="3271"/>
      <c r="B86" s="3275"/>
      <c r="C86" s="3276"/>
      <c r="D86" s="3390"/>
      <c r="E86" s="3390"/>
      <c r="F86" s="3390"/>
      <c r="G86" s="1990"/>
      <c r="H86" s="1991"/>
      <c r="I86" s="1992"/>
      <c r="J86" s="3344">
        <v>229</v>
      </c>
      <c r="K86" s="3318" t="s">
        <v>1939</v>
      </c>
      <c r="L86" s="3345" t="s">
        <v>1940</v>
      </c>
      <c r="M86" s="3393">
        <v>13</v>
      </c>
      <c r="N86" s="3367">
        <v>13</v>
      </c>
      <c r="O86" s="1984"/>
      <c r="P86" s="3369"/>
      <c r="Q86" s="3293"/>
      <c r="R86" s="3348">
        <f>SUM(W86:W87)/S68</f>
        <v>0.1447661469933185</v>
      </c>
      <c r="S86" s="3316"/>
      <c r="T86" s="3318"/>
      <c r="U86" s="3319"/>
      <c r="V86" s="1922" t="s">
        <v>1941</v>
      </c>
      <c r="W86" s="1325">
        <v>15400000</v>
      </c>
      <c r="X86" s="1325">
        <f>5000000+2733000+4133000+2960000</f>
        <v>14826000</v>
      </c>
      <c r="Y86" s="1913">
        <v>5000000</v>
      </c>
      <c r="Z86" s="1898">
        <v>20</v>
      </c>
      <c r="AA86" s="1993" t="s">
        <v>86</v>
      </c>
      <c r="AB86" s="3337"/>
      <c r="AC86" s="3337"/>
      <c r="AD86" s="3337"/>
      <c r="AE86" s="3410"/>
      <c r="AF86" s="3407"/>
      <c r="AG86" s="3407"/>
      <c r="AH86" s="3407"/>
      <c r="AI86" s="3407"/>
      <c r="AJ86" s="3337"/>
      <c r="AK86" s="3407"/>
      <c r="AL86" s="3337"/>
      <c r="AM86" s="3337"/>
      <c r="AN86" s="3407"/>
      <c r="AO86" s="1994"/>
      <c r="AP86" s="3407"/>
      <c r="AQ86" s="1994"/>
      <c r="AR86" s="3407"/>
      <c r="AS86" s="1994"/>
      <c r="AT86" s="3407"/>
      <c r="AU86" s="1994"/>
      <c r="AV86" s="3407"/>
      <c r="AW86" s="1994"/>
      <c r="AX86" s="3407"/>
      <c r="AY86" s="1994"/>
      <c r="AZ86" s="3407"/>
      <c r="BA86" s="3410"/>
      <c r="BB86" s="3407"/>
      <c r="BC86" s="1994"/>
      <c r="BD86" s="3407"/>
      <c r="BE86" s="1994"/>
      <c r="BF86" s="3302"/>
      <c r="BG86" s="3337"/>
      <c r="BH86" s="3337"/>
      <c r="BI86" s="3123"/>
      <c r="BJ86" s="3123"/>
      <c r="BK86" s="3353"/>
      <c r="BL86" s="1995"/>
      <c r="BM86" s="1996"/>
      <c r="BN86" s="3404"/>
      <c r="BO86" s="3382"/>
      <c r="BP86" s="3404"/>
      <c r="BQ86" s="3382"/>
      <c r="BR86" s="3341"/>
      <c r="BS86" s="656"/>
      <c r="BT86" s="656"/>
    </row>
    <row r="87" spans="1:72" s="657" customFormat="1" ht="69.75" customHeight="1" x14ac:dyDescent="0.25">
      <c r="A87" s="3271"/>
      <c r="B87" s="3275"/>
      <c r="C87" s="3276"/>
      <c r="D87" s="3390"/>
      <c r="E87" s="3390"/>
      <c r="F87" s="3390"/>
      <c r="G87" s="1990"/>
      <c r="H87" s="1991"/>
      <c r="I87" s="1992"/>
      <c r="J87" s="3344"/>
      <c r="K87" s="3318"/>
      <c r="L87" s="3345"/>
      <c r="M87" s="3393"/>
      <c r="N87" s="3367"/>
      <c r="O87" s="1984"/>
      <c r="P87" s="3369"/>
      <c r="Q87" s="3293"/>
      <c r="R87" s="3348"/>
      <c r="S87" s="3316"/>
      <c r="T87" s="3318"/>
      <c r="U87" s="3319"/>
      <c r="V87" s="1922" t="s">
        <v>1942</v>
      </c>
      <c r="W87" s="1325">
        <v>49600000</v>
      </c>
      <c r="X87" s="1325">
        <f>4550000+6591000+11591000+10849000+3000000+4233000+7836000</f>
        <v>48650000</v>
      </c>
      <c r="Y87" s="1913">
        <v>22732000</v>
      </c>
      <c r="Z87" s="1898">
        <v>20</v>
      </c>
      <c r="AA87" s="1993" t="s">
        <v>86</v>
      </c>
      <c r="AB87" s="3337"/>
      <c r="AC87" s="3337"/>
      <c r="AD87" s="3337"/>
      <c r="AE87" s="3410"/>
      <c r="AF87" s="3407"/>
      <c r="AG87" s="3407"/>
      <c r="AH87" s="3407"/>
      <c r="AI87" s="3407"/>
      <c r="AJ87" s="3337"/>
      <c r="AK87" s="3407"/>
      <c r="AL87" s="3337"/>
      <c r="AM87" s="3337"/>
      <c r="AN87" s="3407"/>
      <c r="AO87" s="1994"/>
      <c r="AP87" s="3407"/>
      <c r="AQ87" s="1994"/>
      <c r="AR87" s="3407"/>
      <c r="AS87" s="1994"/>
      <c r="AT87" s="3407"/>
      <c r="AU87" s="1994"/>
      <c r="AV87" s="3407"/>
      <c r="AW87" s="1994"/>
      <c r="AX87" s="3407"/>
      <c r="AY87" s="1994"/>
      <c r="AZ87" s="3407"/>
      <c r="BA87" s="3410"/>
      <c r="BB87" s="3407"/>
      <c r="BC87" s="1994"/>
      <c r="BD87" s="3407"/>
      <c r="BE87" s="1994"/>
      <c r="BF87" s="3302"/>
      <c r="BG87" s="3337"/>
      <c r="BH87" s="3337"/>
      <c r="BI87" s="3123"/>
      <c r="BJ87" s="3123"/>
      <c r="BK87" s="3353"/>
      <c r="BL87" s="1995"/>
      <c r="BM87" s="1996"/>
      <c r="BN87" s="3404"/>
      <c r="BO87" s="3382"/>
      <c r="BP87" s="3404"/>
      <c r="BQ87" s="3382"/>
      <c r="BR87" s="3341"/>
      <c r="BS87" s="656"/>
      <c r="BT87" s="656"/>
    </row>
    <row r="88" spans="1:72" s="657" customFormat="1" ht="51" customHeight="1" x14ac:dyDescent="0.25">
      <c r="A88" s="3271"/>
      <c r="B88" s="3275"/>
      <c r="C88" s="3276"/>
      <c r="D88" s="3390"/>
      <c r="E88" s="3390"/>
      <c r="F88" s="3390"/>
      <c r="G88" s="1990"/>
      <c r="H88" s="1991"/>
      <c r="I88" s="1992"/>
      <c r="J88" s="3344">
        <v>230</v>
      </c>
      <c r="K88" s="3345" t="s">
        <v>1943</v>
      </c>
      <c r="L88" s="3345" t="s">
        <v>1944</v>
      </c>
      <c r="M88" s="3367">
        <v>1</v>
      </c>
      <c r="N88" s="3367">
        <v>1</v>
      </c>
      <c r="O88" s="1984"/>
      <c r="P88" s="3369"/>
      <c r="Q88" s="3293"/>
      <c r="R88" s="3348">
        <f>SUM(W88:W91)/S68</f>
        <v>0.12026726057906459</v>
      </c>
      <c r="S88" s="3316"/>
      <c r="T88" s="3318"/>
      <c r="U88" s="3319"/>
      <c r="V88" s="1922" t="s">
        <v>1945</v>
      </c>
      <c r="W88" s="1325">
        <v>17000000</v>
      </c>
      <c r="X88" s="1325">
        <f>8050000+8950000</f>
        <v>17000000</v>
      </c>
      <c r="Y88" s="1913">
        <v>8050000</v>
      </c>
      <c r="Z88" s="1898">
        <v>20</v>
      </c>
      <c r="AA88" s="1993" t="s">
        <v>86</v>
      </c>
      <c r="AB88" s="3337"/>
      <c r="AC88" s="3337"/>
      <c r="AD88" s="3337"/>
      <c r="AE88" s="3410"/>
      <c r="AF88" s="3407"/>
      <c r="AG88" s="3407"/>
      <c r="AH88" s="3407"/>
      <c r="AI88" s="3407"/>
      <c r="AJ88" s="3337"/>
      <c r="AK88" s="3407"/>
      <c r="AL88" s="3337"/>
      <c r="AM88" s="3337"/>
      <c r="AN88" s="3407"/>
      <c r="AO88" s="1994"/>
      <c r="AP88" s="3407"/>
      <c r="AQ88" s="1994"/>
      <c r="AR88" s="3407"/>
      <c r="AS88" s="1994"/>
      <c r="AT88" s="3407"/>
      <c r="AU88" s="1994"/>
      <c r="AV88" s="3407"/>
      <c r="AW88" s="1994"/>
      <c r="AX88" s="3407"/>
      <c r="AY88" s="1994"/>
      <c r="AZ88" s="3407"/>
      <c r="BA88" s="3410"/>
      <c r="BB88" s="3407"/>
      <c r="BC88" s="1994"/>
      <c r="BD88" s="3407"/>
      <c r="BE88" s="1994"/>
      <c r="BF88" s="3302"/>
      <c r="BG88" s="3337"/>
      <c r="BH88" s="3337"/>
      <c r="BI88" s="3123"/>
      <c r="BJ88" s="3123"/>
      <c r="BK88" s="3353"/>
      <c r="BL88" s="1995"/>
      <c r="BM88" s="1996"/>
      <c r="BN88" s="3404"/>
      <c r="BO88" s="3382"/>
      <c r="BP88" s="3404"/>
      <c r="BQ88" s="3382"/>
      <c r="BR88" s="3341"/>
      <c r="BS88" s="656"/>
      <c r="BT88" s="656"/>
    </row>
    <row r="89" spans="1:72" s="657" customFormat="1" ht="51" customHeight="1" x14ac:dyDescent="0.25">
      <c r="A89" s="3271"/>
      <c r="B89" s="3275"/>
      <c r="C89" s="3276"/>
      <c r="D89" s="3390"/>
      <c r="E89" s="3390"/>
      <c r="F89" s="3390"/>
      <c r="G89" s="1990"/>
      <c r="H89" s="1991"/>
      <c r="I89" s="1992"/>
      <c r="J89" s="3344"/>
      <c r="K89" s="3345"/>
      <c r="L89" s="3345"/>
      <c r="M89" s="3367"/>
      <c r="N89" s="3367"/>
      <c r="O89" s="1984"/>
      <c r="P89" s="3369"/>
      <c r="Q89" s="3293"/>
      <c r="R89" s="3348"/>
      <c r="S89" s="3316"/>
      <c r="T89" s="3318"/>
      <c r="U89" s="3319"/>
      <c r="V89" s="1922" t="s">
        <v>1946</v>
      </c>
      <c r="W89" s="1325">
        <v>10000000</v>
      </c>
      <c r="X89" s="1325">
        <f>3500000+6027000+473000</f>
        <v>10000000</v>
      </c>
      <c r="Y89" s="1913">
        <v>3500000</v>
      </c>
      <c r="Z89" s="1898">
        <v>20</v>
      </c>
      <c r="AA89" s="1993" t="s">
        <v>86</v>
      </c>
      <c r="AB89" s="3337"/>
      <c r="AC89" s="3337"/>
      <c r="AD89" s="3337"/>
      <c r="AE89" s="3410"/>
      <c r="AF89" s="3407"/>
      <c r="AG89" s="3407"/>
      <c r="AH89" s="3407"/>
      <c r="AI89" s="3407"/>
      <c r="AJ89" s="3337"/>
      <c r="AK89" s="3407"/>
      <c r="AL89" s="3337"/>
      <c r="AM89" s="3337"/>
      <c r="AN89" s="3407"/>
      <c r="AO89" s="1994"/>
      <c r="AP89" s="3407"/>
      <c r="AQ89" s="1994"/>
      <c r="AR89" s="3407"/>
      <c r="AS89" s="1994"/>
      <c r="AT89" s="3407"/>
      <c r="AU89" s="1994"/>
      <c r="AV89" s="3407"/>
      <c r="AW89" s="1994"/>
      <c r="AX89" s="3407"/>
      <c r="AY89" s="1994"/>
      <c r="AZ89" s="3407"/>
      <c r="BA89" s="3410"/>
      <c r="BB89" s="3407"/>
      <c r="BC89" s="1994"/>
      <c r="BD89" s="3407"/>
      <c r="BE89" s="1994"/>
      <c r="BF89" s="3302"/>
      <c r="BG89" s="3337"/>
      <c r="BH89" s="3337"/>
      <c r="BI89" s="3123"/>
      <c r="BJ89" s="3123"/>
      <c r="BK89" s="3353"/>
      <c r="BL89" s="1995"/>
      <c r="BM89" s="1996"/>
      <c r="BN89" s="3404"/>
      <c r="BO89" s="3382"/>
      <c r="BP89" s="3404"/>
      <c r="BQ89" s="3382"/>
      <c r="BR89" s="3341"/>
      <c r="BS89" s="656"/>
      <c r="BT89" s="656"/>
    </row>
    <row r="90" spans="1:72" s="657" customFormat="1" ht="41.25" customHeight="1" x14ac:dyDescent="0.25">
      <c r="A90" s="3271"/>
      <c r="B90" s="3275"/>
      <c r="C90" s="3276"/>
      <c r="D90" s="3390"/>
      <c r="E90" s="3390"/>
      <c r="F90" s="3390"/>
      <c r="G90" s="1990"/>
      <c r="H90" s="1991"/>
      <c r="I90" s="1992"/>
      <c r="J90" s="3344"/>
      <c r="K90" s="3345"/>
      <c r="L90" s="3345"/>
      <c r="M90" s="3367"/>
      <c r="N90" s="3367"/>
      <c r="O90" s="1984"/>
      <c r="P90" s="3369"/>
      <c r="Q90" s="3293"/>
      <c r="R90" s="3348"/>
      <c r="S90" s="3316"/>
      <c r="T90" s="3318"/>
      <c r="U90" s="3319"/>
      <c r="V90" s="1922" t="s">
        <v>1947</v>
      </c>
      <c r="W90" s="1325">
        <v>22000000</v>
      </c>
      <c r="X90" s="1325">
        <f>4050000+3091000+2567333+9342000+2949000</f>
        <v>21999333</v>
      </c>
      <c r="Y90" s="1913">
        <v>9708333</v>
      </c>
      <c r="Z90" s="1898">
        <v>20</v>
      </c>
      <c r="AA90" s="1993" t="s">
        <v>86</v>
      </c>
      <c r="AB90" s="3337"/>
      <c r="AC90" s="3337"/>
      <c r="AD90" s="3337"/>
      <c r="AE90" s="3410"/>
      <c r="AF90" s="3407"/>
      <c r="AG90" s="3407"/>
      <c r="AH90" s="3407"/>
      <c r="AI90" s="3407"/>
      <c r="AJ90" s="3337"/>
      <c r="AK90" s="3407"/>
      <c r="AL90" s="3337"/>
      <c r="AM90" s="3337"/>
      <c r="AN90" s="3407"/>
      <c r="AO90" s="1994"/>
      <c r="AP90" s="3407"/>
      <c r="AQ90" s="1994"/>
      <c r="AR90" s="3407"/>
      <c r="AS90" s="1994"/>
      <c r="AT90" s="3407"/>
      <c r="AU90" s="1994"/>
      <c r="AV90" s="3407"/>
      <c r="AW90" s="1994"/>
      <c r="AX90" s="3407"/>
      <c r="AY90" s="1994"/>
      <c r="AZ90" s="3407"/>
      <c r="BA90" s="3410"/>
      <c r="BB90" s="3407"/>
      <c r="BC90" s="1994"/>
      <c r="BD90" s="3407"/>
      <c r="BE90" s="1994"/>
      <c r="BF90" s="3302"/>
      <c r="BG90" s="3337"/>
      <c r="BH90" s="3337"/>
      <c r="BI90" s="3123"/>
      <c r="BJ90" s="3123"/>
      <c r="BK90" s="3353"/>
      <c r="BL90" s="1995"/>
      <c r="BM90" s="1996"/>
      <c r="BN90" s="3404"/>
      <c r="BO90" s="3382"/>
      <c r="BP90" s="3404"/>
      <c r="BQ90" s="3382"/>
      <c r="BR90" s="3341"/>
      <c r="BS90" s="656"/>
      <c r="BT90" s="656"/>
    </row>
    <row r="91" spans="1:72" s="657" customFormat="1" ht="30.75" customHeight="1" x14ac:dyDescent="0.25">
      <c r="A91" s="3271"/>
      <c r="B91" s="3275"/>
      <c r="C91" s="3276"/>
      <c r="D91" s="3390"/>
      <c r="E91" s="3390"/>
      <c r="F91" s="3390"/>
      <c r="G91" s="2006"/>
      <c r="H91" s="2007"/>
      <c r="I91" s="2008"/>
      <c r="J91" s="3344"/>
      <c r="K91" s="3345"/>
      <c r="L91" s="3345"/>
      <c r="M91" s="3367"/>
      <c r="N91" s="3367"/>
      <c r="O91" s="2009"/>
      <c r="P91" s="3398"/>
      <c r="Q91" s="3399"/>
      <c r="R91" s="3348"/>
      <c r="S91" s="3317"/>
      <c r="T91" s="3318"/>
      <c r="U91" s="3319"/>
      <c r="V91" s="1922" t="s">
        <v>1923</v>
      </c>
      <c r="W91" s="1325">
        <v>5000000</v>
      </c>
      <c r="X91" s="1325">
        <v>5000000</v>
      </c>
      <c r="Y91" s="1913">
        <v>0</v>
      </c>
      <c r="Z91" s="1898">
        <v>20</v>
      </c>
      <c r="AA91" s="1993" t="s">
        <v>86</v>
      </c>
      <c r="AB91" s="3338"/>
      <c r="AC91" s="3338"/>
      <c r="AD91" s="3338"/>
      <c r="AE91" s="3411"/>
      <c r="AF91" s="3408"/>
      <c r="AG91" s="3408"/>
      <c r="AH91" s="3408"/>
      <c r="AI91" s="3408"/>
      <c r="AJ91" s="3338"/>
      <c r="AK91" s="3408"/>
      <c r="AL91" s="3338"/>
      <c r="AM91" s="3338"/>
      <c r="AN91" s="3408"/>
      <c r="AO91" s="2010"/>
      <c r="AP91" s="3408"/>
      <c r="AQ91" s="2010"/>
      <c r="AR91" s="3408"/>
      <c r="AS91" s="2010"/>
      <c r="AT91" s="3408"/>
      <c r="AU91" s="2010"/>
      <c r="AV91" s="3408"/>
      <c r="AW91" s="2010"/>
      <c r="AX91" s="3408"/>
      <c r="AY91" s="2010"/>
      <c r="AZ91" s="3408"/>
      <c r="BA91" s="3411"/>
      <c r="BB91" s="3408"/>
      <c r="BC91" s="2010"/>
      <c r="BD91" s="3408"/>
      <c r="BE91" s="2010"/>
      <c r="BF91" s="3303"/>
      <c r="BG91" s="3338"/>
      <c r="BH91" s="3338"/>
      <c r="BI91" s="3124"/>
      <c r="BJ91" s="3124"/>
      <c r="BK91" s="3354"/>
      <c r="BL91" s="2011"/>
      <c r="BM91" s="2012"/>
      <c r="BN91" s="3405"/>
      <c r="BO91" s="3383"/>
      <c r="BP91" s="3405"/>
      <c r="BQ91" s="3383"/>
      <c r="BR91" s="3341"/>
      <c r="BS91" s="656"/>
      <c r="BT91" s="656"/>
    </row>
    <row r="92" spans="1:72" s="656" customFormat="1" ht="15" customHeight="1" x14ac:dyDescent="0.2">
      <c r="A92" s="3271"/>
      <c r="B92" s="3275"/>
      <c r="C92" s="3276"/>
      <c r="D92" s="3390"/>
      <c r="E92" s="3390"/>
      <c r="F92" s="3390"/>
      <c r="G92" s="1886">
        <v>79</v>
      </c>
      <c r="H92" s="1366" t="s">
        <v>1948</v>
      </c>
      <c r="I92" s="1366"/>
      <c r="J92" s="1932"/>
      <c r="K92" s="1933"/>
      <c r="L92" s="1934"/>
      <c r="M92" s="2013"/>
      <c r="N92" s="2013"/>
      <c r="O92" s="1434"/>
      <c r="P92" s="2014"/>
      <c r="Q92" s="1368"/>
      <c r="R92" s="1935"/>
      <c r="S92" s="1936"/>
      <c r="T92" s="1934"/>
      <c r="U92" s="1933"/>
      <c r="V92" s="1933"/>
      <c r="W92" s="2015"/>
      <c r="X92" s="1937"/>
      <c r="Y92" s="1938"/>
      <c r="Z92" s="1977"/>
      <c r="AA92" s="1977"/>
      <c r="AB92" s="1978"/>
      <c r="AC92" s="1978"/>
      <c r="AD92" s="1978"/>
      <c r="AE92" s="1978"/>
      <c r="AF92" s="1978"/>
      <c r="AG92" s="1978"/>
      <c r="AH92" s="1978"/>
      <c r="AI92" s="1978"/>
      <c r="AJ92" s="1978"/>
      <c r="AK92" s="1978"/>
      <c r="AL92" s="1978"/>
      <c r="AM92" s="1978"/>
      <c r="AN92" s="1978"/>
      <c r="AO92" s="1978"/>
      <c r="AP92" s="1978"/>
      <c r="AQ92" s="1978"/>
      <c r="AR92" s="1978"/>
      <c r="AS92" s="1978"/>
      <c r="AT92" s="1978"/>
      <c r="AU92" s="1978"/>
      <c r="AV92" s="1978"/>
      <c r="AW92" s="1978"/>
      <c r="AX92" s="1978"/>
      <c r="AY92" s="1978"/>
      <c r="AZ92" s="1978"/>
      <c r="BA92" s="1978"/>
      <c r="BB92" s="1978"/>
      <c r="BC92" s="1978"/>
      <c r="BD92" s="1978"/>
      <c r="BE92" s="1978"/>
      <c r="BF92" s="1978"/>
      <c r="BG92" s="1978"/>
      <c r="BH92" s="1978"/>
      <c r="BI92" s="1979"/>
      <c r="BJ92" s="1979"/>
      <c r="BK92" s="1978"/>
      <c r="BL92" s="1978"/>
      <c r="BM92" s="1978"/>
      <c r="BN92" s="1978"/>
      <c r="BO92" s="1978"/>
      <c r="BP92" s="1978"/>
      <c r="BQ92" s="1978"/>
      <c r="BR92" s="1980"/>
    </row>
    <row r="93" spans="1:72" s="657" customFormat="1" ht="55.5" customHeight="1" x14ac:dyDescent="0.2">
      <c r="A93" s="3271"/>
      <c r="B93" s="3275"/>
      <c r="C93" s="3276"/>
      <c r="D93" s="3390"/>
      <c r="E93" s="3390"/>
      <c r="F93" s="3390"/>
      <c r="G93" s="656"/>
      <c r="H93" s="1896"/>
      <c r="I93" s="1897"/>
      <c r="J93" s="3391">
        <v>231</v>
      </c>
      <c r="K93" s="3345" t="s">
        <v>1949</v>
      </c>
      <c r="L93" s="3345" t="s">
        <v>1950</v>
      </c>
      <c r="M93" s="3356">
        <v>1</v>
      </c>
      <c r="N93" s="3347">
        <v>1</v>
      </c>
      <c r="O93" s="2016"/>
      <c r="P93" s="3419" t="s">
        <v>1951</v>
      </c>
      <c r="Q93" s="3292" t="s">
        <v>1952</v>
      </c>
      <c r="R93" s="3412">
        <f>SUM(W93:W94)/S93</f>
        <v>0.10344827586206896</v>
      </c>
      <c r="S93" s="3413">
        <f>SUM(W93:W100)</f>
        <v>58000000</v>
      </c>
      <c r="T93" s="3318" t="s">
        <v>1953</v>
      </c>
      <c r="U93" s="3318" t="s">
        <v>1954</v>
      </c>
      <c r="V93" s="1922" t="s">
        <v>1955</v>
      </c>
      <c r="W93" s="2017">
        <v>3000000</v>
      </c>
      <c r="X93" s="1325">
        <f>500000+500000+1500000+350000</f>
        <v>2850000</v>
      </c>
      <c r="Y93" s="1325">
        <v>2500000</v>
      </c>
      <c r="Z93" s="1898" t="s">
        <v>356</v>
      </c>
      <c r="AA93" s="1950" t="s">
        <v>1910</v>
      </c>
      <c r="AB93" s="3416">
        <v>638</v>
      </c>
      <c r="AC93" s="3371" t="s">
        <v>1956</v>
      </c>
      <c r="AD93" s="3371">
        <v>612</v>
      </c>
      <c r="AE93" s="3371" t="s">
        <v>1957</v>
      </c>
      <c r="AF93" s="3406">
        <v>380</v>
      </c>
      <c r="AG93" s="3406" t="s">
        <v>1958</v>
      </c>
      <c r="AH93" s="3406">
        <v>280</v>
      </c>
      <c r="AI93" s="3406" t="s">
        <v>1959</v>
      </c>
      <c r="AJ93" s="3406">
        <v>161</v>
      </c>
      <c r="AK93" s="3406" t="s">
        <v>1960</v>
      </c>
      <c r="AL93" s="3406">
        <v>429</v>
      </c>
      <c r="AM93" s="3406">
        <v>250</v>
      </c>
      <c r="AN93" s="3406"/>
      <c r="AO93" s="1987"/>
      <c r="AP93" s="3406"/>
      <c r="AQ93" s="1987"/>
      <c r="AR93" s="3406"/>
      <c r="AS93" s="1987"/>
      <c r="AT93" s="3406"/>
      <c r="AU93" s="1987"/>
      <c r="AV93" s="3406"/>
      <c r="AW93" s="1987"/>
      <c r="AX93" s="3406"/>
      <c r="AY93" s="1987"/>
      <c r="AZ93" s="3406"/>
      <c r="BA93" s="1987"/>
      <c r="BB93" s="3406"/>
      <c r="BC93" s="1987"/>
      <c r="BD93" s="3406"/>
      <c r="BE93" s="1987"/>
      <c r="BF93" s="3301">
        <v>1250</v>
      </c>
      <c r="BG93" s="3301" t="s">
        <v>1961</v>
      </c>
      <c r="BH93" s="3301">
        <v>4</v>
      </c>
      <c r="BI93" s="3339">
        <f>SUM(X93:X100)</f>
        <v>54600000</v>
      </c>
      <c r="BJ93" s="3339">
        <f>SUM(Y93:Y100)</f>
        <v>18450000</v>
      </c>
      <c r="BK93" s="3352">
        <f>BJ93/BI93</f>
        <v>0.33791208791208793</v>
      </c>
      <c r="BL93" s="1989"/>
      <c r="BM93" s="1989"/>
      <c r="BN93" s="3381">
        <v>43490</v>
      </c>
      <c r="BO93" s="3381">
        <v>43570</v>
      </c>
      <c r="BP93" s="3381">
        <v>43819</v>
      </c>
      <c r="BQ93" s="3381">
        <v>43819</v>
      </c>
      <c r="BR93" s="3400" t="s">
        <v>1884</v>
      </c>
      <c r="BS93" s="656"/>
      <c r="BT93" s="656"/>
    </row>
    <row r="94" spans="1:72" s="657" customFormat="1" ht="68.25" customHeight="1" x14ac:dyDescent="0.2">
      <c r="A94" s="3271"/>
      <c r="B94" s="3275"/>
      <c r="C94" s="3276"/>
      <c r="D94" s="3390"/>
      <c r="E94" s="3390"/>
      <c r="F94" s="3390"/>
      <c r="G94" s="656"/>
      <c r="H94" s="1903"/>
      <c r="I94" s="1904"/>
      <c r="J94" s="3391"/>
      <c r="K94" s="3345"/>
      <c r="L94" s="3345"/>
      <c r="M94" s="3356"/>
      <c r="N94" s="3347"/>
      <c r="O94" s="2018"/>
      <c r="P94" s="3420"/>
      <c r="Q94" s="3293"/>
      <c r="R94" s="3412"/>
      <c r="S94" s="3414"/>
      <c r="T94" s="3318"/>
      <c r="U94" s="3318"/>
      <c r="V94" s="1922" t="s">
        <v>1962</v>
      </c>
      <c r="W94" s="2017">
        <v>3000000</v>
      </c>
      <c r="X94" s="1913">
        <f>1500000+1500000</f>
        <v>3000000</v>
      </c>
      <c r="Y94" s="1913">
        <f>1500000+1500000</f>
        <v>3000000</v>
      </c>
      <c r="Z94" s="2019">
        <v>20</v>
      </c>
      <c r="AA94" s="1950" t="s">
        <v>86</v>
      </c>
      <c r="AB94" s="3417"/>
      <c r="AC94" s="3372"/>
      <c r="AD94" s="3372"/>
      <c r="AE94" s="3372"/>
      <c r="AF94" s="3407"/>
      <c r="AG94" s="3407"/>
      <c r="AH94" s="3407"/>
      <c r="AI94" s="3407"/>
      <c r="AJ94" s="3407"/>
      <c r="AK94" s="3407"/>
      <c r="AL94" s="3407"/>
      <c r="AM94" s="3407"/>
      <c r="AN94" s="3407"/>
      <c r="AO94" s="1994"/>
      <c r="AP94" s="3407"/>
      <c r="AQ94" s="1994"/>
      <c r="AR94" s="3407"/>
      <c r="AS94" s="1994"/>
      <c r="AT94" s="3407"/>
      <c r="AU94" s="1994"/>
      <c r="AV94" s="3407"/>
      <c r="AW94" s="1994"/>
      <c r="AX94" s="3407"/>
      <c r="AY94" s="1994"/>
      <c r="AZ94" s="3407"/>
      <c r="BA94" s="1994"/>
      <c r="BB94" s="3407"/>
      <c r="BC94" s="1994"/>
      <c r="BD94" s="3407"/>
      <c r="BE94" s="1994"/>
      <c r="BF94" s="3302"/>
      <c r="BG94" s="3302"/>
      <c r="BH94" s="3302"/>
      <c r="BI94" s="3123"/>
      <c r="BJ94" s="3123"/>
      <c r="BK94" s="3353"/>
      <c r="BL94" s="1996"/>
      <c r="BM94" s="1996"/>
      <c r="BN94" s="3382"/>
      <c r="BO94" s="3382"/>
      <c r="BP94" s="3382"/>
      <c r="BQ94" s="3382"/>
      <c r="BR94" s="3396"/>
      <c r="BS94" s="656"/>
      <c r="BT94" s="656"/>
    </row>
    <row r="95" spans="1:72" s="657" customFormat="1" ht="33" customHeight="1" x14ac:dyDescent="0.2">
      <c r="A95" s="3271"/>
      <c r="B95" s="3275"/>
      <c r="C95" s="3276"/>
      <c r="D95" s="3390"/>
      <c r="E95" s="3390"/>
      <c r="F95" s="3390"/>
      <c r="G95" s="656"/>
      <c r="H95" s="1903"/>
      <c r="I95" s="1904"/>
      <c r="J95" s="3391">
        <v>232</v>
      </c>
      <c r="K95" s="3345" t="s">
        <v>1963</v>
      </c>
      <c r="L95" s="3345" t="s">
        <v>1964</v>
      </c>
      <c r="M95" s="3356">
        <v>12</v>
      </c>
      <c r="N95" s="3357">
        <v>12</v>
      </c>
      <c r="O95" s="2018" t="s">
        <v>1965</v>
      </c>
      <c r="P95" s="3420"/>
      <c r="Q95" s="3293"/>
      <c r="R95" s="3412">
        <f>SUM(W95:W98)/S93</f>
        <v>0.7068965517241379</v>
      </c>
      <c r="S95" s="3414"/>
      <c r="T95" s="3318"/>
      <c r="U95" s="3318"/>
      <c r="V95" s="2920" t="s">
        <v>1966</v>
      </c>
      <c r="W95" s="2020">
        <v>5000000</v>
      </c>
      <c r="X95" s="1917">
        <f>1500000+500000+3000000</f>
        <v>5000000</v>
      </c>
      <c r="Y95" s="1917">
        <v>1500000</v>
      </c>
      <c r="Z95" s="2019">
        <v>20</v>
      </c>
      <c r="AA95" s="1950" t="s">
        <v>86</v>
      </c>
      <c r="AB95" s="3417"/>
      <c r="AC95" s="3372"/>
      <c r="AD95" s="3372"/>
      <c r="AE95" s="3372"/>
      <c r="AF95" s="3407"/>
      <c r="AG95" s="3407"/>
      <c r="AH95" s="3407"/>
      <c r="AI95" s="3407"/>
      <c r="AJ95" s="3407"/>
      <c r="AK95" s="3407"/>
      <c r="AL95" s="3407"/>
      <c r="AM95" s="3407"/>
      <c r="AN95" s="3407"/>
      <c r="AO95" s="1994"/>
      <c r="AP95" s="3407"/>
      <c r="AQ95" s="1994"/>
      <c r="AR95" s="3407"/>
      <c r="AS95" s="1994"/>
      <c r="AT95" s="3407"/>
      <c r="AU95" s="1994"/>
      <c r="AV95" s="3407"/>
      <c r="AW95" s="1994"/>
      <c r="AX95" s="3407"/>
      <c r="AY95" s="1994"/>
      <c r="AZ95" s="3407"/>
      <c r="BA95" s="1994"/>
      <c r="BB95" s="3407"/>
      <c r="BC95" s="1994"/>
      <c r="BD95" s="3407"/>
      <c r="BE95" s="1994"/>
      <c r="BF95" s="3302"/>
      <c r="BG95" s="3302"/>
      <c r="BH95" s="3302"/>
      <c r="BI95" s="3123"/>
      <c r="BJ95" s="3123"/>
      <c r="BK95" s="3353"/>
      <c r="BL95" s="1996"/>
      <c r="BM95" s="1996"/>
      <c r="BN95" s="3382"/>
      <c r="BO95" s="3382"/>
      <c r="BP95" s="3382"/>
      <c r="BQ95" s="3382"/>
      <c r="BR95" s="3396"/>
      <c r="BS95" s="656"/>
      <c r="BT95" s="656"/>
    </row>
    <row r="96" spans="1:72" s="657" customFormat="1" ht="30.75" customHeight="1" x14ac:dyDescent="0.2">
      <c r="A96" s="3271"/>
      <c r="B96" s="3275"/>
      <c r="C96" s="3276"/>
      <c r="D96" s="3390"/>
      <c r="E96" s="3390"/>
      <c r="F96" s="3390"/>
      <c r="G96" s="656"/>
      <c r="H96" s="1903"/>
      <c r="I96" s="1904"/>
      <c r="J96" s="3391"/>
      <c r="K96" s="3345"/>
      <c r="L96" s="3345"/>
      <c r="M96" s="3356"/>
      <c r="N96" s="3358"/>
      <c r="O96" s="2018"/>
      <c r="P96" s="3420"/>
      <c r="Q96" s="3293"/>
      <c r="R96" s="3412"/>
      <c r="S96" s="3414"/>
      <c r="T96" s="3318"/>
      <c r="U96" s="3318"/>
      <c r="V96" s="2921"/>
      <c r="W96" s="2020">
        <v>30000000</v>
      </c>
      <c r="X96" s="1917">
        <v>30000000</v>
      </c>
      <c r="Y96" s="1320">
        <v>0</v>
      </c>
      <c r="Z96" s="2019">
        <v>88</v>
      </c>
      <c r="AA96" s="1950" t="s">
        <v>1967</v>
      </c>
      <c r="AB96" s="3417"/>
      <c r="AC96" s="3372"/>
      <c r="AD96" s="3372"/>
      <c r="AE96" s="3372"/>
      <c r="AF96" s="3407"/>
      <c r="AG96" s="3407"/>
      <c r="AH96" s="3407"/>
      <c r="AI96" s="3407"/>
      <c r="AJ96" s="3407"/>
      <c r="AK96" s="3407"/>
      <c r="AL96" s="3407"/>
      <c r="AM96" s="3407"/>
      <c r="AN96" s="3407"/>
      <c r="AO96" s="1994"/>
      <c r="AP96" s="3407"/>
      <c r="AQ96" s="1994"/>
      <c r="AR96" s="3407"/>
      <c r="AS96" s="1994"/>
      <c r="AT96" s="3407"/>
      <c r="AU96" s="1994"/>
      <c r="AV96" s="3407"/>
      <c r="AW96" s="1994"/>
      <c r="AX96" s="3407"/>
      <c r="AY96" s="1994"/>
      <c r="AZ96" s="3407"/>
      <c r="BA96" s="1994"/>
      <c r="BB96" s="3407"/>
      <c r="BC96" s="1994"/>
      <c r="BD96" s="3407"/>
      <c r="BE96" s="1994"/>
      <c r="BF96" s="3302"/>
      <c r="BG96" s="3302"/>
      <c r="BH96" s="3302"/>
      <c r="BI96" s="3123"/>
      <c r="BJ96" s="3123"/>
      <c r="BK96" s="3353"/>
      <c r="BL96" s="2021">
        <v>20</v>
      </c>
      <c r="BM96" s="2003" t="s">
        <v>1928</v>
      </c>
      <c r="BN96" s="3382"/>
      <c r="BO96" s="3382"/>
      <c r="BP96" s="3382"/>
      <c r="BQ96" s="3382"/>
      <c r="BR96" s="3396"/>
      <c r="BS96" s="656"/>
      <c r="BT96" s="656"/>
    </row>
    <row r="97" spans="1:72" s="657" customFormat="1" ht="64.5" customHeight="1" x14ac:dyDescent="0.2">
      <c r="A97" s="3271"/>
      <c r="B97" s="3275"/>
      <c r="C97" s="3276"/>
      <c r="D97" s="3390"/>
      <c r="E97" s="3390"/>
      <c r="F97" s="3390"/>
      <c r="G97" s="656"/>
      <c r="H97" s="1903"/>
      <c r="I97" s="1904"/>
      <c r="J97" s="3391"/>
      <c r="K97" s="3345"/>
      <c r="L97" s="3345"/>
      <c r="M97" s="3356"/>
      <c r="N97" s="3358"/>
      <c r="P97" s="3420"/>
      <c r="Q97" s="3293"/>
      <c r="R97" s="3412"/>
      <c r="S97" s="3414"/>
      <c r="T97" s="3318"/>
      <c r="U97" s="3318"/>
      <c r="V97" s="1922" t="s">
        <v>1968</v>
      </c>
      <c r="W97" s="2017">
        <v>5000000</v>
      </c>
      <c r="X97" s="1913">
        <f>500000+1050000+500000+450000+2500000</f>
        <v>5000000</v>
      </c>
      <c r="Y97" s="1913">
        <f>500000+1050000+500000+450000+2500000</f>
        <v>5000000</v>
      </c>
      <c r="Z97" s="2019">
        <v>20</v>
      </c>
      <c r="AA97" s="1950" t="s">
        <v>86</v>
      </c>
      <c r="AB97" s="3417"/>
      <c r="AC97" s="3372"/>
      <c r="AD97" s="3372"/>
      <c r="AE97" s="3372"/>
      <c r="AF97" s="3407"/>
      <c r="AG97" s="3407"/>
      <c r="AH97" s="3407"/>
      <c r="AI97" s="3407"/>
      <c r="AJ97" s="3407"/>
      <c r="AK97" s="3407"/>
      <c r="AL97" s="3407"/>
      <c r="AM97" s="3407"/>
      <c r="AN97" s="3407"/>
      <c r="AO97" s="1994"/>
      <c r="AP97" s="3407"/>
      <c r="AQ97" s="1994"/>
      <c r="AR97" s="3407"/>
      <c r="AS97" s="1994"/>
      <c r="AT97" s="3407"/>
      <c r="AU97" s="1994"/>
      <c r="AV97" s="3407"/>
      <c r="AW97" s="1994"/>
      <c r="AX97" s="3407"/>
      <c r="AY97" s="1994"/>
      <c r="AZ97" s="3407"/>
      <c r="BA97" s="1994"/>
      <c r="BB97" s="3407"/>
      <c r="BC97" s="1994"/>
      <c r="BD97" s="3407"/>
      <c r="BE97" s="1994"/>
      <c r="BF97" s="3302"/>
      <c r="BG97" s="3302"/>
      <c r="BH97" s="3302"/>
      <c r="BI97" s="3123"/>
      <c r="BJ97" s="3123"/>
      <c r="BK97" s="3353"/>
      <c r="BL97" s="2022">
        <v>88</v>
      </c>
      <c r="BM97" s="1996" t="s">
        <v>1933</v>
      </c>
      <c r="BN97" s="3382"/>
      <c r="BO97" s="3382"/>
      <c r="BP97" s="3382"/>
      <c r="BQ97" s="3382"/>
      <c r="BR97" s="3396"/>
      <c r="BS97" s="3342"/>
      <c r="BT97" s="656"/>
    </row>
    <row r="98" spans="1:72" s="657" customFormat="1" ht="31.5" customHeight="1" x14ac:dyDescent="0.2">
      <c r="A98" s="3271"/>
      <c r="B98" s="3275"/>
      <c r="C98" s="3276"/>
      <c r="D98" s="3390"/>
      <c r="E98" s="3390"/>
      <c r="F98" s="3390"/>
      <c r="G98" s="656"/>
      <c r="H98" s="1903"/>
      <c r="I98" s="1904"/>
      <c r="J98" s="3391"/>
      <c r="K98" s="3345"/>
      <c r="L98" s="3345"/>
      <c r="M98" s="3356"/>
      <c r="N98" s="3359"/>
      <c r="O98" s="2018"/>
      <c r="P98" s="3420"/>
      <c r="Q98" s="3293"/>
      <c r="R98" s="3412"/>
      <c r="S98" s="3414"/>
      <c r="T98" s="3318"/>
      <c r="U98" s="3318"/>
      <c r="V98" s="2023" t="s">
        <v>1923</v>
      </c>
      <c r="W98" s="2017">
        <v>1000000</v>
      </c>
      <c r="X98" s="1913">
        <v>1000000</v>
      </c>
      <c r="Y98" s="1325">
        <v>0</v>
      </c>
      <c r="Z98" s="2019">
        <v>20</v>
      </c>
      <c r="AA98" s="1950" t="s">
        <v>86</v>
      </c>
      <c r="AB98" s="3417"/>
      <c r="AC98" s="3372"/>
      <c r="AD98" s="3372"/>
      <c r="AE98" s="3372"/>
      <c r="AF98" s="3407"/>
      <c r="AG98" s="3407"/>
      <c r="AH98" s="3407"/>
      <c r="AI98" s="3407"/>
      <c r="AJ98" s="3407"/>
      <c r="AK98" s="3407"/>
      <c r="AL98" s="3407"/>
      <c r="AM98" s="3407"/>
      <c r="AN98" s="3407"/>
      <c r="AO98" s="1994"/>
      <c r="AP98" s="3407"/>
      <c r="AQ98" s="1994"/>
      <c r="AR98" s="3407"/>
      <c r="AS98" s="1994"/>
      <c r="AT98" s="3407"/>
      <c r="AU98" s="1994"/>
      <c r="AV98" s="3407"/>
      <c r="AW98" s="1994"/>
      <c r="AX98" s="3407"/>
      <c r="AY98" s="1994"/>
      <c r="AZ98" s="3407"/>
      <c r="BA98" s="1994"/>
      <c r="BB98" s="3407"/>
      <c r="BC98" s="1994"/>
      <c r="BD98" s="3407"/>
      <c r="BE98" s="1994"/>
      <c r="BF98" s="3302"/>
      <c r="BG98" s="3302"/>
      <c r="BH98" s="3302"/>
      <c r="BI98" s="3123"/>
      <c r="BJ98" s="3123"/>
      <c r="BK98" s="3353"/>
      <c r="BL98" s="1996"/>
      <c r="BM98" s="1996"/>
      <c r="BN98" s="3382"/>
      <c r="BO98" s="3382"/>
      <c r="BP98" s="3382"/>
      <c r="BQ98" s="3382"/>
      <c r="BR98" s="3396"/>
      <c r="BS98" s="3342"/>
      <c r="BT98" s="656"/>
    </row>
    <row r="99" spans="1:72" s="657" customFormat="1" ht="45" customHeight="1" x14ac:dyDescent="0.2">
      <c r="A99" s="3271"/>
      <c r="B99" s="3275"/>
      <c r="C99" s="3276"/>
      <c r="D99" s="3390"/>
      <c r="E99" s="3390"/>
      <c r="F99" s="3390"/>
      <c r="G99" s="656"/>
      <c r="H99" s="1903"/>
      <c r="I99" s="1904"/>
      <c r="J99" s="3391">
        <v>233</v>
      </c>
      <c r="K99" s="3345" t="s">
        <v>1969</v>
      </c>
      <c r="L99" s="3345" t="s">
        <v>1970</v>
      </c>
      <c r="M99" s="3356">
        <v>1</v>
      </c>
      <c r="N99" s="3422">
        <v>0.65</v>
      </c>
      <c r="O99" s="2018" t="s">
        <v>1971</v>
      </c>
      <c r="P99" s="3420"/>
      <c r="Q99" s="3293"/>
      <c r="R99" s="3423">
        <f>SUM(W99:W101)/S93</f>
        <v>0.18965517241379309</v>
      </c>
      <c r="S99" s="3414"/>
      <c r="T99" s="3318"/>
      <c r="U99" s="3318"/>
      <c r="V99" s="1922" t="s">
        <v>1972</v>
      </c>
      <c r="W99" s="2020">
        <v>8000000</v>
      </c>
      <c r="X99" s="1913">
        <f>6450000+1300000</f>
        <v>7750000</v>
      </c>
      <c r="Y99" s="1913">
        <v>6450000</v>
      </c>
      <c r="Z99" s="2019">
        <v>20</v>
      </c>
      <c r="AA99" s="1950" t="s">
        <v>86</v>
      </c>
      <c r="AB99" s="3417"/>
      <c r="AC99" s="3372"/>
      <c r="AD99" s="3372"/>
      <c r="AE99" s="3372"/>
      <c r="AF99" s="3407"/>
      <c r="AG99" s="3407"/>
      <c r="AH99" s="3407"/>
      <c r="AI99" s="3407"/>
      <c r="AJ99" s="3407"/>
      <c r="AK99" s="3407"/>
      <c r="AL99" s="3407"/>
      <c r="AM99" s="3407"/>
      <c r="AN99" s="3407"/>
      <c r="AO99" s="1994"/>
      <c r="AP99" s="3407"/>
      <c r="AQ99" s="1994"/>
      <c r="AR99" s="3407"/>
      <c r="AS99" s="1994"/>
      <c r="AT99" s="3407"/>
      <c r="AU99" s="1994"/>
      <c r="AV99" s="3407"/>
      <c r="AW99" s="1994"/>
      <c r="AX99" s="3407"/>
      <c r="AY99" s="1994"/>
      <c r="AZ99" s="3407"/>
      <c r="BA99" s="1994"/>
      <c r="BB99" s="3407"/>
      <c r="BC99" s="1994"/>
      <c r="BD99" s="3407"/>
      <c r="BE99" s="1994"/>
      <c r="BF99" s="3302"/>
      <c r="BG99" s="3302"/>
      <c r="BH99" s="3302"/>
      <c r="BI99" s="3123"/>
      <c r="BJ99" s="3123"/>
      <c r="BK99" s="3353"/>
      <c r="BL99" s="1996"/>
      <c r="BM99" s="1996"/>
      <c r="BN99" s="3382"/>
      <c r="BO99" s="3382"/>
      <c r="BP99" s="3382"/>
      <c r="BQ99" s="3382"/>
      <c r="BR99" s="3396"/>
      <c r="BS99" s="656"/>
      <c r="BT99" s="656"/>
    </row>
    <row r="100" spans="1:72" s="657" customFormat="1" ht="39.75" customHeight="1" x14ac:dyDescent="0.2">
      <c r="A100" s="3271"/>
      <c r="B100" s="3275"/>
      <c r="C100" s="3276"/>
      <c r="D100" s="3390"/>
      <c r="E100" s="3390"/>
      <c r="F100" s="3390"/>
      <c r="G100" s="656"/>
      <c r="H100" s="1927"/>
      <c r="I100" s="1928"/>
      <c r="J100" s="3391"/>
      <c r="K100" s="3345"/>
      <c r="L100" s="3345"/>
      <c r="M100" s="3356"/>
      <c r="N100" s="3422"/>
      <c r="O100" s="2018"/>
      <c r="P100" s="3420"/>
      <c r="Q100" s="3293"/>
      <c r="R100" s="3424"/>
      <c r="S100" s="3415"/>
      <c r="T100" s="3318"/>
      <c r="U100" s="3318"/>
      <c r="V100" s="1922" t="s">
        <v>1973</v>
      </c>
      <c r="W100" s="2020">
        <v>3000000</v>
      </c>
      <c r="X100" s="1913">
        <v>0</v>
      </c>
      <c r="Y100" s="1325">
        <v>0</v>
      </c>
      <c r="Z100" s="2019">
        <v>20</v>
      </c>
      <c r="AA100" s="1950" t="s">
        <v>86</v>
      </c>
      <c r="AB100" s="3418"/>
      <c r="AC100" s="3421"/>
      <c r="AD100" s="3421"/>
      <c r="AE100" s="3421"/>
      <c r="AF100" s="3407"/>
      <c r="AG100" s="3407"/>
      <c r="AH100" s="3407"/>
      <c r="AI100" s="3407"/>
      <c r="AJ100" s="3407"/>
      <c r="AK100" s="3407"/>
      <c r="AL100" s="3407"/>
      <c r="AM100" s="3407"/>
      <c r="AN100" s="3407"/>
      <c r="AO100" s="1994"/>
      <c r="AP100" s="3407"/>
      <c r="AQ100" s="1994"/>
      <c r="AR100" s="3407"/>
      <c r="AS100" s="1994"/>
      <c r="AT100" s="3407"/>
      <c r="AU100" s="1994"/>
      <c r="AV100" s="3407"/>
      <c r="AW100" s="1994"/>
      <c r="AX100" s="3407"/>
      <c r="AY100" s="1994"/>
      <c r="AZ100" s="3407"/>
      <c r="BA100" s="1994"/>
      <c r="BB100" s="3407"/>
      <c r="BC100" s="1994"/>
      <c r="BD100" s="3407"/>
      <c r="BE100" s="1994"/>
      <c r="BF100" s="3303"/>
      <c r="BG100" s="3303"/>
      <c r="BH100" s="3303"/>
      <c r="BI100" s="3124"/>
      <c r="BJ100" s="3124"/>
      <c r="BK100" s="3354"/>
      <c r="BL100" s="2012"/>
      <c r="BM100" s="2012"/>
      <c r="BN100" s="3383"/>
      <c r="BO100" s="3383"/>
      <c r="BP100" s="3383"/>
      <c r="BQ100" s="3383"/>
      <c r="BR100" s="3396"/>
      <c r="BS100" s="656"/>
      <c r="BT100" s="656"/>
    </row>
    <row r="101" spans="1:72" s="656" customFormat="1" ht="15" customHeight="1" x14ac:dyDescent="0.2">
      <c r="A101" s="3271"/>
      <c r="B101" s="3275"/>
      <c r="C101" s="3276"/>
      <c r="D101" s="3390"/>
      <c r="E101" s="3390"/>
      <c r="F101" s="3390"/>
      <c r="G101" s="1886">
        <v>80</v>
      </c>
      <c r="H101" s="1366" t="s">
        <v>1974</v>
      </c>
      <c r="I101" s="1366"/>
      <c r="J101" s="1932"/>
      <c r="K101" s="1933"/>
      <c r="L101" s="1934"/>
      <c r="M101" s="2013"/>
      <c r="N101" s="2013"/>
      <c r="O101" s="1434"/>
      <c r="P101" s="1438"/>
      <c r="Q101" s="1368"/>
      <c r="R101" s="1368"/>
      <c r="S101" s="1936"/>
      <c r="T101" s="1934"/>
      <c r="U101" s="1933"/>
      <c r="V101" s="1933"/>
      <c r="W101" s="1937"/>
      <c r="X101" s="1937"/>
      <c r="Y101" s="1938"/>
      <c r="Z101" s="1938"/>
      <c r="AA101" s="1938"/>
      <c r="AB101" s="1366"/>
      <c r="AC101" s="1366"/>
      <c r="AD101" s="1366"/>
      <c r="AE101" s="1366"/>
      <c r="AF101" s="1366"/>
      <c r="AG101" s="1366"/>
      <c r="AH101" s="1366"/>
      <c r="AI101" s="1366"/>
      <c r="AJ101" s="1366"/>
      <c r="AK101" s="1366"/>
      <c r="AL101" s="1366"/>
      <c r="AM101" s="1366"/>
      <c r="AN101" s="1366"/>
      <c r="AO101" s="1366"/>
      <c r="AP101" s="1366"/>
      <c r="AQ101" s="1366"/>
      <c r="AR101" s="1366"/>
      <c r="AS101" s="1366"/>
      <c r="AT101" s="1366"/>
      <c r="AU101" s="1366"/>
      <c r="AV101" s="1366"/>
      <c r="AW101" s="1366"/>
      <c r="AX101" s="1366"/>
      <c r="AY101" s="1366"/>
      <c r="AZ101" s="1374"/>
      <c r="BA101" s="1374"/>
      <c r="BB101" s="1374"/>
      <c r="BC101" s="1374"/>
      <c r="BD101" s="1374"/>
      <c r="BE101" s="1374"/>
      <c r="BF101" s="1374"/>
      <c r="BG101" s="1374"/>
      <c r="BH101" s="1374"/>
      <c r="BI101" s="1495"/>
      <c r="BJ101" s="1495"/>
      <c r="BK101" s="1374"/>
      <c r="BL101" s="1374"/>
      <c r="BM101" s="1374"/>
      <c r="BN101" s="1374"/>
      <c r="BO101" s="1374"/>
      <c r="BP101" s="1374"/>
      <c r="BQ101" s="1374"/>
      <c r="BR101" s="2024"/>
    </row>
    <row r="102" spans="1:72" s="657" customFormat="1" ht="61.5" customHeight="1" x14ac:dyDescent="0.2">
      <c r="A102" s="3271"/>
      <c r="B102" s="3275"/>
      <c r="C102" s="3276"/>
      <c r="D102" s="3390"/>
      <c r="E102" s="3390"/>
      <c r="F102" s="3390"/>
      <c r="G102" s="656"/>
      <c r="H102" s="1896"/>
      <c r="I102" s="1897"/>
      <c r="J102" s="3356">
        <v>234</v>
      </c>
      <c r="K102" s="3392" t="s">
        <v>1975</v>
      </c>
      <c r="L102" s="3392" t="s">
        <v>1976</v>
      </c>
      <c r="M102" s="3347">
        <v>2</v>
      </c>
      <c r="N102" s="3347">
        <v>2</v>
      </c>
      <c r="O102" s="2018"/>
      <c r="P102" s="3420" t="s">
        <v>1977</v>
      </c>
      <c r="Q102" s="3293" t="s">
        <v>1978</v>
      </c>
      <c r="R102" s="3427">
        <f>SUM(W102:W103)/S102</f>
        <v>0.26315789473684209</v>
      </c>
      <c r="S102" s="3413">
        <f>SUM(W102:W114)</f>
        <v>38000000</v>
      </c>
      <c r="T102" s="3318" t="s">
        <v>1979</v>
      </c>
      <c r="U102" s="3318" t="s">
        <v>1980</v>
      </c>
      <c r="V102" s="1912" t="s">
        <v>1981</v>
      </c>
      <c r="W102" s="2017">
        <v>5000000</v>
      </c>
      <c r="X102" s="1325">
        <v>5000000</v>
      </c>
      <c r="Y102" s="1913">
        <v>3101000</v>
      </c>
      <c r="Z102" s="2025" t="s">
        <v>356</v>
      </c>
      <c r="AA102" s="1910" t="s">
        <v>1910</v>
      </c>
      <c r="AB102" s="3425">
        <v>638</v>
      </c>
      <c r="AC102" s="3336">
        <v>437</v>
      </c>
      <c r="AD102" s="3388">
        <v>612</v>
      </c>
      <c r="AE102" s="3336">
        <v>612</v>
      </c>
      <c r="AF102" s="3388">
        <v>380</v>
      </c>
      <c r="AG102" s="3336">
        <v>212</v>
      </c>
      <c r="AH102" s="3388">
        <v>280</v>
      </c>
      <c r="AI102" s="3336">
        <v>180</v>
      </c>
      <c r="AJ102" s="3388">
        <v>161</v>
      </c>
      <c r="AK102" s="3336">
        <v>120</v>
      </c>
      <c r="AL102" s="3388">
        <v>429</v>
      </c>
      <c r="AM102" s="3336">
        <v>250</v>
      </c>
      <c r="AN102" s="3388"/>
      <c r="AO102" s="3336"/>
      <c r="AP102" s="3388"/>
      <c r="AQ102" s="3336"/>
      <c r="AR102" s="3388"/>
      <c r="AS102" s="3336"/>
      <c r="AT102" s="3388"/>
      <c r="AU102" s="3336"/>
      <c r="AV102" s="3388"/>
      <c r="AW102" s="3336"/>
      <c r="AX102" s="3388"/>
      <c r="AY102" s="3336"/>
      <c r="AZ102" s="3388"/>
      <c r="BA102" s="3336"/>
      <c r="BB102" s="3388"/>
      <c r="BC102" s="3336"/>
      <c r="BD102" s="3388"/>
      <c r="BE102" s="3336"/>
      <c r="BF102" s="3336">
        <v>1250</v>
      </c>
      <c r="BG102" s="3336">
        <v>1049</v>
      </c>
      <c r="BH102" s="3336">
        <v>4</v>
      </c>
      <c r="BI102" s="3339">
        <f>SUM(X102:X114)</f>
        <v>37880933</v>
      </c>
      <c r="BJ102" s="3339">
        <f>SUM(Y102:Y114)</f>
        <v>14917066</v>
      </c>
      <c r="BK102" s="3352">
        <f>BJ102/BI102</f>
        <v>0.39378824169932669</v>
      </c>
      <c r="BL102" s="1989"/>
      <c r="BM102" s="1989"/>
      <c r="BN102" s="3381">
        <v>43475</v>
      </c>
      <c r="BO102" s="3381">
        <v>43477</v>
      </c>
      <c r="BP102" s="3381">
        <v>43809</v>
      </c>
      <c r="BQ102" s="3381">
        <v>43809</v>
      </c>
      <c r="BR102" s="3400" t="s">
        <v>1884</v>
      </c>
      <c r="BS102" s="656"/>
      <c r="BT102" s="656"/>
    </row>
    <row r="103" spans="1:72" s="657" customFormat="1" ht="55.5" customHeight="1" x14ac:dyDescent="0.2">
      <c r="A103" s="3271"/>
      <c r="B103" s="3275"/>
      <c r="C103" s="3276"/>
      <c r="D103" s="3390"/>
      <c r="E103" s="3390"/>
      <c r="F103" s="3390"/>
      <c r="G103" s="656"/>
      <c r="H103" s="1903"/>
      <c r="I103" s="1904"/>
      <c r="J103" s="3356"/>
      <c r="K103" s="3392"/>
      <c r="L103" s="3392"/>
      <c r="M103" s="3347"/>
      <c r="N103" s="3347"/>
      <c r="O103" s="2018"/>
      <c r="P103" s="3420"/>
      <c r="Q103" s="3293"/>
      <c r="R103" s="3427"/>
      <c r="S103" s="3414"/>
      <c r="T103" s="3318"/>
      <c r="U103" s="3318"/>
      <c r="V103" s="1912" t="s">
        <v>1982</v>
      </c>
      <c r="W103" s="2017">
        <v>5000000</v>
      </c>
      <c r="X103" s="1913">
        <v>4977333</v>
      </c>
      <c r="Y103" s="1913">
        <f>1500000+2067333</f>
        <v>3567333</v>
      </c>
      <c r="Z103" s="2026">
        <v>20</v>
      </c>
      <c r="AA103" s="1910" t="s">
        <v>86</v>
      </c>
      <c r="AB103" s="3426"/>
      <c r="AC103" s="3337"/>
      <c r="AD103" s="3389"/>
      <c r="AE103" s="3337"/>
      <c r="AF103" s="3389"/>
      <c r="AG103" s="3337"/>
      <c r="AH103" s="3389"/>
      <c r="AI103" s="3337"/>
      <c r="AJ103" s="3389"/>
      <c r="AK103" s="3337"/>
      <c r="AL103" s="3389"/>
      <c r="AM103" s="3337"/>
      <c r="AN103" s="3389"/>
      <c r="AO103" s="3337"/>
      <c r="AP103" s="3389"/>
      <c r="AQ103" s="3337"/>
      <c r="AR103" s="3389"/>
      <c r="AS103" s="3337"/>
      <c r="AT103" s="3389"/>
      <c r="AU103" s="3337"/>
      <c r="AV103" s="3389"/>
      <c r="AW103" s="3337"/>
      <c r="AX103" s="3389"/>
      <c r="AY103" s="3337"/>
      <c r="AZ103" s="3389"/>
      <c r="BA103" s="3337"/>
      <c r="BB103" s="3389"/>
      <c r="BC103" s="3337"/>
      <c r="BD103" s="3389"/>
      <c r="BE103" s="3337"/>
      <c r="BF103" s="3337"/>
      <c r="BG103" s="3337"/>
      <c r="BH103" s="3337"/>
      <c r="BI103" s="3123"/>
      <c r="BJ103" s="3123"/>
      <c r="BK103" s="3353"/>
      <c r="BL103" s="1996"/>
      <c r="BM103" s="1996"/>
      <c r="BN103" s="3382"/>
      <c r="BO103" s="3382"/>
      <c r="BP103" s="3382"/>
      <c r="BQ103" s="3382"/>
      <c r="BR103" s="3396"/>
      <c r="BS103" s="3342"/>
      <c r="BT103" s="656"/>
    </row>
    <row r="104" spans="1:72" s="657" customFormat="1" ht="34.5" customHeight="1" x14ac:dyDescent="0.2">
      <c r="A104" s="3271"/>
      <c r="B104" s="3275"/>
      <c r="C104" s="3276"/>
      <c r="D104" s="3390"/>
      <c r="E104" s="3390"/>
      <c r="F104" s="3390"/>
      <c r="G104" s="656"/>
      <c r="H104" s="1903"/>
      <c r="I104" s="1904"/>
      <c r="J104" s="3356">
        <v>235</v>
      </c>
      <c r="K104" s="3392" t="s">
        <v>1983</v>
      </c>
      <c r="L104" s="3345" t="s">
        <v>1984</v>
      </c>
      <c r="M104" s="3347">
        <v>2</v>
      </c>
      <c r="N104" s="3347">
        <v>2</v>
      </c>
      <c r="O104" s="2018" t="s">
        <v>1985</v>
      </c>
      <c r="P104" s="3420"/>
      <c r="Q104" s="3293"/>
      <c r="R104" s="3427">
        <f>SUM(W104:W114)/S102</f>
        <v>0.73684210526315785</v>
      </c>
      <c r="S104" s="3414"/>
      <c r="T104" s="3318"/>
      <c r="U104" s="3319"/>
      <c r="V104" s="3401" t="s">
        <v>1986</v>
      </c>
      <c r="W104" s="2017">
        <v>2000000</v>
      </c>
      <c r="X104" s="1913">
        <v>2000000</v>
      </c>
      <c r="Y104" s="1913">
        <v>900000</v>
      </c>
      <c r="Z104" s="2026">
        <v>20</v>
      </c>
      <c r="AA104" s="1910" t="s">
        <v>86</v>
      </c>
      <c r="AB104" s="3426"/>
      <c r="AC104" s="3337"/>
      <c r="AD104" s="3389"/>
      <c r="AE104" s="3337"/>
      <c r="AF104" s="3389"/>
      <c r="AG104" s="3337"/>
      <c r="AH104" s="3389"/>
      <c r="AI104" s="3337"/>
      <c r="AJ104" s="3389"/>
      <c r="AK104" s="3337"/>
      <c r="AL104" s="3389"/>
      <c r="AM104" s="3337"/>
      <c r="AN104" s="3389"/>
      <c r="AO104" s="3337"/>
      <c r="AP104" s="3389"/>
      <c r="AQ104" s="3337"/>
      <c r="AR104" s="3389"/>
      <c r="AS104" s="3337"/>
      <c r="AT104" s="3389"/>
      <c r="AU104" s="3337"/>
      <c r="AV104" s="3389"/>
      <c r="AW104" s="3337"/>
      <c r="AX104" s="3389"/>
      <c r="AY104" s="3337"/>
      <c r="AZ104" s="3389"/>
      <c r="BA104" s="3337"/>
      <c r="BB104" s="3389"/>
      <c r="BC104" s="3337"/>
      <c r="BD104" s="3389"/>
      <c r="BE104" s="3337"/>
      <c r="BF104" s="3337"/>
      <c r="BG104" s="3337"/>
      <c r="BH104" s="3337"/>
      <c r="BI104" s="3123"/>
      <c r="BJ104" s="3123"/>
      <c r="BK104" s="3353"/>
      <c r="BL104" s="1996"/>
      <c r="BM104" s="1996"/>
      <c r="BN104" s="3382"/>
      <c r="BO104" s="3382"/>
      <c r="BP104" s="3382"/>
      <c r="BQ104" s="3382"/>
      <c r="BR104" s="3396"/>
      <c r="BS104" s="3342"/>
      <c r="BT104" s="656"/>
    </row>
    <row r="105" spans="1:72" s="657" customFormat="1" ht="34.5" customHeight="1" x14ac:dyDescent="0.2">
      <c r="A105" s="3271"/>
      <c r="B105" s="3275"/>
      <c r="C105" s="3276"/>
      <c r="D105" s="3390"/>
      <c r="E105" s="3390"/>
      <c r="F105" s="3390"/>
      <c r="G105" s="656"/>
      <c r="H105" s="1903"/>
      <c r="I105" s="1904"/>
      <c r="J105" s="3356"/>
      <c r="K105" s="3392"/>
      <c r="L105" s="3345"/>
      <c r="M105" s="3347"/>
      <c r="N105" s="3347"/>
      <c r="O105" s="2027"/>
      <c r="P105" s="3420"/>
      <c r="Q105" s="3293"/>
      <c r="R105" s="3427"/>
      <c r="S105" s="3414"/>
      <c r="T105" s="3318"/>
      <c r="U105" s="3319"/>
      <c r="V105" s="3402"/>
      <c r="W105" s="2017">
        <v>400000</v>
      </c>
      <c r="X105" s="1913">
        <v>400000</v>
      </c>
      <c r="Y105" s="1913">
        <v>0</v>
      </c>
      <c r="Z105" s="2026">
        <v>88</v>
      </c>
      <c r="AA105" s="1910"/>
      <c r="AB105" s="3426"/>
      <c r="AC105" s="3337"/>
      <c r="AD105" s="3389"/>
      <c r="AE105" s="3337"/>
      <c r="AF105" s="3389"/>
      <c r="AG105" s="3337"/>
      <c r="AH105" s="3389"/>
      <c r="AI105" s="3337"/>
      <c r="AJ105" s="3389"/>
      <c r="AK105" s="3337"/>
      <c r="AL105" s="3389"/>
      <c r="AM105" s="3337"/>
      <c r="AN105" s="3389"/>
      <c r="AO105" s="3337"/>
      <c r="AP105" s="3389"/>
      <c r="AQ105" s="3337"/>
      <c r="AR105" s="3389"/>
      <c r="AS105" s="3337"/>
      <c r="AT105" s="3389"/>
      <c r="AU105" s="3337"/>
      <c r="AV105" s="3389"/>
      <c r="AW105" s="3337"/>
      <c r="AX105" s="3389"/>
      <c r="AY105" s="3337"/>
      <c r="AZ105" s="3389"/>
      <c r="BA105" s="3337"/>
      <c r="BB105" s="3389"/>
      <c r="BC105" s="3337"/>
      <c r="BD105" s="3389"/>
      <c r="BE105" s="3337"/>
      <c r="BF105" s="3337"/>
      <c r="BG105" s="3337"/>
      <c r="BH105" s="3337"/>
      <c r="BI105" s="3123"/>
      <c r="BJ105" s="3123"/>
      <c r="BK105" s="3353"/>
      <c r="BL105" s="1996"/>
      <c r="BM105" s="1995"/>
      <c r="BN105" s="3382"/>
      <c r="BO105" s="3382"/>
      <c r="BP105" s="3382"/>
      <c r="BQ105" s="3382"/>
      <c r="BR105" s="3396"/>
      <c r="BS105" s="3342"/>
      <c r="BT105" s="656"/>
    </row>
    <row r="106" spans="1:72" s="657" customFormat="1" ht="24.75" customHeight="1" x14ac:dyDescent="0.2">
      <c r="A106" s="3271"/>
      <c r="B106" s="3275"/>
      <c r="C106" s="3276"/>
      <c r="D106" s="3390"/>
      <c r="E106" s="3390"/>
      <c r="F106" s="3390"/>
      <c r="G106" s="656"/>
      <c r="H106" s="1903"/>
      <c r="I106" s="1904"/>
      <c r="J106" s="3356"/>
      <c r="K106" s="3392"/>
      <c r="L106" s="3345"/>
      <c r="M106" s="3347"/>
      <c r="N106" s="3347"/>
      <c r="P106" s="3420"/>
      <c r="Q106" s="3293"/>
      <c r="R106" s="3427"/>
      <c r="S106" s="3414"/>
      <c r="T106" s="3318"/>
      <c r="U106" s="3319"/>
      <c r="V106" s="1922" t="s">
        <v>1987</v>
      </c>
      <c r="W106" s="2017">
        <v>5000000</v>
      </c>
      <c r="X106" s="1913">
        <v>4903600</v>
      </c>
      <c r="Y106" s="1913">
        <v>3396733</v>
      </c>
      <c r="Z106" s="2026">
        <v>20</v>
      </c>
      <c r="AA106" s="1910" t="s">
        <v>86</v>
      </c>
      <c r="AB106" s="3426"/>
      <c r="AC106" s="3337"/>
      <c r="AD106" s="3389"/>
      <c r="AE106" s="3337"/>
      <c r="AF106" s="3389"/>
      <c r="AG106" s="3337"/>
      <c r="AH106" s="3389"/>
      <c r="AI106" s="3337"/>
      <c r="AJ106" s="3389"/>
      <c r="AK106" s="3337"/>
      <c r="AL106" s="3389"/>
      <c r="AM106" s="3337"/>
      <c r="AN106" s="3389"/>
      <c r="AO106" s="3337"/>
      <c r="AP106" s="3389"/>
      <c r="AQ106" s="3337"/>
      <c r="AR106" s="3389"/>
      <c r="AS106" s="3337"/>
      <c r="AT106" s="3389"/>
      <c r="AU106" s="3337"/>
      <c r="AV106" s="3389"/>
      <c r="AW106" s="3337"/>
      <c r="AX106" s="3389"/>
      <c r="AY106" s="3337"/>
      <c r="AZ106" s="3389"/>
      <c r="BA106" s="3337"/>
      <c r="BB106" s="3389"/>
      <c r="BC106" s="3337"/>
      <c r="BD106" s="3389"/>
      <c r="BE106" s="3337"/>
      <c r="BF106" s="3337"/>
      <c r="BG106" s="3337"/>
      <c r="BH106" s="3337"/>
      <c r="BI106" s="3123"/>
      <c r="BJ106" s="3123"/>
      <c r="BK106" s="3353"/>
      <c r="BL106" s="2021">
        <v>20</v>
      </c>
      <c r="BM106" s="2003" t="s">
        <v>1928</v>
      </c>
      <c r="BN106" s="3382"/>
      <c r="BO106" s="3382"/>
      <c r="BP106" s="3382"/>
      <c r="BQ106" s="3382"/>
      <c r="BR106" s="3396"/>
      <c r="BS106" s="3342"/>
      <c r="BT106" s="656"/>
    </row>
    <row r="107" spans="1:72" s="657" customFormat="1" ht="29.25" customHeight="1" x14ac:dyDescent="0.2">
      <c r="A107" s="3271"/>
      <c r="B107" s="3275"/>
      <c r="C107" s="3276"/>
      <c r="D107" s="3390"/>
      <c r="E107" s="3390"/>
      <c r="F107" s="3390"/>
      <c r="G107" s="656"/>
      <c r="H107" s="1903"/>
      <c r="I107" s="1904"/>
      <c r="J107" s="3356"/>
      <c r="K107" s="3392"/>
      <c r="L107" s="3345"/>
      <c r="M107" s="3347"/>
      <c r="N107" s="3347"/>
      <c r="O107" s="2018" t="s">
        <v>1988</v>
      </c>
      <c r="P107" s="3420"/>
      <c r="Q107" s="3293"/>
      <c r="R107" s="3427"/>
      <c r="S107" s="3414"/>
      <c r="T107" s="3318"/>
      <c r="U107" s="3319"/>
      <c r="V107" s="3401" t="s">
        <v>1989</v>
      </c>
      <c r="W107" s="2017">
        <v>4000000</v>
      </c>
      <c r="X107" s="1913">
        <v>4000000</v>
      </c>
      <c r="Y107" s="1913">
        <f>1000000+1601000</f>
        <v>2601000</v>
      </c>
      <c r="Z107" s="2026">
        <v>20</v>
      </c>
      <c r="AA107" s="1910" t="s">
        <v>86</v>
      </c>
      <c r="AB107" s="3426"/>
      <c r="AC107" s="3337"/>
      <c r="AD107" s="3389"/>
      <c r="AE107" s="3337"/>
      <c r="AF107" s="3389"/>
      <c r="AG107" s="3337"/>
      <c r="AH107" s="3389"/>
      <c r="AI107" s="3337"/>
      <c r="AJ107" s="3389"/>
      <c r="AK107" s="3337"/>
      <c r="AL107" s="3389"/>
      <c r="AM107" s="3337"/>
      <c r="AN107" s="3389"/>
      <c r="AO107" s="3337"/>
      <c r="AP107" s="3389"/>
      <c r="AQ107" s="3337"/>
      <c r="AR107" s="3389"/>
      <c r="AS107" s="3337"/>
      <c r="AT107" s="3389"/>
      <c r="AU107" s="3337"/>
      <c r="AV107" s="3389"/>
      <c r="AW107" s="3337"/>
      <c r="AX107" s="3389"/>
      <c r="AY107" s="3337"/>
      <c r="AZ107" s="3389"/>
      <c r="BA107" s="3337"/>
      <c r="BB107" s="3389"/>
      <c r="BC107" s="3337"/>
      <c r="BD107" s="3389"/>
      <c r="BE107" s="3337"/>
      <c r="BF107" s="3337"/>
      <c r="BG107" s="3337"/>
      <c r="BH107" s="3337"/>
      <c r="BI107" s="3123"/>
      <c r="BJ107" s="3123"/>
      <c r="BK107" s="3353"/>
      <c r="BL107" s="2022">
        <v>88</v>
      </c>
      <c r="BM107" s="1996" t="s">
        <v>1933</v>
      </c>
      <c r="BN107" s="3382"/>
      <c r="BO107" s="3382"/>
      <c r="BP107" s="3382"/>
      <c r="BQ107" s="3382"/>
      <c r="BR107" s="3396"/>
      <c r="BS107" s="656"/>
      <c r="BT107" s="656"/>
    </row>
    <row r="108" spans="1:72" s="657" customFormat="1" ht="30" customHeight="1" x14ac:dyDescent="0.2">
      <c r="A108" s="3271"/>
      <c r="B108" s="3275"/>
      <c r="C108" s="3276"/>
      <c r="D108" s="3390"/>
      <c r="E108" s="3390"/>
      <c r="F108" s="3390"/>
      <c r="G108" s="656"/>
      <c r="H108" s="1903"/>
      <c r="I108" s="1904"/>
      <c r="J108" s="3356"/>
      <c r="K108" s="3392"/>
      <c r="L108" s="3345"/>
      <c r="M108" s="3347"/>
      <c r="N108" s="3347"/>
      <c r="O108" s="2018"/>
      <c r="P108" s="3420"/>
      <c r="Q108" s="3293"/>
      <c r="R108" s="3427"/>
      <c r="S108" s="3414"/>
      <c r="T108" s="3318"/>
      <c r="U108" s="3319"/>
      <c r="V108" s="3402"/>
      <c r="W108" s="2017">
        <v>9600000</v>
      </c>
      <c r="X108" s="1913">
        <v>9600000</v>
      </c>
      <c r="Y108" s="1913">
        <v>0</v>
      </c>
      <c r="Z108" s="2026">
        <v>88</v>
      </c>
      <c r="AA108" s="1910"/>
      <c r="AB108" s="3426"/>
      <c r="AC108" s="3337"/>
      <c r="AD108" s="3389"/>
      <c r="AE108" s="3337"/>
      <c r="AF108" s="3389"/>
      <c r="AG108" s="3337"/>
      <c r="AH108" s="3389"/>
      <c r="AI108" s="3337"/>
      <c r="AJ108" s="3389"/>
      <c r="AK108" s="3337"/>
      <c r="AL108" s="3389"/>
      <c r="AM108" s="3337"/>
      <c r="AN108" s="3389"/>
      <c r="AO108" s="3337"/>
      <c r="AP108" s="3389"/>
      <c r="AQ108" s="3337"/>
      <c r="AR108" s="3389"/>
      <c r="AS108" s="3337"/>
      <c r="AT108" s="3389"/>
      <c r="AU108" s="3337"/>
      <c r="AV108" s="3389"/>
      <c r="AW108" s="3337"/>
      <c r="AX108" s="3389"/>
      <c r="AY108" s="3337"/>
      <c r="AZ108" s="3389"/>
      <c r="BA108" s="3337"/>
      <c r="BB108" s="3389"/>
      <c r="BC108" s="3337"/>
      <c r="BD108" s="3389"/>
      <c r="BE108" s="3337"/>
      <c r="BF108" s="3337"/>
      <c r="BG108" s="3337"/>
      <c r="BH108" s="3337"/>
      <c r="BI108" s="3123"/>
      <c r="BJ108" s="3123"/>
      <c r="BK108" s="3353"/>
      <c r="BL108" s="2022"/>
      <c r="BM108" s="1996"/>
      <c r="BN108" s="3382"/>
      <c r="BO108" s="3382"/>
      <c r="BP108" s="3382"/>
      <c r="BQ108" s="3382"/>
      <c r="BR108" s="3396"/>
      <c r="BS108" s="656"/>
      <c r="BT108" s="656"/>
    </row>
    <row r="109" spans="1:72" s="657" customFormat="1" ht="21.75" customHeight="1" x14ac:dyDescent="0.2">
      <c r="A109" s="3271"/>
      <c r="B109" s="3275"/>
      <c r="C109" s="3276"/>
      <c r="D109" s="3390"/>
      <c r="E109" s="3390"/>
      <c r="F109" s="3390"/>
      <c r="G109" s="656"/>
      <c r="H109" s="1903"/>
      <c r="I109" s="1904"/>
      <c r="J109" s="3356"/>
      <c r="K109" s="3392"/>
      <c r="L109" s="3345"/>
      <c r="M109" s="3347"/>
      <c r="N109" s="3347"/>
      <c r="O109" s="2018"/>
      <c r="P109" s="3420"/>
      <c r="Q109" s="3293"/>
      <c r="R109" s="3427"/>
      <c r="S109" s="3414"/>
      <c r="T109" s="3318"/>
      <c r="U109" s="3319"/>
      <c r="V109" s="1922" t="s">
        <v>1990</v>
      </c>
      <c r="W109" s="2017">
        <v>1000000</v>
      </c>
      <c r="X109" s="1913">
        <v>1000000</v>
      </c>
      <c r="Y109" s="1913">
        <v>0</v>
      </c>
      <c r="Z109" s="2026">
        <v>20</v>
      </c>
      <c r="AA109" s="1910" t="s">
        <v>86</v>
      </c>
      <c r="AB109" s="3426"/>
      <c r="AC109" s="3337"/>
      <c r="AD109" s="3389"/>
      <c r="AE109" s="3337"/>
      <c r="AF109" s="3389"/>
      <c r="AG109" s="3337"/>
      <c r="AH109" s="3389"/>
      <c r="AI109" s="3337"/>
      <c r="AJ109" s="3389"/>
      <c r="AK109" s="3337"/>
      <c r="AL109" s="3389"/>
      <c r="AM109" s="3337"/>
      <c r="AN109" s="3389"/>
      <c r="AO109" s="3337"/>
      <c r="AP109" s="3389"/>
      <c r="AQ109" s="3337"/>
      <c r="AR109" s="3389"/>
      <c r="AS109" s="3337"/>
      <c r="AT109" s="3389"/>
      <c r="AU109" s="3337"/>
      <c r="AV109" s="3389"/>
      <c r="AW109" s="3337"/>
      <c r="AX109" s="3389"/>
      <c r="AY109" s="3337"/>
      <c r="AZ109" s="3389"/>
      <c r="BA109" s="3337"/>
      <c r="BB109" s="3389"/>
      <c r="BC109" s="3337"/>
      <c r="BD109" s="3389"/>
      <c r="BE109" s="3337"/>
      <c r="BF109" s="3337"/>
      <c r="BG109" s="3337"/>
      <c r="BH109" s="3337"/>
      <c r="BI109" s="3123"/>
      <c r="BJ109" s="3123"/>
      <c r="BK109" s="3353"/>
      <c r="BL109" s="1996"/>
      <c r="BM109" s="1996"/>
      <c r="BN109" s="3382"/>
      <c r="BO109" s="3382"/>
      <c r="BP109" s="3382"/>
      <c r="BQ109" s="3382"/>
      <c r="BR109" s="3396"/>
      <c r="BS109" s="656"/>
      <c r="BT109" s="656"/>
    </row>
    <row r="110" spans="1:72" s="657" customFormat="1" ht="27.75" customHeight="1" x14ac:dyDescent="0.2">
      <c r="A110" s="3271"/>
      <c r="B110" s="3275"/>
      <c r="C110" s="3276"/>
      <c r="D110" s="3390"/>
      <c r="E110" s="3390"/>
      <c r="F110" s="3390"/>
      <c r="G110" s="656"/>
      <c r="H110" s="1903"/>
      <c r="I110" s="1904"/>
      <c r="J110" s="3356"/>
      <c r="K110" s="3392"/>
      <c r="L110" s="3345"/>
      <c r="M110" s="3347"/>
      <c r="N110" s="3347"/>
      <c r="O110" s="2018"/>
      <c r="P110" s="3420"/>
      <c r="Q110" s="3293"/>
      <c r="R110" s="3427"/>
      <c r="S110" s="3414"/>
      <c r="T110" s="3318"/>
      <c r="U110" s="3319"/>
      <c r="V110" s="1922" t="s">
        <v>1991</v>
      </c>
      <c r="W110" s="2017">
        <v>1000000</v>
      </c>
      <c r="X110" s="1913">
        <v>1000000</v>
      </c>
      <c r="Y110" s="1913">
        <v>0</v>
      </c>
      <c r="Z110" s="2026">
        <v>20</v>
      </c>
      <c r="AA110" s="1910" t="s">
        <v>86</v>
      </c>
      <c r="AB110" s="3426"/>
      <c r="AC110" s="3337"/>
      <c r="AD110" s="3389"/>
      <c r="AE110" s="3337"/>
      <c r="AF110" s="3389"/>
      <c r="AG110" s="3337"/>
      <c r="AH110" s="3389"/>
      <c r="AI110" s="3337"/>
      <c r="AJ110" s="3389"/>
      <c r="AK110" s="3337"/>
      <c r="AL110" s="3389"/>
      <c r="AM110" s="3337"/>
      <c r="AN110" s="3389"/>
      <c r="AO110" s="3337"/>
      <c r="AP110" s="3389"/>
      <c r="AQ110" s="3337"/>
      <c r="AR110" s="3389"/>
      <c r="AS110" s="3337"/>
      <c r="AT110" s="3389"/>
      <c r="AU110" s="3337"/>
      <c r="AV110" s="3389"/>
      <c r="AW110" s="3337"/>
      <c r="AX110" s="3389"/>
      <c r="AY110" s="3337"/>
      <c r="AZ110" s="3389"/>
      <c r="BA110" s="3337"/>
      <c r="BB110" s="3389"/>
      <c r="BC110" s="3337"/>
      <c r="BD110" s="3389"/>
      <c r="BE110" s="3337"/>
      <c r="BF110" s="3337"/>
      <c r="BG110" s="3337"/>
      <c r="BH110" s="3337"/>
      <c r="BI110" s="3123"/>
      <c r="BJ110" s="3123"/>
      <c r="BK110" s="3353"/>
      <c r="BL110" s="1996"/>
      <c r="BM110" s="1996"/>
      <c r="BN110" s="3382"/>
      <c r="BO110" s="3382"/>
      <c r="BP110" s="3382"/>
      <c r="BQ110" s="3382"/>
      <c r="BR110" s="3396"/>
      <c r="BS110" s="656"/>
      <c r="BT110" s="656"/>
    </row>
    <row r="111" spans="1:72" s="657" customFormat="1" ht="27" customHeight="1" x14ac:dyDescent="0.2">
      <c r="A111" s="3271"/>
      <c r="B111" s="3275"/>
      <c r="C111" s="3276"/>
      <c r="D111" s="3390"/>
      <c r="E111" s="3390"/>
      <c r="F111" s="3390"/>
      <c r="G111" s="656"/>
      <c r="H111" s="1903"/>
      <c r="I111" s="1904"/>
      <c r="J111" s="3356"/>
      <c r="K111" s="3392"/>
      <c r="L111" s="3345"/>
      <c r="M111" s="3347"/>
      <c r="N111" s="3347"/>
      <c r="O111" s="2018"/>
      <c r="P111" s="3420"/>
      <c r="Q111" s="3293"/>
      <c r="R111" s="3427"/>
      <c r="S111" s="3414"/>
      <c r="T111" s="3318"/>
      <c r="U111" s="3319"/>
      <c r="V111" s="2920" t="s">
        <v>1992</v>
      </c>
      <c r="W111" s="2017">
        <v>2000000</v>
      </c>
      <c r="X111" s="1917">
        <v>2000000</v>
      </c>
      <c r="Y111" s="1917">
        <v>1000000</v>
      </c>
      <c r="Z111" s="2026">
        <v>20</v>
      </c>
      <c r="AA111" s="1910" t="s">
        <v>86</v>
      </c>
      <c r="AB111" s="3426"/>
      <c r="AC111" s="3337"/>
      <c r="AD111" s="3389"/>
      <c r="AE111" s="3337"/>
      <c r="AF111" s="3389"/>
      <c r="AG111" s="3337"/>
      <c r="AH111" s="3389"/>
      <c r="AI111" s="3337"/>
      <c r="AJ111" s="3389"/>
      <c r="AK111" s="3337"/>
      <c r="AL111" s="3389"/>
      <c r="AM111" s="3337"/>
      <c r="AN111" s="3389"/>
      <c r="AO111" s="3337"/>
      <c r="AP111" s="3389"/>
      <c r="AQ111" s="3337"/>
      <c r="AR111" s="3389"/>
      <c r="AS111" s="3337"/>
      <c r="AT111" s="3389"/>
      <c r="AU111" s="3337"/>
      <c r="AV111" s="3389"/>
      <c r="AW111" s="3337"/>
      <c r="AX111" s="3389"/>
      <c r="AY111" s="3337"/>
      <c r="AZ111" s="3389"/>
      <c r="BA111" s="3337"/>
      <c r="BB111" s="3389"/>
      <c r="BC111" s="3337"/>
      <c r="BD111" s="3389"/>
      <c r="BE111" s="3337"/>
      <c r="BF111" s="3337"/>
      <c r="BG111" s="3337"/>
      <c r="BH111" s="3337"/>
      <c r="BI111" s="3123"/>
      <c r="BJ111" s="3123"/>
      <c r="BK111" s="3353"/>
      <c r="BL111" s="1996"/>
      <c r="BM111" s="1996"/>
      <c r="BN111" s="3382"/>
      <c r="BO111" s="3382"/>
      <c r="BP111" s="3382"/>
      <c r="BQ111" s="3382"/>
      <c r="BR111" s="3396"/>
      <c r="BS111" s="656"/>
      <c r="BT111" s="656"/>
    </row>
    <row r="112" spans="1:72" s="657" customFormat="1" ht="28.5" customHeight="1" x14ac:dyDescent="0.2">
      <c r="A112" s="3271"/>
      <c r="B112" s="3275"/>
      <c r="C112" s="3276"/>
      <c r="D112" s="3390"/>
      <c r="E112" s="3390"/>
      <c r="F112" s="3390"/>
      <c r="G112" s="656"/>
      <c r="H112" s="1903"/>
      <c r="I112" s="1904"/>
      <c r="J112" s="3356"/>
      <c r="K112" s="3392"/>
      <c r="L112" s="3345"/>
      <c r="M112" s="3347"/>
      <c r="N112" s="3347"/>
      <c r="O112" s="2018"/>
      <c r="P112" s="3420"/>
      <c r="Q112" s="3293"/>
      <c r="R112" s="3427"/>
      <c r="S112" s="3414"/>
      <c r="T112" s="3318"/>
      <c r="U112" s="3319"/>
      <c r="V112" s="2921"/>
      <c r="W112" s="2017">
        <v>0</v>
      </c>
      <c r="X112" s="1917">
        <v>0</v>
      </c>
      <c r="Y112" s="1917">
        <v>0</v>
      </c>
      <c r="Z112" s="2026">
        <v>88</v>
      </c>
      <c r="AA112" s="1910" t="s">
        <v>1993</v>
      </c>
      <c r="AB112" s="3426"/>
      <c r="AC112" s="3337"/>
      <c r="AD112" s="3389"/>
      <c r="AE112" s="3337"/>
      <c r="AF112" s="3389"/>
      <c r="AG112" s="3337"/>
      <c r="AH112" s="3389"/>
      <c r="AI112" s="3337"/>
      <c r="AJ112" s="3389"/>
      <c r="AK112" s="3337"/>
      <c r="AL112" s="3389"/>
      <c r="AM112" s="3337"/>
      <c r="AN112" s="3389"/>
      <c r="AO112" s="3337"/>
      <c r="AP112" s="3389"/>
      <c r="AQ112" s="3337"/>
      <c r="AR112" s="3389"/>
      <c r="AS112" s="3337"/>
      <c r="AT112" s="3389"/>
      <c r="AU112" s="3337"/>
      <c r="AV112" s="3389"/>
      <c r="AW112" s="3337"/>
      <c r="AX112" s="3389"/>
      <c r="AY112" s="3337"/>
      <c r="AZ112" s="3389"/>
      <c r="BA112" s="3337"/>
      <c r="BB112" s="3389"/>
      <c r="BC112" s="3337"/>
      <c r="BD112" s="3389"/>
      <c r="BE112" s="3337"/>
      <c r="BF112" s="3337"/>
      <c r="BG112" s="3337"/>
      <c r="BH112" s="3337"/>
      <c r="BI112" s="3123"/>
      <c r="BJ112" s="3123"/>
      <c r="BK112" s="3353"/>
      <c r="BL112" s="1996"/>
      <c r="BM112" s="1996"/>
      <c r="BN112" s="3382"/>
      <c r="BO112" s="3382"/>
      <c r="BP112" s="3382"/>
      <c r="BQ112" s="3382"/>
      <c r="BR112" s="3396"/>
      <c r="BS112" s="656"/>
      <c r="BT112" s="656"/>
    </row>
    <row r="113" spans="1:72" s="657" customFormat="1" ht="30.75" customHeight="1" x14ac:dyDescent="0.2">
      <c r="A113" s="3271"/>
      <c r="B113" s="3275"/>
      <c r="C113" s="3276"/>
      <c r="D113" s="3390"/>
      <c r="E113" s="3390"/>
      <c r="F113" s="3390"/>
      <c r="G113" s="656"/>
      <c r="H113" s="1903"/>
      <c r="I113" s="1904"/>
      <c r="J113" s="3356"/>
      <c r="K113" s="3392"/>
      <c r="L113" s="3345"/>
      <c r="M113" s="3347"/>
      <c r="N113" s="3347"/>
      <c r="O113" s="2018"/>
      <c r="P113" s="3420"/>
      <c r="Q113" s="3293"/>
      <c r="R113" s="3427"/>
      <c r="S113" s="3414"/>
      <c r="T113" s="3318"/>
      <c r="U113" s="3319"/>
      <c r="V113" s="2920" t="s">
        <v>1994</v>
      </c>
      <c r="W113" s="2017">
        <v>3000000</v>
      </c>
      <c r="X113" s="1917">
        <v>3000000</v>
      </c>
      <c r="Y113" s="1917">
        <v>351000</v>
      </c>
      <c r="Z113" s="2028">
        <v>20</v>
      </c>
      <c r="AA113" s="2029" t="s">
        <v>86</v>
      </c>
      <c r="AB113" s="3426"/>
      <c r="AC113" s="3337"/>
      <c r="AD113" s="3389"/>
      <c r="AE113" s="3337"/>
      <c r="AF113" s="3389"/>
      <c r="AG113" s="3337"/>
      <c r="AH113" s="3389"/>
      <c r="AI113" s="3337"/>
      <c r="AJ113" s="3389"/>
      <c r="AK113" s="3337"/>
      <c r="AL113" s="3389"/>
      <c r="AM113" s="3337"/>
      <c r="AN113" s="3389"/>
      <c r="AO113" s="3337"/>
      <c r="AP113" s="3389"/>
      <c r="AQ113" s="3337"/>
      <c r="AR113" s="3389"/>
      <c r="AS113" s="3337"/>
      <c r="AT113" s="3389"/>
      <c r="AU113" s="3337"/>
      <c r="AV113" s="3389"/>
      <c r="AW113" s="3337"/>
      <c r="AX113" s="3389"/>
      <c r="AY113" s="3337"/>
      <c r="AZ113" s="3389"/>
      <c r="BA113" s="3337"/>
      <c r="BB113" s="3389"/>
      <c r="BC113" s="3337"/>
      <c r="BD113" s="3389"/>
      <c r="BE113" s="3337"/>
      <c r="BF113" s="3337"/>
      <c r="BG113" s="3337"/>
      <c r="BH113" s="3337"/>
      <c r="BI113" s="3123"/>
      <c r="BJ113" s="3123"/>
      <c r="BK113" s="3353"/>
      <c r="BL113" s="1996"/>
      <c r="BM113" s="1996"/>
      <c r="BN113" s="3382"/>
      <c r="BO113" s="3382"/>
      <c r="BP113" s="3382"/>
      <c r="BQ113" s="3382"/>
      <c r="BR113" s="3396"/>
      <c r="BS113" s="656"/>
      <c r="BT113" s="656"/>
    </row>
    <row r="114" spans="1:72" s="657" customFormat="1" ht="31.5" customHeight="1" x14ac:dyDescent="0.2">
      <c r="A114" s="3271"/>
      <c r="B114" s="3275"/>
      <c r="C114" s="3276"/>
      <c r="D114" s="3390"/>
      <c r="E114" s="3390"/>
      <c r="F114" s="3390"/>
      <c r="G114" s="656"/>
      <c r="H114" s="1927"/>
      <c r="I114" s="1928"/>
      <c r="J114" s="3356"/>
      <c r="K114" s="3392"/>
      <c r="L114" s="3345"/>
      <c r="M114" s="3347"/>
      <c r="N114" s="3347"/>
      <c r="O114" s="2018"/>
      <c r="P114" s="3420"/>
      <c r="Q114" s="3293"/>
      <c r="R114" s="3427"/>
      <c r="S114" s="3415"/>
      <c r="T114" s="3318"/>
      <c r="U114" s="3319"/>
      <c r="V114" s="2921"/>
      <c r="W114" s="2017">
        <v>0</v>
      </c>
      <c r="X114" s="1917"/>
      <c r="Y114" s="1917"/>
      <c r="Z114" s="2028">
        <v>88</v>
      </c>
      <c r="AA114" s="1910" t="s">
        <v>1993</v>
      </c>
      <c r="AB114" s="3426"/>
      <c r="AC114" s="3338"/>
      <c r="AD114" s="3389"/>
      <c r="AE114" s="3338"/>
      <c r="AF114" s="3389"/>
      <c r="AG114" s="3338"/>
      <c r="AH114" s="3389"/>
      <c r="AI114" s="3338"/>
      <c r="AJ114" s="3389"/>
      <c r="AK114" s="3338"/>
      <c r="AL114" s="3389"/>
      <c r="AM114" s="3338"/>
      <c r="AN114" s="3389"/>
      <c r="AO114" s="3338"/>
      <c r="AP114" s="3389"/>
      <c r="AQ114" s="3338"/>
      <c r="AR114" s="3389"/>
      <c r="AS114" s="3338"/>
      <c r="AT114" s="3389"/>
      <c r="AU114" s="3338"/>
      <c r="AV114" s="3389"/>
      <c r="AW114" s="3338"/>
      <c r="AX114" s="3389"/>
      <c r="AY114" s="3338"/>
      <c r="AZ114" s="3389"/>
      <c r="BA114" s="3338"/>
      <c r="BB114" s="3389"/>
      <c r="BC114" s="3338"/>
      <c r="BD114" s="3389"/>
      <c r="BE114" s="3338"/>
      <c r="BF114" s="3338"/>
      <c r="BG114" s="3338"/>
      <c r="BH114" s="3338"/>
      <c r="BI114" s="3124"/>
      <c r="BJ114" s="3124"/>
      <c r="BK114" s="3354"/>
      <c r="BL114" s="2012"/>
      <c r="BM114" s="2012"/>
      <c r="BN114" s="3383"/>
      <c r="BO114" s="3383"/>
      <c r="BP114" s="3383"/>
      <c r="BQ114" s="3383"/>
      <c r="BR114" s="3396"/>
      <c r="BS114" s="656"/>
      <c r="BT114" s="656"/>
    </row>
    <row r="115" spans="1:72" s="656" customFormat="1" ht="15" customHeight="1" x14ac:dyDescent="0.2">
      <c r="A115" s="3271"/>
      <c r="B115" s="3275"/>
      <c r="C115" s="3276"/>
      <c r="D115" s="1964">
        <v>25</v>
      </c>
      <c r="E115" s="1965" t="s">
        <v>1995</v>
      </c>
      <c r="F115" s="1965"/>
      <c r="G115" s="1874"/>
      <c r="H115" s="1874"/>
      <c r="I115" s="1874"/>
      <c r="J115" s="1966"/>
      <c r="K115" s="1967"/>
      <c r="L115" s="1968"/>
      <c r="M115" s="1969"/>
      <c r="N115" s="1969"/>
      <c r="O115" s="1878"/>
      <c r="P115" s="1875"/>
      <c r="Q115" s="1877"/>
      <c r="R115" s="1970"/>
      <c r="S115" s="1971" t="s">
        <v>1996</v>
      </c>
      <c r="T115" s="1968"/>
      <c r="U115" s="1967"/>
      <c r="V115" s="1967"/>
      <c r="W115" s="1972"/>
      <c r="X115" s="1972"/>
      <c r="Y115" s="1973"/>
      <c r="Z115" s="1974"/>
      <c r="AA115" s="1974"/>
      <c r="AB115" s="1874"/>
      <c r="AC115" s="1874"/>
      <c r="AD115" s="1874"/>
      <c r="AE115" s="1874"/>
      <c r="AF115" s="1874"/>
      <c r="AG115" s="1874"/>
      <c r="AH115" s="1874"/>
      <c r="AI115" s="1874"/>
      <c r="AJ115" s="1874"/>
      <c r="AK115" s="1874"/>
      <c r="AL115" s="1874"/>
      <c r="AM115" s="1874"/>
      <c r="AN115" s="1874"/>
      <c r="AO115" s="1874"/>
      <c r="AP115" s="1874"/>
      <c r="AQ115" s="1874"/>
      <c r="AR115" s="1874"/>
      <c r="AS115" s="1874"/>
      <c r="AT115" s="1874"/>
      <c r="AU115" s="1874"/>
      <c r="AV115" s="1874"/>
      <c r="AW115" s="1874"/>
      <c r="AX115" s="1874"/>
      <c r="AY115" s="1874"/>
      <c r="AZ115" s="1874"/>
      <c r="BA115" s="1874"/>
      <c r="BB115" s="1883"/>
      <c r="BC115" s="1883"/>
      <c r="BD115" s="1877"/>
      <c r="BE115" s="1877"/>
      <c r="BF115" s="1877"/>
      <c r="BG115" s="1877"/>
      <c r="BH115" s="1877"/>
      <c r="BI115" s="1975"/>
      <c r="BJ115" s="1975"/>
      <c r="BK115" s="1877"/>
      <c r="BL115" s="1877"/>
      <c r="BM115" s="1877"/>
      <c r="BN115" s="1877"/>
      <c r="BO115" s="1877"/>
      <c r="BP115" s="1877"/>
      <c r="BQ115" s="1877"/>
      <c r="BR115" s="1884"/>
    </row>
    <row r="116" spans="1:72" s="656" customFormat="1" ht="15" customHeight="1" x14ac:dyDescent="0.2">
      <c r="A116" s="3271"/>
      <c r="B116" s="3275"/>
      <c r="C116" s="3276"/>
      <c r="D116" s="3390"/>
      <c r="E116" s="3390"/>
      <c r="F116" s="3390"/>
      <c r="G116" s="1886">
        <v>81</v>
      </c>
      <c r="H116" s="1366" t="s">
        <v>1997</v>
      </c>
      <c r="I116" s="1366"/>
      <c r="J116" s="1887"/>
      <c r="K116" s="1888"/>
      <c r="L116" s="1889"/>
      <c r="M116" s="1433"/>
      <c r="N116" s="1433"/>
      <c r="O116" s="1434"/>
      <c r="P116" s="1438"/>
      <c r="Q116" s="1368"/>
      <c r="R116" s="1890"/>
      <c r="S116" s="1976"/>
      <c r="T116" s="1889"/>
      <c r="U116" s="1888"/>
      <c r="V116" s="1888"/>
      <c r="W116" s="1937"/>
      <c r="X116" s="1937"/>
      <c r="Y116" s="1938"/>
      <c r="Z116" s="1977"/>
      <c r="AA116" s="1977"/>
      <c r="AB116" s="1978"/>
      <c r="AC116" s="1978"/>
      <c r="AD116" s="1978"/>
      <c r="AE116" s="1978"/>
      <c r="AF116" s="1978"/>
      <c r="AG116" s="1978"/>
      <c r="AH116" s="1978"/>
      <c r="AI116" s="1978"/>
      <c r="AJ116" s="1978"/>
      <c r="AK116" s="1978"/>
      <c r="AL116" s="1978"/>
      <c r="AM116" s="1978"/>
      <c r="AN116" s="1978"/>
      <c r="AO116" s="1978"/>
      <c r="AP116" s="1978"/>
      <c r="AQ116" s="1978"/>
      <c r="AR116" s="1978"/>
      <c r="AS116" s="1978"/>
      <c r="AT116" s="1978"/>
      <c r="AU116" s="1978"/>
      <c r="AV116" s="1978"/>
      <c r="AW116" s="1978"/>
      <c r="AX116" s="1978"/>
      <c r="AY116" s="1978"/>
      <c r="AZ116" s="1374"/>
      <c r="BA116" s="1374"/>
      <c r="BB116" s="1374"/>
      <c r="BC116" s="1374"/>
      <c r="BD116" s="1368"/>
      <c r="BE116" s="1368"/>
      <c r="BF116" s="1368"/>
      <c r="BG116" s="1368"/>
      <c r="BH116" s="1368"/>
      <c r="BI116" s="2030"/>
      <c r="BJ116" s="2030"/>
      <c r="BK116" s="1368"/>
      <c r="BL116" s="1368"/>
      <c r="BM116" s="1368"/>
      <c r="BN116" s="1368"/>
      <c r="BO116" s="1368"/>
      <c r="BP116" s="1368"/>
      <c r="BQ116" s="1368"/>
      <c r="BR116" s="1375"/>
    </row>
    <row r="117" spans="1:72" s="657" customFormat="1" ht="51" customHeight="1" x14ac:dyDescent="0.2">
      <c r="A117" s="3271"/>
      <c r="B117" s="3275"/>
      <c r="C117" s="3276"/>
      <c r="D117" s="3390"/>
      <c r="E117" s="3390"/>
      <c r="F117" s="3390"/>
      <c r="G117" s="656"/>
      <c r="H117" s="1896"/>
      <c r="I117" s="1897"/>
      <c r="J117" s="3357">
        <v>236</v>
      </c>
      <c r="K117" s="3283" t="s">
        <v>1998</v>
      </c>
      <c r="L117" s="3283" t="s">
        <v>1999</v>
      </c>
      <c r="M117" s="3357">
        <v>3</v>
      </c>
      <c r="N117" s="3428">
        <v>2</v>
      </c>
      <c r="O117" s="2031"/>
      <c r="P117" s="3420" t="s">
        <v>2000</v>
      </c>
      <c r="Q117" s="3293" t="s">
        <v>2001</v>
      </c>
      <c r="R117" s="2032">
        <f>SUM(W117)/S117</f>
        <v>0.10655249612215607</v>
      </c>
      <c r="S117" s="3430">
        <f>SUM(W117:W141)</f>
        <v>955866861</v>
      </c>
      <c r="T117" s="3318" t="s">
        <v>2002</v>
      </c>
      <c r="U117" s="3318" t="s">
        <v>2003</v>
      </c>
      <c r="V117" s="3285" t="s">
        <v>2004</v>
      </c>
      <c r="W117" s="1913">
        <v>101850000</v>
      </c>
      <c r="X117" s="1325">
        <v>96850000</v>
      </c>
      <c r="Y117" s="1325">
        <f>16362366+12777533+16362366</f>
        <v>45502265</v>
      </c>
      <c r="Z117" s="2033" t="s">
        <v>356</v>
      </c>
      <c r="AA117" s="1910" t="s">
        <v>1910</v>
      </c>
      <c r="AB117" s="3371">
        <v>9110</v>
      </c>
      <c r="AC117" s="3336" t="s">
        <v>2005</v>
      </c>
      <c r="AD117" s="3371">
        <v>8787</v>
      </c>
      <c r="AE117" s="3336" t="s">
        <v>2006</v>
      </c>
      <c r="AF117" s="3336">
        <v>4273</v>
      </c>
      <c r="AG117" s="3371">
        <v>1406</v>
      </c>
      <c r="AH117" s="3371">
        <v>3599</v>
      </c>
      <c r="AI117" s="3371">
        <v>1345</v>
      </c>
      <c r="AJ117" s="3371">
        <v>7463</v>
      </c>
      <c r="AK117" s="3371">
        <v>1850</v>
      </c>
      <c r="AL117" s="3371">
        <v>2562</v>
      </c>
      <c r="AM117" s="3371">
        <v>1005</v>
      </c>
      <c r="AN117" s="3326"/>
      <c r="AO117" s="3326"/>
      <c r="AP117" s="3326"/>
      <c r="AQ117" s="3326"/>
      <c r="AR117" s="3326"/>
      <c r="AS117" s="3326"/>
      <c r="AT117" s="3326"/>
      <c r="AU117" s="3326"/>
      <c r="AV117" s="3326"/>
      <c r="AW117" s="3326"/>
      <c r="AX117" s="3326"/>
      <c r="AY117" s="3326"/>
      <c r="AZ117" s="3326"/>
      <c r="BA117" s="3326"/>
      <c r="BB117" s="3326"/>
      <c r="BC117" s="3326"/>
      <c r="BD117" s="3326"/>
      <c r="BE117" s="3326"/>
      <c r="BF117" s="3336">
        <v>17897</v>
      </c>
      <c r="BG117" s="3336">
        <v>8941</v>
      </c>
      <c r="BH117" s="3446">
        <v>31</v>
      </c>
      <c r="BI117" s="3339">
        <f>SUM(X117:X141)</f>
        <v>420322332</v>
      </c>
      <c r="BJ117" s="3339">
        <f>SUM(Y117:Y141)</f>
        <v>184670895</v>
      </c>
      <c r="BK117" s="3352">
        <f>BJ117/BI117</f>
        <v>0.4393554206869979</v>
      </c>
      <c r="BL117" s="3336">
        <v>20</v>
      </c>
      <c r="BM117" s="3154" t="s">
        <v>2007</v>
      </c>
      <c r="BN117" s="3381">
        <v>43480</v>
      </c>
      <c r="BO117" s="3169">
        <v>43631</v>
      </c>
      <c r="BP117" s="3381">
        <v>43819</v>
      </c>
      <c r="BQ117" s="3169">
        <v>43819</v>
      </c>
      <c r="BR117" s="3400" t="s">
        <v>1884</v>
      </c>
      <c r="BS117" s="656"/>
      <c r="BT117" s="656"/>
    </row>
    <row r="118" spans="1:72" s="657" customFormat="1" ht="51" customHeight="1" x14ac:dyDescent="0.2">
      <c r="A118" s="3271"/>
      <c r="B118" s="3275"/>
      <c r="C118" s="3276"/>
      <c r="D118" s="3390"/>
      <c r="E118" s="3390"/>
      <c r="F118" s="3390"/>
      <c r="G118" s="656"/>
      <c r="H118" s="1903"/>
      <c r="I118" s="1904"/>
      <c r="J118" s="3359"/>
      <c r="K118" s="3284"/>
      <c r="L118" s="3284"/>
      <c r="M118" s="3359"/>
      <c r="N118" s="3429"/>
      <c r="O118" s="2031"/>
      <c r="P118" s="3420"/>
      <c r="Q118" s="3293"/>
      <c r="R118" s="2032">
        <f>SUM(W118)/S117</f>
        <v>7.793930414332044E-2</v>
      </c>
      <c r="S118" s="3431"/>
      <c r="T118" s="3318"/>
      <c r="U118" s="3318"/>
      <c r="V118" s="3286"/>
      <c r="W118" s="1913">
        <v>74499598</v>
      </c>
      <c r="X118" s="1325">
        <v>0</v>
      </c>
      <c r="Y118" s="1913">
        <v>0</v>
      </c>
      <c r="Z118" s="2033">
        <v>88</v>
      </c>
      <c r="AA118" s="1910" t="s">
        <v>1993</v>
      </c>
      <c r="AB118" s="3443"/>
      <c r="AC118" s="3337"/>
      <c r="AD118" s="3443"/>
      <c r="AE118" s="3337"/>
      <c r="AF118" s="3337"/>
      <c r="AG118" s="3443"/>
      <c r="AH118" s="3443"/>
      <c r="AI118" s="3443"/>
      <c r="AJ118" s="3443"/>
      <c r="AK118" s="3443"/>
      <c r="AL118" s="3443"/>
      <c r="AM118" s="3443"/>
      <c r="AN118" s="3327"/>
      <c r="AO118" s="3327"/>
      <c r="AP118" s="3327"/>
      <c r="AQ118" s="3327"/>
      <c r="AR118" s="3327"/>
      <c r="AS118" s="3327"/>
      <c r="AT118" s="3327"/>
      <c r="AU118" s="3327"/>
      <c r="AV118" s="3327"/>
      <c r="AW118" s="3327"/>
      <c r="AX118" s="3327"/>
      <c r="AY118" s="3327"/>
      <c r="AZ118" s="3327"/>
      <c r="BA118" s="3327"/>
      <c r="BB118" s="3327"/>
      <c r="BC118" s="3327"/>
      <c r="BD118" s="3327"/>
      <c r="BE118" s="3327"/>
      <c r="BF118" s="3337"/>
      <c r="BG118" s="3337"/>
      <c r="BH118" s="3447"/>
      <c r="BI118" s="3123"/>
      <c r="BJ118" s="3123"/>
      <c r="BK118" s="3353"/>
      <c r="BL118" s="3337"/>
      <c r="BM118" s="3182"/>
      <c r="BN118" s="3382"/>
      <c r="BO118" s="3355"/>
      <c r="BP118" s="3382"/>
      <c r="BQ118" s="3355"/>
      <c r="BR118" s="3400"/>
      <c r="BS118" s="656"/>
      <c r="BT118" s="656"/>
    </row>
    <row r="119" spans="1:72" s="657" customFormat="1" ht="40.5" customHeight="1" x14ac:dyDescent="0.2">
      <c r="A119" s="3271"/>
      <c r="B119" s="3275"/>
      <c r="C119" s="3276"/>
      <c r="D119" s="3390"/>
      <c r="E119" s="3390"/>
      <c r="F119" s="3390"/>
      <c r="G119" s="656"/>
      <c r="H119" s="1903"/>
      <c r="I119" s="1904"/>
      <c r="J119" s="3356">
        <v>237</v>
      </c>
      <c r="K119" s="3392" t="s">
        <v>2008</v>
      </c>
      <c r="L119" s="3345" t="s">
        <v>2009</v>
      </c>
      <c r="M119" s="3449">
        <v>5</v>
      </c>
      <c r="N119" s="3347">
        <v>12</v>
      </c>
      <c r="O119" s="2031"/>
      <c r="P119" s="3420"/>
      <c r="Q119" s="3293"/>
      <c r="R119" s="3442">
        <f>SUM(W119:W120)/S117</f>
        <v>2.0923416027914792E-2</v>
      </c>
      <c r="S119" s="3431"/>
      <c r="T119" s="3318"/>
      <c r="U119" s="3318"/>
      <c r="V119" s="1912" t="s">
        <v>2010</v>
      </c>
      <c r="W119" s="1913">
        <v>10000000</v>
      </c>
      <c r="X119" s="1913">
        <v>10000000</v>
      </c>
      <c r="Y119" s="1913">
        <v>5000000</v>
      </c>
      <c r="Z119" s="2026">
        <v>20</v>
      </c>
      <c r="AA119" s="1910" t="s">
        <v>86</v>
      </c>
      <c r="AB119" s="3443"/>
      <c r="AC119" s="3337"/>
      <c r="AD119" s="3443"/>
      <c r="AE119" s="3337"/>
      <c r="AF119" s="3337"/>
      <c r="AG119" s="3443"/>
      <c r="AH119" s="3443"/>
      <c r="AI119" s="3443"/>
      <c r="AJ119" s="3443"/>
      <c r="AK119" s="3443"/>
      <c r="AL119" s="3443"/>
      <c r="AM119" s="3443"/>
      <c r="AN119" s="3327"/>
      <c r="AO119" s="3327"/>
      <c r="AP119" s="3327"/>
      <c r="AQ119" s="3327"/>
      <c r="AR119" s="3327"/>
      <c r="AS119" s="3327"/>
      <c r="AT119" s="3327"/>
      <c r="AU119" s="3327"/>
      <c r="AV119" s="3327"/>
      <c r="AW119" s="3327"/>
      <c r="AX119" s="3327"/>
      <c r="AY119" s="3327"/>
      <c r="AZ119" s="3327"/>
      <c r="BA119" s="3327"/>
      <c r="BB119" s="3327"/>
      <c r="BC119" s="3327"/>
      <c r="BD119" s="3327"/>
      <c r="BE119" s="3327"/>
      <c r="BF119" s="3337"/>
      <c r="BG119" s="3337"/>
      <c r="BH119" s="3447"/>
      <c r="BI119" s="3123"/>
      <c r="BJ119" s="3123"/>
      <c r="BK119" s="3353"/>
      <c r="BL119" s="3337"/>
      <c r="BM119" s="3182"/>
      <c r="BN119" s="3382"/>
      <c r="BO119" s="3355"/>
      <c r="BP119" s="3382"/>
      <c r="BQ119" s="3355"/>
      <c r="BR119" s="3161"/>
      <c r="BS119" s="3342"/>
      <c r="BT119" s="656"/>
    </row>
    <row r="120" spans="1:72" s="657" customFormat="1" ht="59.25" customHeight="1" x14ac:dyDescent="0.2">
      <c r="A120" s="3271"/>
      <c r="B120" s="3275"/>
      <c r="C120" s="3276"/>
      <c r="D120" s="3390"/>
      <c r="E120" s="3390"/>
      <c r="F120" s="3390"/>
      <c r="G120" s="656"/>
      <c r="H120" s="1903"/>
      <c r="I120" s="1904"/>
      <c r="J120" s="3356"/>
      <c r="K120" s="3392"/>
      <c r="L120" s="3345"/>
      <c r="M120" s="3449"/>
      <c r="N120" s="3347"/>
      <c r="O120" s="2031"/>
      <c r="P120" s="3420"/>
      <c r="Q120" s="3293"/>
      <c r="R120" s="3442"/>
      <c r="S120" s="3431"/>
      <c r="T120" s="3318"/>
      <c r="U120" s="3318"/>
      <c r="V120" s="1912" t="s">
        <v>2011</v>
      </c>
      <c r="W120" s="1913">
        <v>10000000</v>
      </c>
      <c r="X120" s="1913">
        <v>10000000</v>
      </c>
      <c r="Y120" s="1913">
        <v>10000000</v>
      </c>
      <c r="Z120" s="2026">
        <v>20</v>
      </c>
      <c r="AA120" s="1910" t="s">
        <v>86</v>
      </c>
      <c r="AB120" s="3443"/>
      <c r="AC120" s="3337"/>
      <c r="AD120" s="3443"/>
      <c r="AE120" s="3337"/>
      <c r="AF120" s="3337"/>
      <c r="AG120" s="3443"/>
      <c r="AH120" s="3443"/>
      <c r="AI120" s="3443"/>
      <c r="AJ120" s="3443"/>
      <c r="AK120" s="3443"/>
      <c r="AL120" s="3443"/>
      <c r="AM120" s="3443"/>
      <c r="AN120" s="3327"/>
      <c r="AO120" s="3327"/>
      <c r="AP120" s="3327"/>
      <c r="AQ120" s="3327"/>
      <c r="AR120" s="3327"/>
      <c r="AS120" s="3327"/>
      <c r="AT120" s="3327"/>
      <c r="AU120" s="3327"/>
      <c r="AV120" s="3327"/>
      <c r="AW120" s="3327"/>
      <c r="AX120" s="3327"/>
      <c r="AY120" s="3327"/>
      <c r="AZ120" s="3327"/>
      <c r="BA120" s="3327"/>
      <c r="BB120" s="3327"/>
      <c r="BC120" s="3327"/>
      <c r="BD120" s="3327"/>
      <c r="BE120" s="3327"/>
      <c r="BF120" s="3337"/>
      <c r="BG120" s="3337"/>
      <c r="BH120" s="3447"/>
      <c r="BI120" s="3123"/>
      <c r="BJ120" s="3123"/>
      <c r="BK120" s="3353"/>
      <c r="BL120" s="3337"/>
      <c r="BM120" s="3182"/>
      <c r="BN120" s="3382"/>
      <c r="BO120" s="3355"/>
      <c r="BP120" s="3382"/>
      <c r="BQ120" s="3355"/>
      <c r="BR120" s="3161"/>
      <c r="BS120" s="3342"/>
      <c r="BT120" s="656"/>
    </row>
    <row r="121" spans="1:72" s="657" customFormat="1" ht="35.25" customHeight="1" x14ac:dyDescent="0.2">
      <c r="A121" s="3271"/>
      <c r="B121" s="3275"/>
      <c r="C121" s="3276"/>
      <c r="D121" s="3390"/>
      <c r="E121" s="3390"/>
      <c r="F121" s="3390"/>
      <c r="G121" s="656"/>
      <c r="H121" s="1903"/>
      <c r="I121" s="1904"/>
      <c r="J121" s="3356">
        <v>238</v>
      </c>
      <c r="K121" s="3392" t="s">
        <v>2012</v>
      </c>
      <c r="L121" s="3345" t="s">
        <v>2013</v>
      </c>
      <c r="M121" s="3356">
        <v>12</v>
      </c>
      <c r="N121" s="3347">
        <v>12</v>
      </c>
      <c r="O121" s="2031"/>
      <c r="P121" s="3420"/>
      <c r="Q121" s="3293"/>
      <c r="R121" s="3427">
        <f>SUM(W121:W127)/S117</f>
        <v>8.1501187224441288E-2</v>
      </c>
      <c r="S121" s="3431"/>
      <c r="T121" s="3318"/>
      <c r="U121" s="3318"/>
      <c r="V121" s="3285" t="s">
        <v>2014</v>
      </c>
      <c r="W121" s="1913">
        <v>18440166</v>
      </c>
      <c r="X121" s="1913">
        <v>18440166</v>
      </c>
      <c r="Y121" s="1913">
        <v>9204166</v>
      </c>
      <c r="Z121" s="2026">
        <v>20</v>
      </c>
      <c r="AA121" s="1910" t="s">
        <v>86</v>
      </c>
      <c r="AB121" s="3443"/>
      <c r="AC121" s="3337"/>
      <c r="AD121" s="3443"/>
      <c r="AE121" s="3337"/>
      <c r="AF121" s="3337"/>
      <c r="AG121" s="3443"/>
      <c r="AH121" s="3443"/>
      <c r="AI121" s="3443"/>
      <c r="AJ121" s="3443"/>
      <c r="AK121" s="3443"/>
      <c r="AL121" s="3443"/>
      <c r="AM121" s="3443"/>
      <c r="AN121" s="3327"/>
      <c r="AO121" s="3327"/>
      <c r="AP121" s="3327"/>
      <c r="AQ121" s="3327"/>
      <c r="AR121" s="3327"/>
      <c r="AS121" s="3327"/>
      <c r="AT121" s="3327"/>
      <c r="AU121" s="3327"/>
      <c r="AV121" s="3327"/>
      <c r="AW121" s="3327"/>
      <c r="AX121" s="3327"/>
      <c r="AY121" s="3327"/>
      <c r="AZ121" s="3327"/>
      <c r="BA121" s="3327"/>
      <c r="BB121" s="3327"/>
      <c r="BC121" s="3327"/>
      <c r="BD121" s="3327"/>
      <c r="BE121" s="3327"/>
      <c r="BF121" s="3337"/>
      <c r="BG121" s="3337"/>
      <c r="BH121" s="3447"/>
      <c r="BI121" s="3123"/>
      <c r="BJ121" s="3123"/>
      <c r="BK121" s="3353"/>
      <c r="BL121" s="3337"/>
      <c r="BM121" s="3182"/>
      <c r="BN121" s="3382"/>
      <c r="BO121" s="3355"/>
      <c r="BP121" s="3382"/>
      <c r="BQ121" s="3355"/>
      <c r="BR121" s="3161"/>
      <c r="BS121" s="3342"/>
      <c r="BT121" s="656"/>
    </row>
    <row r="122" spans="1:72" s="657" customFormat="1" ht="35.25" customHeight="1" x14ac:dyDescent="0.2">
      <c r="A122" s="3271"/>
      <c r="B122" s="3275"/>
      <c r="C122" s="3276"/>
      <c r="D122" s="3390"/>
      <c r="E122" s="3390"/>
      <c r="F122" s="3390"/>
      <c r="G122" s="656"/>
      <c r="H122" s="1903"/>
      <c r="I122" s="1904"/>
      <c r="J122" s="3356"/>
      <c r="K122" s="3392"/>
      <c r="L122" s="3345"/>
      <c r="M122" s="3356"/>
      <c r="N122" s="3347"/>
      <c r="O122" s="2031"/>
      <c r="P122" s="3420"/>
      <c r="Q122" s="3293"/>
      <c r="R122" s="3427"/>
      <c r="S122" s="3431"/>
      <c r="T122" s="3318"/>
      <c r="U122" s="3318"/>
      <c r="V122" s="3286"/>
      <c r="W122" s="1913">
        <v>20000000</v>
      </c>
      <c r="X122" s="1913">
        <v>0</v>
      </c>
      <c r="Y122" s="1913">
        <v>0</v>
      </c>
      <c r="Z122" s="2026">
        <v>88</v>
      </c>
      <c r="AA122" s="1910" t="s">
        <v>1993</v>
      </c>
      <c r="AB122" s="3443"/>
      <c r="AC122" s="3337"/>
      <c r="AD122" s="3443"/>
      <c r="AE122" s="3337"/>
      <c r="AF122" s="3337"/>
      <c r="AG122" s="3443"/>
      <c r="AH122" s="3443"/>
      <c r="AI122" s="3443"/>
      <c r="AJ122" s="3443"/>
      <c r="AK122" s="3443"/>
      <c r="AL122" s="3443"/>
      <c r="AM122" s="3443"/>
      <c r="AN122" s="3327"/>
      <c r="AO122" s="3327"/>
      <c r="AP122" s="3327"/>
      <c r="AQ122" s="3327"/>
      <c r="AR122" s="3327"/>
      <c r="AS122" s="3327"/>
      <c r="AT122" s="3327"/>
      <c r="AU122" s="3327"/>
      <c r="AV122" s="3327"/>
      <c r="AW122" s="3327"/>
      <c r="AX122" s="3327"/>
      <c r="AY122" s="3327"/>
      <c r="AZ122" s="3327"/>
      <c r="BA122" s="3327"/>
      <c r="BB122" s="3327"/>
      <c r="BC122" s="3327"/>
      <c r="BD122" s="3327"/>
      <c r="BE122" s="3327"/>
      <c r="BF122" s="3337"/>
      <c r="BG122" s="3337"/>
      <c r="BH122" s="3447"/>
      <c r="BI122" s="3123"/>
      <c r="BJ122" s="3123"/>
      <c r="BK122" s="3353"/>
      <c r="BL122" s="3337"/>
      <c r="BM122" s="3182"/>
      <c r="BN122" s="3382"/>
      <c r="BO122" s="3355"/>
      <c r="BP122" s="3382"/>
      <c r="BQ122" s="3355"/>
      <c r="BR122" s="3161"/>
      <c r="BS122" s="1915"/>
      <c r="BT122" s="656"/>
    </row>
    <row r="123" spans="1:72" s="657" customFormat="1" ht="33.75" customHeight="1" x14ac:dyDescent="0.2">
      <c r="A123" s="3271"/>
      <c r="B123" s="3275"/>
      <c r="C123" s="3276"/>
      <c r="D123" s="3390"/>
      <c r="E123" s="3390"/>
      <c r="F123" s="3390"/>
      <c r="G123" s="656"/>
      <c r="H123" s="1903"/>
      <c r="I123" s="1904"/>
      <c r="J123" s="3356"/>
      <c r="K123" s="3392"/>
      <c r="L123" s="3345"/>
      <c r="M123" s="3356"/>
      <c r="N123" s="3347"/>
      <c r="O123" s="2031"/>
      <c r="P123" s="3420"/>
      <c r="Q123" s="3293"/>
      <c r="R123" s="3427"/>
      <c r="S123" s="3431"/>
      <c r="T123" s="3318"/>
      <c r="U123" s="3318"/>
      <c r="V123" s="3285" t="s">
        <v>2015</v>
      </c>
      <c r="W123" s="1913">
        <v>0</v>
      </c>
      <c r="X123" s="1913">
        <v>0</v>
      </c>
      <c r="Y123" s="1913">
        <v>0</v>
      </c>
      <c r="Z123" s="2026">
        <v>20</v>
      </c>
      <c r="AA123" s="1910" t="s">
        <v>86</v>
      </c>
      <c r="AB123" s="3443"/>
      <c r="AC123" s="3337"/>
      <c r="AD123" s="3443"/>
      <c r="AE123" s="3337"/>
      <c r="AF123" s="3337"/>
      <c r="AG123" s="3443"/>
      <c r="AH123" s="3443"/>
      <c r="AI123" s="3443"/>
      <c r="AJ123" s="3443"/>
      <c r="AK123" s="3443"/>
      <c r="AL123" s="3443"/>
      <c r="AM123" s="3443"/>
      <c r="AN123" s="3327"/>
      <c r="AO123" s="3327"/>
      <c r="AP123" s="3327"/>
      <c r="AQ123" s="3327"/>
      <c r="AR123" s="3327"/>
      <c r="AS123" s="3327"/>
      <c r="AT123" s="3327"/>
      <c r="AU123" s="3327"/>
      <c r="AV123" s="3327"/>
      <c r="AW123" s="3327"/>
      <c r="AX123" s="3327"/>
      <c r="AY123" s="3327"/>
      <c r="AZ123" s="3327"/>
      <c r="BA123" s="3327"/>
      <c r="BB123" s="3327"/>
      <c r="BC123" s="3327"/>
      <c r="BD123" s="3327"/>
      <c r="BE123" s="3327"/>
      <c r="BF123" s="3337"/>
      <c r="BG123" s="3337"/>
      <c r="BH123" s="3447"/>
      <c r="BI123" s="3123"/>
      <c r="BJ123" s="3123"/>
      <c r="BK123" s="3353"/>
      <c r="BL123" s="3337"/>
      <c r="BM123" s="3182"/>
      <c r="BN123" s="3382"/>
      <c r="BO123" s="3355"/>
      <c r="BP123" s="3382"/>
      <c r="BQ123" s="3355"/>
      <c r="BR123" s="3161"/>
      <c r="BS123" s="656"/>
      <c r="BT123" s="656"/>
    </row>
    <row r="124" spans="1:72" s="657" customFormat="1" ht="33.75" customHeight="1" x14ac:dyDescent="0.2">
      <c r="A124" s="3271"/>
      <c r="B124" s="3275"/>
      <c r="C124" s="3276"/>
      <c r="D124" s="3390"/>
      <c r="E124" s="3390"/>
      <c r="F124" s="3390"/>
      <c r="G124" s="656"/>
      <c r="H124" s="1903"/>
      <c r="I124" s="1904"/>
      <c r="J124" s="3356"/>
      <c r="K124" s="3392"/>
      <c r="L124" s="3345"/>
      <c r="M124" s="3356"/>
      <c r="N124" s="3347"/>
      <c r="O124" s="2031"/>
      <c r="P124" s="3420"/>
      <c r="Q124" s="3293"/>
      <c r="R124" s="3427"/>
      <c r="S124" s="3431"/>
      <c r="T124" s="3318"/>
      <c r="U124" s="3318"/>
      <c r="V124" s="3286"/>
      <c r="W124" s="1913">
        <v>15000000</v>
      </c>
      <c r="X124" s="1913">
        <v>0</v>
      </c>
      <c r="Y124" s="1913">
        <v>0</v>
      </c>
      <c r="Z124" s="2026">
        <v>88</v>
      </c>
      <c r="AA124" s="1910" t="s">
        <v>1993</v>
      </c>
      <c r="AB124" s="3443"/>
      <c r="AC124" s="3337"/>
      <c r="AD124" s="3443"/>
      <c r="AE124" s="3337"/>
      <c r="AF124" s="3337"/>
      <c r="AG124" s="3443"/>
      <c r="AH124" s="3443"/>
      <c r="AI124" s="3443"/>
      <c r="AJ124" s="3443"/>
      <c r="AK124" s="3443"/>
      <c r="AL124" s="3443"/>
      <c r="AM124" s="3443"/>
      <c r="AN124" s="3327"/>
      <c r="AO124" s="3327"/>
      <c r="AP124" s="3327"/>
      <c r="AQ124" s="3327"/>
      <c r="AR124" s="3327"/>
      <c r="AS124" s="3327"/>
      <c r="AT124" s="3327"/>
      <c r="AU124" s="3327"/>
      <c r="AV124" s="3327"/>
      <c r="AW124" s="3327"/>
      <c r="AX124" s="3327"/>
      <c r="AY124" s="3327"/>
      <c r="AZ124" s="3327"/>
      <c r="BA124" s="3327"/>
      <c r="BB124" s="3327"/>
      <c r="BC124" s="3327"/>
      <c r="BD124" s="3327"/>
      <c r="BE124" s="3327"/>
      <c r="BF124" s="3337"/>
      <c r="BG124" s="3337"/>
      <c r="BH124" s="3447"/>
      <c r="BI124" s="3123"/>
      <c r="BJ124" s="3123"/>
      <c r="BK124" s="3353"/>
      <c r="BL124" s="3337"/>
      <c r="BM124" s="3182"/>
      <c r="BN124" s="3382"/>
      <c r="BO124" s="3355"/>
      <c r="BP124" s="3382"/>
      <c r="BQ124" s="3355"/>
      <c r="BR124" s="3161"/>
      <c r="BS124" s="656"/>
      <c r="BT124" s="656"/>
    </row>
    <row r="125" spans="1:72" s="657" customFormat="1" ht="43.5" customHeight="1" x14ac:dyDescent="0.2">
      <c r="A125" s="3271"/>
      <c r="B125" s="3275"/>
      <c r="C125" s="3276"/>
      <c r="D125" s="3390"/>
      <c r="E125" s="3390"/>
      <c r="F125" s="3390"/>
      <c r="G125" s="656"/>
      <c r="H125" s="1903"/>
      <c r="I125" s="1904"/>
      <c r="J125" s="3356"/>
      <c r="K125" s="3392"/>
      <c r="L125" s="3345"/>
      <c r="M125" s="3356"/>
      <c r="N125" s="3347"/>
      <c r="O125" s="2031"/>
      <c r="P125" s="3420"/>
      <c r="Q125" s="3293"/>
      <c r="R125" s="3427"/>
      <c r="S125" s="3431"/>
      <c r="T125" s="3318"/>
      <c r="U125" s="3318"/>
      <c r="V125" s="1912" t="s">
        <v>2016</v>
      </c>
      <c r="W125" s="1913">
        <v>13000000</v>
      </c>
      <c r="X125" s="1913">
        <v>0</v>
      </c>
      <c r="Y125" s="1913">
        <v>0</v>
      </c>
      <c r="Z125" s="2026">
        <v>20</v>
      </c>
      <c r="AA125" s="1910" t="s">
        <v>86</v>
      </c>
      <c r="AB125" s="3443"/>
      <c r="AC125" s="3337"/>
      <c r="AD125" s="3443"/>
      <c r="AE125" s="3337"/>
      <c r="AF125" s="3337"/>
      <c r="AG125" s="3443"/>
      <c r="AH125" s="3443"/>
      <c r="AI125" s="3443" t="s">
        <v>2017</v>
      </c>
      <c r="AJ125" s="3443"/>
      <c r="AK125" s="3443">
        <v>3335</v>
      </c>
      <c r="AL125" s="3443"/>
      <c r="AM125" s="3443"/>
      <c r="AN125" s="3327"/>
      <c r="AO125" s="3327"/>
      <c r="AP125" s="3327"/>
      <c r="AQ125" s="3327"/>
      <c r="AR125" s="3327"/>
      <c r="AS125" s="3327"/>
      <c r="AT125" s="3327"/>
      <c r="AU125" s="3327"/>
      <c r="AV125" s="3327"/>
      <c r="AW125" s="3327"/>
      <c r="AX125" s="3327"/>
      <c r="AY125" s="3327"/>
      <c r="AZ125" s="3327"/>
      <c r="BA125" s="3327"/>
      <c r="BB125" s="3327"/>
      <c r="BC125" s="3327"/>
      <c r="BD125" s="3327"/>
      <c r="BE125" s="3327"/>
      <c r="BF125" s="3337"/>
      <c r="BG125" s="3337"/>
      <c r="BH125" s="3447"/>
      <c r="BI125" s="3123"/>
      <c r="BJ125" s="3123"/>
      <c r="BK125" s="3353"/>
      <c r="BL125" s="3337"/>
      <c r="BM125" s="3182"/>
      <c r="BN125" s="3382"/>
      <c r="BO125" s="3355"/>
      <c r="BP125" s="3382"/>
      <c r="BQ125" s="3355"/>
      <c r="BR125" s="3161"/>
      <c r="BS125" s="656"/>
      <c r="BT125" s="656"/>
    </row>
    <row r="126" spans="1:72" s="657" customFormat="1" ht="27" customHeight="1" x14ac:dyDescent="0.2">
      <c r="A126" s="3271"/>
      <c r="B126" s="3275"/>
      <c r="C126" s="3276"/>
      <c r="D126" s="3390"/>
      <c r="E126" s="3390"/>
      <c r="F126" s="3390"/>
      <c r="G126" s="656"/>
      <c r="H126" s="1903"/>
      <c r="I126" s="1904"/>
      <c r="J126" s="3356"/>
      <c r="K126" s="3392"/>
      <c r="L126" s="3345"/>
      <c r="M126" s="3356"/>
      <c r="N126" s="3347"/>
      <c r="O126" s="2031"/>
      <c r="P126" s="3420"/>
      <c r="Q126" s="3293"/>
      <c r="R126" s="3427"/>
      <c r="S126" s="3431"/>
      <c r="T126" s="3318"/>
      <c r="U126" s="3318"/>
      <c r="V126" s="1912" t="s">
        <v>2018</v>
      </c>
      <c r="W126" s="1913">
        <v>1464118</v>
      </c>
      <c r="X126" s="1913">
        <v>0</v>
      </c>
      <c r="Y126" s="1913">
        <v>0</v>
      </c>
      <c r="Z126" s="2026">
        <v>20</v>
      </c>
      <c r="AA126" s="1910" t="s">
        <v>86</v>
      </c>
      <c r="AB126" s="3443"/>
      <c r="AC126" s="3337"/>
      <c r="AD126" s="3443"/>
      <c r="AE126" s="3337"/>
      <c r="AF126" s="3337"/>
      <c r="AG126" s="3443" t="s">
        <v>2019</v>
      </c>
      <c r="AH126" s="3443"/>
      <c r="AI126" s="3443"/>
      <c r="AJ126" s="3443"/>
      <c r="AK126" s="3443"/>
      <c r="AL126" s="3443"/>
      <c r="AM126" s="3443" t="s">
        <v>2020</v>
      </c>
      <c r="AN126" s="3327"/>
      <c r="AO126" s="3327"/>
      <c r="AP126" s="3327"/>
      <c r="AQ126" s="3327"/>
      <c r="AR126" s="3327"/>
      <c r="AS126" s="3327"/>
      <c r="AT126" s="3327"/>
      <c r="AU126" s="3327"/>
      <c r="AV126" s="3327"/>
      <c r="AW126" s="3327"/>
      <c r="AX126" s="3327"/>
      <c r="AY126" s="3327"/>
      <c r="AZ126" s="3327"/>
      <c r="BA126" s="3327"/>
      <c r="BB126" s="3327"/>
      <c r="BC126" s="3327"/>
      <c r="BD126" s="3327"/>
      <c r="BE126" s="3327"/>
      <c r="BF126" s="3337"/>
      <c r="BG126" s="3337"/>
      <c r="BH126" s="3447"/>
      <c r="BI126" s="3123"/>
      <c r="BJ126" s="3123"/>
      <c r="BK126" s="3353"/>
      <c r="BL126" s="3337"/>
      <c r="BM126" s="3182"/>
      <c r="BN126" s="3382"/>
      <c r="BO126" s="3355"/>
      <c r="BP126" s="3382"/>
      <c r="BQ126" s="3355"/>
      <c r="BR126" s="3161"/>
      <c r="BS126" s="656"/>
      <c r="BT126" s="656"/>
    </row>
    <row r="127" spans="1:72" s="657" customFormat="1" ht="55.5" customHeight="1" x14ac:dyDescent="0.2">
      <c r="A127" s="3271"/>
      <c r="B127" s="3275"/>
      <c r="C127" s="3276"/>
      <c r="D127" s="3390"/>
      <c r="E127" s="3390"/>
      <c r="F127" s="3390"/>
      <c r="G127" s="656"/>
      <c r="H127" s="1903"/>
      <c r="I127" s="1904"/>
      <c r="J127" s="3356"/>
      <c r="K127" s="3392"/>
      <c r="L127" s="3345"/>
      <c r="M127" s="3356"/>
      <c r="N127" s="3347"/>
      <c r="O127" s="2034" t="s">
        <v>2021</v>
      </c>
      <c r="P127" s="3420"/>
      <c r="Q127" s="3293"/>
      <c r="R127" s="3427"/>
      <c r="S127" s="3431"/>
      <c r="T127" s="3318"/>
      <c r="U127" s="3318"/>
      <c r="V127" s="1912" t="s">
        <v>2022</v>
      </c>
      <c r="W127" s="1913">
        <f>8800000+1200000</f>
        <v>10000000</v>
      </c>
      <c r="X127" s="1913">
        <v>10000000</v>
      </c>
      <c r="Y127" s="1913">
        <v>7929166</v>
      </c>
      <c r="Z127" s="2026">
        <v>20</v>
      </c>
      <c r="AA127" s="1910" t="s">
        <v>86</v>
      </c>
      <c r="AB127" s="3443"/>
      <c r="AC127" s="3337"/>
      <c r="AD127" s="3443"/>
      <c r="AE127" s="3337"/>
      <c r="AF127" s="3337"/>
      <c r="AG127" s="3443"/>
      <c r="AH127" s="3443"/>
      <c r="AI127" s="3443"/>
      <c r="AJ127" s="3443"/>
      <c r="AK127" s="3443"/>
      <c r="AL127" s="3443"/>
      <c r="AM127" s="3443"/>
      <c r="AN127" s="3327"/>
      <c r="AO127" s="3327"/>
      <c r="AP127" s="3327"/>
      <c r="AQ127" s="3327"/>
      <c r="AR127" s="3327"/>
      <c r="AS127" s="3327"/>
      <c r="AT127" s="3327"/>
      <c r="AU127" s="3327"/>
      <c r="AV127" s="3327"/>
      <c r="AW127" s="3327"/>
      <c r="AX127" s="3327"/>
      <c r="AY127" s="3327"/>
      <c r="AZ127" s="3327"/>
      <c r="BA127" s="3327"/>
      <c r="BB127" s="3327"/>
      <c r="BC127" s="3327"/>
      <c r="BD127" s="3327"/>
      <c r="BE127" s="3327"/>
      <c r="BF127" s="3337"/>
      <c r="BG127" s="3337"/>
      <c r="BH127" s="3447"/>
      <c r="BI127" s="3123"/>
      <c r="BJ127" s="3123"/>
      <c r="BK127" s="3353"/>
      <c r="BL127" s="3337"/>
      <c r="BM127" s="3182"/>
      <c r="BN127" s="3382"/>
      <c r="BO127" s="3355"/>
      <c r="BP127" s="3382"/>
      <c r="BQ127" s="3355"/>
      <c r="BR127" s="3161"/>
      <c r="BS127" s="656"/>
      <c r="BT127" s="656"/>
    </row>
    <row r="128" spans="1:72" s="657" customFormat="1" ht="27" customHeight="1" x14ac:dyDescent="0.2">
      <c r="A128" s="3271"/>
      <c r="B128" s="3275"/>
      <c r="C128" s="3276"/>
      <c r="D128" s="3390"/>
      <c r="E128" s="3390"/>
      <c r="F128" s="3390"/>
      <c r="G128" s="656"/>
      <c r="H128" s="1903"/>
      <c r="I128" s="1904"/>
      <c r="J128" s="3287">
        <v>239</v>
      </c>
      <c r="K128" s="3436" t="s">
        <v>2023</v>
      </c>
      <c r="L128" s="3436" t="s">
        <v>2024</v>
      </c>
      <c r="M128" s="3439">
        <v>1.98</v>
      </c>
      <c r="N128" s="3298">
        <v>0.5</v>
      </c>
      <c r="O128" s="2031"/>
      <c r="P128" s="3420"/>
      <c r="Q128" s="3293"/>
      <c r="R128" s="2035">
        <f>SUM(W128)/S117</f>
        <v>7.8253575944401313E-2</v>
      </c>
      <c r="S128" s="3431"/>
      <c r="T128" s="3318"/>
      <c r="U128" s="3318"/>
      <c r="V128" s="3285" t="s">
        <v>2025</v>
      </c>
      <c r="W128" s="1913">
        <v>74800000</v>
      </c>
      <c r="X128" s="1913">
        <v>4170000</v>
      </c>
      <c r="Y128" s="1913">
        <v>0</v>
      </c>
      <c r="Z128" s="2026">
        <v>20</v>
      </c>
      <c r="AA128" s="2019" t="s">
        <v>86</v>
      </c>
      <c r="AB128" s="3443"/>
      <c r="AC128" s="3337"/>
      <c r="AD128" s="3443"/>
      <c r="AE128" s="3337"/>
      <c r="AF128" s="3337"/>
      <c r="AG128" s="3443"/>
      <c r="AH128" s="3443"/>
      <c r="AI128" s="3443"/>
      <c r="AJ128" s="3443"/>
      <c r="AK128" s="3443"/>
      <c r="AL128" s="3443"/>
      <c r="AM128" s="3443"/>
      <c r="AN128" s="3327"/>
      <c r="AO128" s="3327"/>
      <c r="AP128" s="3327"/>
      <c r="AQ128" s="3327"/>
      <c r="AR128" s="3327"/>
      <c r="AS128" s="3327"/>
      <c r="AT128" s="3327"/>
      <c r="AU128" s="3327"/>
      <c r="AV128" s="3327"/>
      <c r="AW128" s="3327"/>
      <c r="AX128" s="3327"/>
      <c r="AY128" s="3327"/>
      <c r="AZ128" s="3327"/>
      <c r="BA128" s="3327"/>
      <c r="BB128" s="3327"/>
      <c r="BC128" s="3327"/>
      <c r="BD128" s="3327"/>
      <c r="BE128" s="3327"/>
      <c r="BF128" s="3337"/>
      <c r="BG128" s="3337"/>
      <c r="BH128" s="3447"/>
      <c r="BI128" s="3123"/>
      <c r="BJ128" s="3123"/>
      <c r="BK128" s="3353"/>
      <c r="BL128" s="3337"/>
      <c r="BM128" s="3182"/>
      <c r="BN128" s="3382"/>
      <c r="BO128" s="3355"/>
      <c r="BP128" s="3382"/>
      <c r="BQ128" s="3355"/>
      <c r="BR128" s="3161"/>
      <c r="BS128" s="656"/>
      <c r="BT128" s="656"/>
    </row>
    <row r="129" spans="1:72" s="657" customFormat="1" ht="24.75" customHeight="1" x14ac:dyDescent="0.2">
      <c r="A129" s="3271"/>
      <c r="B129" s="3275"/>
      <c r="C129" s="3276"/>
      <c r="D129" s="3390"/>
      <c r="E129" s="3390"/>
      <c r="F129" s="3390"/>
      <c r="G129" s="656"/>
      <c r="H129" s="1903"/>
      <c r="I129" s="1904"/>
      <c r="J129" s="3297"/>
      <c r="K129" s="3437"/>
      <c r="L129" s="3437"/>
      <c r="M129" s="3440"/>
      <c r="N129" s="3299"/>
      <c r="O129" s="2031"/>
      <c r="P129" s="3420"/>
      <c r="Q129" s="3293"/>
      <c r="R129" s="2035">
        <f>SUM(W129)/S117</f>
        <v>2.0923416027914792E-2</v>
      </c>
      <c r="S129" s="3431"/>
      <c r="T129" s="3318"/>
      <c r="U129" s="3318"/>
      <c r="V129" s="3445"/>
      <c r="W129" s="1913">
        <v>20000000</v>
      </c>
      <c r="X129" s="1913">
        <v>0</v>
      </c>
      <c r="Y129" s="1913">
        <v>0</v>
      </c>
      <c r="Z129" s="2026">
        <v>88</v>
      </c>
      <c r="AA129" s="2019" t="s">
        <v>1993</v>
      </c>
      <c r="AB129" s="3443"/>
      <c r="AC129" s="3337"/>
      <c r="AD129" s="3443"/>
      <c r="AE129" s="3337"/>
      <c r="AF129" s="3337"/>
      <c r="AG129" s="3443"/>
      <c r="AH129" s="3443"/>
      <c r="AI129" s="3443"/>
      <c r="AJ129" s="3443"/>
      <c r="AK129" s="3443"/>
      <c r="AL129" s="3443"/>
      <c r="AM129" s="3443"/>
      <c r="AN129" s="3327"/>
      <c r="AO129" s="3327"/>
      <c r="AP129" s="3327"/>
      <c r="AQ129" s="3327"/>
      <c r="AR129" s="3327"/>
      <c r="AS129" s="3327"/>
      <c r="AT129" s="3327"/>
      <c r="AU129" s="3327"/>
      <c r="AV129" s="3327"/>
      <c r="AW129" s="3327"/>
      <c r="AX129" s="3327"/>
      <c r="AY129" s="3327"/>
      <c r="AZ129" s="3327"/>
      <c r="BA129" s="3327"/>
      <c r="BB129" s="3327"/>
      <c r="BC129" s="3327"/>
      <c r="BD129" s="3327"/>
      <c r="BE129" s="3327"/>
      <c r="BF129" s="3337"/>
      <c r="BG129" s="3337"/>
      <c r="BH129" s="3447"/>
      <c r="BI129" s="3123"/>
      <c r="BJ129" s="3123"/>
      <c r="BK129" s="3353"/>
      <c r="BL129" s="3337"/>
      <c r="BM129" s="3182"/>
      <c r="BN129" s="3382"/>
      <c r="BO129" s="3355"/>
      <c r="BP129" s="3382"/>
      <c r="BQ129" s="3355"/>
      <c r="BR129" s="3161"/>
      <c r="BS129" s="656"/>
      <c r="BT129" s="656"/>
    </row>
    <row r="130" spans="1:72" s="657" customFormat="1" ht="35.25" customHeight="1" x14ac:dyDescent="0.2">
      <c r="A130" s="3271"/>
      <c r="B130" s="3275"/>
      <c r="C130" s="3276"/>
      <c r="D130" s="3390"/>
      <c r="E130" s="3390"/>
      <c r="F130" s="3390"/>
      <c r="G130" s="656"/>
      <c r="H130" s="1903"/>
      <c r="I130" s="1904"/>
      <c r="J130" s="3288"/>
      <c r="K130" s="3438"/>
      <c r="L130" s="3438"/>
      <c r="M130" s="3441"/>
      <c r="N130" s="3300"/>
      <c r="O130" s="2031"/>
      <c r="P130" s="3420"/>
      <c r="Q130" s="3293"/>
      <c r="R130" s="2035">
        <f>SUM(W130)/S117</f>
        <v>0.17783361881817555</v>
      </c>
      <c r="S130" s="3431"/>
      <c r="T130" s="3318"/>
      <c r="U130" s="3318"/>
      <c r="V130" s="3286"/>
      <c r="W130" s="1913">
        <v>169985263</v>
      </c>
      <c r="X130" s="1913">
        <v>0</v>
      </c>
      <c r="Y130" s="1913">
        <v>0</v>
      </c>
      <c r="Z130" s="2026">
        <v>163</v>
      </c>
      <c r="AA130" s="2019" t="s">
        <v>2026</v>
      </c>
      <c r="AB130" s="3443"/>
      <c r="AC130" s="3337"/>
      <c r="AD130" s="3443"/>
      <c r="AE130" s="3337"/>
      <c r="AF130" s="3337"/>
      <c r="AG130" s="3443"/>
      <c r="AH130" s="3443"/>
      <c r="AI130" s="3443"/>
      <c r="AJ130" s="3443"/>
      <c r="AK130" s="3443"/>
      <c r="AL130" s="3443"/>
      <c r="AM130" s="3443"/>
      <c r="AN130" s="3327"/>
      <c r="AO130" s="3327"/>
      <c r="AP130" s="3327"/>
      <c r="AQ130" s="3327"/>
      <c r="AR130" s="3327"/>
      <c r="AS130" s="3327"/>
      <c r="AT130" s="3327"/>
      <c r="AU130" s="3327"/>
      <c r="AV130" s="3327"/>
      <c r="AW130" s="3327"/>
      <c r="AX130" s="3327"/>
      <c r="AY130" s="3327"/>
      <c r="AZ130" s="3327"/>
      <c r="BA130" s="3327"/>
      <c r="BB130" s="3327"/>
      <c r="BC130" s="3327"/>
      <c r="BD130" s="3327"/>
      <c r="BE130" s="3327"/>
      <c r="BF130" s="3337"/>
      <c r="BG130" s="3337"/>
      <c r="BH130" s="3447"/>
      <c r="BI130" s="3123"/>
      <c r="BJ130" s="3123"/>
      <c r="BK130" s="3353"/>
      <c r="BL130" s="3337"/>
      <c r="BM130" s="3182"/>
      <c r="BN130" s="3382"/>
      <c r="BO130" s="3355"/>
      <c r="BP130" s="3382"/>
      <c r="BQ130" s="3355"/>
      <c r="BR130" s="3161"/>
      <c r="BS130" s="656"/>
      <c r="BT130" s="656"/>
    </row>
    <row r="131" spans="1:72" s="657" customFormat="1" ht="38.25" customHeight="1" x14ac:dyDescent="0.2">
      <c r="A131" s="3271"/>
      <c r="B131" s="3275"/>
      <c r="C131" s="3276"/>
      <c r="D131" s="3390"/>
      <c r="E131" s="3390"/>
      <c r="F131" s="3390"/>
      <c r="G131" s="656"/>
      <c r="H131" s="1903"/>
      <c r="I131" s="1904"/>
      <c r="J131" s="3356">
        <v>240</v>
      </c>
      <c r="K131" s="3392" t="s">
        <v>2027</v>
      </c>
      <c r="L131" s="3433" t="s">
        <v>2028</v>
      </c>
      <c r="M131" s="3434">
        <v>1</v>
      </c>
      <c r="N131" s="3435">
        <v>0.6</v>
      </c>
      <c r="O131" s="2031"/>
      <c r="P131" s="3420"/>
      <c r="Q131" s="3293"/>
      <c r="R131" s="3427">
        <f>SUM(W131:W141)/S117</f>
        <v>0.43607298569167574</v>
      </c>
      <c r="S131" s="3431"/>
      <c r="T131" s="3318"/>
      <c r="U131" s="3318"/>
      <c r="V131" s="1912" t="s">
        <v>2029</v>
      </c>
      <c r="W131" s="1913">
        <v>6819300</v>
      </c>
      <c r="X131" s="1913">
        <v>6819300</v>
      </c>
      <c r="Y131" s="1913">
        <v>1515400</v>
      </c>
      <c r="Z131" s="2026">
        <v>20</v>
      </c>
      <c r="AA131" s="2019" t="s">
        <v>86</v>
      </c>
      <c r="AB131" s="3443"/>
      <c r="AC131" s="3337"/>
      <c r="AD131" s="3443"/>
      <c r="AE131" s="3337"/>
      <c r="AF131" s="3337"/>
      <c r="AG131" s="3443"/>
      <c r="AH131" s="3443"/>
      <c r="AI131" s="3443"/>
      <c r="AJ131" s="3443"/>
      <c r="AK131" s="3443"/>
      <c r="AL131" s="3443"/>
      <c r="AM131" s="3443"/>
      <c r="AN131" s="3327"/>
      <c r="AO131" s="3327"/>
      <c r="AP131" s="3327"/>
      <c r="AQ131" s="3327"/>
      <c r="AR131" s="3327"/>
      <c r="AS131" s="3327"/>
      <c r="AT131" s="3327"/>
      <c r="AU131" s="3327"/>
      <c r="AV131" s="3327"/>
      <c r="AW131" s="3327"/>
      <c r="AX131" s="3327"/>
      <c r="AY131" s="3327"/>
      <c r="AZ131" s="3327"/>
      <c r="BA131" s="3327"/>
      <c r="BB131" s="3327"/>
      <c r="BC131" s="3327"/>
      <c r="BD131" s="3327"/>
      <c r="BE131" s="3327"/>
      <c r="BF131" s="3337"/>
      <c r="BG131" s="3337"/>
      <c r="BH131" s="3447"/>
      <c r="BI131" s="3123"/>
      <c r="BJ131" s="3123"/>
      <c r="BK131" s="3353"/>
      <c r="BL131" s="3337"/>
      <c r="BM131" s="3182"/>
      <c r="BN131" s="3382"/>
      <c r="BO131" s="3355"/>
      <c r="BP131" s="3382"/>
      <c r="BQ131" s="3355"/>
      <c r="BR131" s="3161"/>
      <c r="BS131" s="656"/>
      <c r="BT131" s="656"/>
    </row>
    <row r="132" spans="1:72" s="657" customFormat="1" ht="38.25" customHeight="1" x14ac:dyDescent="0.2">
      <c r="A132" s="3271"/>
      <c r="B132" s="3275"/>
      <c r="C132" s="3276"/>
      <c r="D132" s="3390"/>
      <c r="E132" s="3390"/>
      <c r="F132" s="3390"/>
      <c r="G132" s="656"/>
      <c r="H132" s="1903"/>
      <c r="I132" s="1904"/>
      <c r="J132" s="3356"/>
      <c r="K132" s="3392"/>
      <c r="L132" s="3433"/>
      <c r="M132" s="3434"/>
      <c r="N132" s="3435"/>
      <c r="O132" s="2031"/>
      <c r="P132" s="3420"/>
      <c r="Q132" s="3293"/>
      <c r="R132" s="3427"/>
      <c r="S132" s="3431"/>
      <c r="T132" s="3318"/>
      <c r="U132" s="3318"/>
      <c r="V132" s="3285" t="s">
        <v>2030</v>
      </c>
      <c r="W132" s="1913">
        <v>69987918</v>
      </c>
      <c r="X132" s="1913">
        <v>69271318</v>
      </c>
      <c r="Y132" s="1913">
        <f>17078959+17078959</f>
        <v>34157918</v>
      </c>
      <c r="Z132" s="2026">
        <v>20</v>
      </c>
      <c r="AA132" s="2019" t="s">
        <v>86</v>
      </c>
      <c r="AB132" s="3443"/>
      <c r="AC132" s="3337"/>
      <c r="AD132" s="3443"/>
      <c r="AE132" s="3337"/>
      <c r="AF132" s="3337"/>
      <c r="AG132" s="3443"/>
      <c r="AH132" s="3443"/>
      <c r="AI132" s="3443"/>
      <c r="AJ132" s="3443"/>
      <c r="AK132" s="3443"/>
      <c r="AL132" s="3443"/>
      <c r="AM132" s="3443"/>
      <c r="AN132" s="3327"/>
      <c r="AO132" s="3327"/>
      <c r="AP132" s="3327"/>
      <c r="AQ132" s="3327"/>
      <c r="AR132" s="3327"/>
      <c r="AS132" s="3327"/>
      <c r="AT132" s="3327"/>
      <c r="AU132" s="3327"/>
      <c r="AV132" s="3327"/>
      <c r="AW132" s="3327"/>
      <c r="AX132" s="3327"/>
      <c r="AY132" s="3327"/>
      <c r="AZ132" s="3327"/>
      <c r="BA132" s="3327"/>
      <c r="BB132" s="3327"/>
      <c r="BC132" s="3327"/>
      <c r="BD132" s="3327"/>
      <c r="BE132" s="3327"/>
      <c r="BF132" s="3337"/>
      <c r="BG132" s="3337"/>
      <c r="BH132" s="3447"/>
      <c r="BI132" s="3123"/>
      <c r="BJ132" s="3123"/>
      <c r="BK132" s="3353"/>
      <c r="BL132" s="3337"/>
      <c r="BM132" s="3182"/>
      <c r="BN132" s="3382"/>
      <c r="BO132" s="3355"/>
      <c r="BP132" s="3382"/>
      <c r="BQ132" s="3355"/>
      <c r="BR132" s="3161"/>
      <c r="BS132" s="656"/>
      <c r="BT132" s="656"/>
    </row>
    <row r="133" spans="1:72" s="657" customFormat="1" ht="38.25" customHeight="1" x14ac:dyDescent="0.2">
      <c r="A133" s="3271"/>
      <c r="B133" s="3275"/>
      <c r="C133" s="3276"/>
      <c r="D133" s="3390"/>
      <c r="E133" s="3390"/>
      <c r="F133" s="3390"/>
      <c r="G133" s="656"/>
      <c r="H133" s="1903"/>
      <c r="I133" s="1904"/>
      <c r="J133" s="3356"/>
      <c r="K133" s="3392"/>
      <c r="L133" s="3433"/>
      <c r="M133" s="3434"/>
      <c r="N133" s="3435"/>
      <c r="O133" s="2031"/>
      <c r="P133" s="3420"/>
      <c r="Q133" s="3293"/>
      <c r="R133" s="3427"/>
      <c r="S133" s="3431"/>
      <c r="T133" s="3318"/>
      <c r="U133" s="3318"/>
      <c r="V133" s="3286"/>
      <c r="W133" s="1913">
        <v>42996000</v>
      </c>
      <c r="X133" s="1913">
        <v>0</v>
      </c>
      <c r="Y133" s="1913">
        <v>0</v>
      </c>
      <c r="Z133" s="2026">
        <v>88</v>
      </c>
      <c r="AA133" s="2019" t="s">
        <v>1993</v>
      </c>
      <c r="AB133" s="3443"/>
      <c r="AC133" s="3337"/>
      <c r="AD133" s="3443"/>
      <c r="AE133" s="3337"/>
      <c r="AF133" s="3337"/>
      <c r="AG133" s="3443"/>
      <c r="AH133" s="3443"/>
      <c r="AI133" s="3443"/>
      <c r="AJ133" s="3443"/>
      <c r="AK133" s="3443"/>
      <c r="AL133" s="3443"/>
      <c r="AM133" s="3443"/>
      <c r="AN133" s="3327"/>
      <c r="AO133" s="3327"/>
      <c r="AP133" s="3327"/>
      <c r="AQ133" s="3327"/>
      <c r="AR133" s="3327"/>
      <c r="AS133" s="3327"/>
      <c r="AT133" s="3327"/>
      <c r="AU133" s="3327"/>
      <c r="AV133" s="3327"/>
      <c r="AW133" s="3327"/>
      <c r="AX133" s="3327"/>
      <c r="AY133" s="3327"/>
      <c r="AZ133" s="3327"/>
      <c r="BA133" s="3327"/>
      <c r="BB133" s="3327"/>
      <c r="BC133" s="3327"/>
      <c r="BD133" s="3327"/>
      <c r="BE133" s="3327"/>
      <c r="BF133" s="3337"/>
      <c r="BG133" s="3337"/>
      <c r="BH133" s="3447"/>
      <c r="BI133" s="3123"/>
      <c r="BJ133" s="3123"/>
      <c r="BK133" s="3353"/>
      <c r="BL133" s="3337"/>
      <c r="BM133" s="3182"/>
      <c r="BN133" s="3382"/>
      <c r="BO133" s="3355"/>
      <c r="BP133" s="3382"/>
      <c r="BQ133" s="3355"/>
      <c r="BR133" s="3161"/>
      <c r="BS133" s="656"/>
      <c r="BT133" s="656"/>
    </row>
    <row r="134" spans="1:72" s="657" customFormat="1" ht="30.75" customHeight="1" x14ac:dyDescent="0.2">
      <c r="A134" s="3271"/>
      <c r="B134" s="3275"/>
      <c r="C134" s="3276"/>
      <c r="D134" s="3390"/>
      <c r="E134" s="3390"/>
      <c r="F134" s="3390"/>
      <c r="G134" s="656"/>
      <c r="H134" s="1903"/>
      <c r="I134" s="1904"/>
      <c r="J134" s="3356"/>
      <c r="K134" s="3392"/>
      <c r="L134" s="3433"/>
      <c r="M134" s="3434"/>
      <c r="N134" s="3435"/>
      <c r="O134" s="2031"/>
      <c r="P134" s="3420"/>
      <c r="Q134" s="3293"/>
      <c r="R134" s="3427"/>
      <c r="S134" s="3431"/>
      <c r="T134" s="3318"/>
      <c r="U134" s="3318"/>
      <c r="V134" s="3285" t="s">
        <v>2031</v>
      </c>
      <c r="W134" s="1913">
        <v>23969533</v>
      </c>
      <c r="X134" s="1913">
        <v>23969533</v>
      </c>
      <c r="Y134" s="1913">
        <v>12777533</v>
      </c>
      <c r="Z134" s="2026">
        <v>20</v>
      </c>
      <c r="AA134" s="2019" t="s">
        <v>86</v>
      </c>
      <c r="AB134" s="3443"/>
      <c r="AC134" s="3337"/>
      <c r="AD134" s="3443"/>
      <c r="AE134" s="3337"/>
      <c r="AF134" s="3337"/>
      <c r="AG134" s="3443"/>
      <c r="AH134" s="3443"/>
      <c r="AI134" s="3443"/>
      <c r="AJ134" s="3443"/>
      <c r="AK134" s="3443"/>
      <c r="AL134" s="3443"/>
      <c r="AM134" s="3443"/>
      <c r="AN134" s="3327"/>
      <c r="AO134" s="3327"/>
      <c r="AP134" s="3327"/>
      <c r="AQ134" s="3327"/>
      <c r="AR134" s="3327"/>
      <c r="AS134" s="3327"/>
      <c r="AT134" s="3327"/>
      <c r="AU134" s="3327"/>
      <c r="AV134" s="3327"/>
      <c r="AW134" s="3327"/>
      <c r="AX134" s="3327"/>
      <c r="AY134" s="3327"/>
      <c r="AZ134" s="3327"/>
      <c r="BA134" s="3327"/>
      <c r="BB134" s="3327"/>
      <c r="BC134" s="3327"/>
      <c r="BD134" s="3327"/>
      <c r="BE134" s="3327"/>
      <c r="BF134" s="3337"/>
      <c r="BG134" s="3337"/>
      <c r="BH134" s="3447"/>
      <c r="BI134" s="3123"/>
      <c r="BJ134" s="3123"/>
      <c r="BK134" s="3353"/>
      <c r="BL134" s="3337"/>
      <c r="BM134" s="3182"/>
      <c r="BN134" s="3382"/>
      <c r="BO134" s="3355"/>
      <c r="BP134" s="3382"/>
      <c r="BQ134" s="3355"/>
      <c r="BR134" s="3161"/>
      <c r="BS134" s="656"/>
      <c r="BT134" s="656"/>
    </row>
    <row r="135" spans="1:72" s="657" customFormat="1" ht="30.75" customHeight="1" x14ac:dyDescent="0.2">
      <c r="A135" s="3271"/>
      <c r="B135" s="3275"/>
      <c r="C135" s="3276"/>
      <c r="D135" s="3390"/>
      <c r="E135" s="3390"/>
      <c r="F135" s="3390"/>
      <c r="G135" s="656"/>
      <c r="H135" s="1903"/>
      <c r="I135" s="1904"/>
      <c r="J135" s="3356"/>
      <c r="K135" s="3392"/>
      <c r="L135" s="3433"/>
      <c r="M135" s="3434"/>
      <c r="N135" s="3435"/>
      <c r="O135" s="2031"/>
      <c r="P135" s="3420"/>
      <c r="Q135" s="3293"/>
      <c r="R135" s="3427"/>
      <c r="S135" s="3431"/>
      <c r="T135" s="3318"/>
      <c r="U135" s="3318"/>
      <c r="V135" s="3286"/>
      <c r="W135" s="1913">
        <v>16788000</v>
      </c>
      <c r="X135" s="1913">
        <v>0</v>
      </c>
      <c r="Y135" s="1913">
        <v>0</v>
      </c>
      <c r="Z135" s="2026">
        <v>88</v>
      </c>
      <c r="AA135" s="2019" t="s">
        <v>1993</v>
      </c>
      <c r="AB135" s="3443"/>
      <c r="AC135" s="3337"/>
      <c r="AD135" s="3443"/>
      <c r="AE135" s="3337"/>
      <c r="AF135" s="3337"/>
      <c r="AG135" s="3443"/>
      <c r="AH135" s="3443"/>
      <c r="AI135" s="3443"/>
      <c r="AJ135" s="3443"/>
      <c r="AK135" s="3443"/>
      <c r="AL135" s="3443"/>
      <c r="AM135" s="3443"/>
      <c r="AN135" s="3327"/>
      <c r="AO135" s="3327"/>
      <c r="AP135" s="3327"/>
      <c r="AQ135" s="3327"/>
      <c r="AR135" s="3327"/>
      <c r="AS135" s="3327"/>
      <c r="AT135" s="3327"/>
      <c r="AU135" s="3327"/>
      <c r="AV135" s="3327"/>
      <c r="AW135" s="3327"/>
      <c r="AX135" s="3327"/>
      <c r="AY135" s="3327"/>
      <c r="AZ135" s="3327"/>
      <c r="BA135" s="3327"/>
      <c r="BB135" s="3327"/>
      <c r="BC135" s="3327"/>
      <c r="BD135" s="3327"/>
      <c r="BE135" s="3327"/>
      <c r="BF135" s="3337"/>
      <c r="BG135" s="3337"/>
      <c r="BH135" s="3447"/>
      <c r="BI135" s="3123"/>
      <c r="BJ135" s="3123"/>
      <c r="BK135" s="3353"/>
      <c r="BL135" s="3337"/>
      <c r="BM135" s="3182"/>
      <c r="BN135" s="3382"/>
      <c r="BO135" s="3355"/>
      <c r="BP135" s="3382"/>
      <c r="BQ135" s="3355"/>
      <c r="BR135" s="3161"/>
      <c r="BS135" s="656"/>
      <c r="BT135" s="656"/>
    </row>
    <row r="136" spans="1:72" s="657" customFormat="1" ht="46.5" customHeight="1" x14ac:dyDescent="0.2">
      <c r="A136" s="3271"/>
      <c r="B136" s="3275"/>
      <c r="C136" s="3276"/>
      <c r="D136" s="3390"/>
      <c r="E136" s="3390"/>
      <c r="F136" s="3390"/>
      <c r="G136" s="656"/>
      <c r="H136" s="1903"/>
      <c r="I136" s="1904"/>
      <c r="J136" s="3356"/>
      <c r="K136" s="3392"/>
      <c r="L136" s="3433"/>
      <c r="M136" s="3434"/>
      <c r="N136" s="3435"/>
      <c r="O136" s="2031"/>
      <c r="P136" s="3420"/>
      <c r="Q136" s="3293"/>
      <c r="R136" s="3427"/>
      <c r="S136" s="3431"/>
      <c r="T136" s="3318"/>
      <c r="U136" s="3318"/>
      <c r="V136" s="1912" t="s">
        <v>2032</v>
      </c>
      <c r="W136" s="1913">
        <v>53000000</v>
      </c>
      <c r="X136" s="1913">
        <v>51630533</v>
      </c>
      <c r="Y136" s="1913">
        <v>0</v>
      </c>
      <c r="Z136" s="2026">
        <v>20</v>
      </c>
      <c r="AA136" s="2019" t="s">
        <v>86</v>
      </c>
      <c r="AB136" s="3443"/>
      <c r="AC136" s="3337"/>
      <c r="AD136" s="3443"/>
      <c r="AE136" s="3337"/>
      <c r="AF136" s="3337"/>
      <c r="AG136" s="3443"/>
      <c r="AH136" s="3443"/>
      <c r="AI136" s="3443"/>
      <c r="AJ136" s="3443"/>
      <c r="AK136" s="3443"/>
      <c r="AL136" s="3443"/>
      <c r="AM136" s="3443"/>
      <c r="AN136" s="3327"/>
      <c r="AO136" s="3327"/>
      <c r="AP136" s="3327"/>
      <c r="AQ136" s="3327"/>
      <c r="AR136" s="3327"/>
      <c r="AS136" s="3327"/>
      <c r="AT136" s="3327"/>
      <c r="AU136" s="3327"/>
      <c r="AV136" s="3327"/>
      <c r="AW136" s="3327"/>
      <c r="AX136" s="3327"/>
      <c r="AY136" s="3327"/>
      <c r="AZ136" s="3327"/>
      <c r="BA136" s="3327"/>
      <c r="BB136" s="3327"/>
      <c r="BC136" s="3327"/>
      <c r="BD136" s="3327"/>
      <c r="BE136" s="3327"/>
      <c r="BF136" s="3337"/>
      <c r="BG136" s="3337"/>
      <c r="BH136" s="3447"/>
      <c r="BI136" s="3123"/>
      <c r="BJ136" s="3123"/>
      <c r="BK136" s="3353"/>
      <c r="BL136" s="3337"/>
      <c r="BM136" s="3182"/>
      <c r="BN136" s="3382"/>
      <c r="BO136" s="3355"/>
      <c r="BP136" s="3382"/>
      <c r="BQ136" s="3355"/>
      <c r="BR136" s="3161"/>
      <c r="BS136" s="656"/>
      <c r="BT136" s="656"/>
    </row>
    <row r="137" spans="1:72" s="657" customFormat="1" ht="22.5" customHeight="1" x14ac:dyDescent="0.2">
      <c r="A137" s="3271"/>
      <c r="B137" s="3275"/>
      <c r="C137" s="3276"/>
      <c r="D137" s="3390"/>
      <c r="E137" s="3390"/>
      <c r="F137" s="3390"/>
      <c r="G137" s="656"/>
      <c r="H137" s="1903"/>
      <c r="I137" s="1904"/>
      <c r="J137" s="3356"/>
      <c r="K137" s="3392"/>
      <c r="L137" s="3433"/>
      <c r="M137" s="3434"/>
      <c r="N137" s="3435"/>
      <c r="O137" s="2031"/>
      <c r="P137" s="3420"/>
      <c r="Q137" s="3293"/>
      <c r="R137" s="3427"/>
      <c r="S137" s="3431"/>
      <c r="T137" s="3318"/>
      <c r="U137" s="3318"/>
      <c r="V137" s="3285" t="s">
        <v>2033</v>
      </c>
      <c r="W137" s="1913">
        <v>61788000</v>
      </c>
      <c r="X137" s="1913">
        <v>59489600</v>
      </c>
      <c r="Y137" s="1913">
        <f>7165100+8833333+8904000</f>
        <v>24902433</v>
      </c>
      <c r="Z137" s="2026">
        <v>20</v>
      </c>
      <c r="AA137" s="2019" t="s">
        <v>86</v>
      </c>
      <c r="AB137" s="3443"/>
      <c r="AC137" s="3337"/>
      <c r="AD137" s="3443"/>
      <c r="AE137" s="3337"/>
      <c r="AF137" s="3337"/>
      <c r="AG137" s="3443"/>
      <c r="AH137" s="3443"/>
      <c r="AI137" s="3443"/>
      <c r="AJ137" s="3443"/>
      <c r="AK137" s="3443"/>
      <c r="AL137" s="3443"/>
      <c r="AM137" s="3443"/>
      <c r="AN137" s="3327"/>
      <c r="AO137" s="3327"/>
      <c r="AP137" s="3327"/>
      <c r="AQ137" s="3327"/>
      <c r="AR137" s="3327"/>
      <c r="AS137" s="3327"/>
      <c r="AT137" s="3327"/>
      <c r="AU137" s="3327"/>
      <c r="AV137" s="3327"/>
      <c r="AW137" s="3327"/>
      <c r="AX137" s="3327"/>
      <c r="AY137" s="3327"/>
      <c r="AZ137" s="3327"/>
      <c r="BA137" s="3327"/>
      <c r="BB137" s="3327"/>
      <c r="BC137" s="3327"/>
      <c r="BD137" s="3327"/>
      <c r="BE137" s="3327"/>
      <c r="BF137" s="3337"/>
      <c r="BG137" s="3337"/>
      <c r="BH137" s="3447"/>
      <c r="BI137" s="3123"/>
      <c r="BJ137" s="3123"/>
      <c r="BK137" s="3353"/>
      <c r="BL137" s="3337"/>
      <c r="BM137" s="3182"/>
      <c r="BN137" s="3382"/>
      <c r="BO137" s="3355"/>
      <c r="BP137" s="3382"/>
      <c r="BQ137" s="3355"/>
      <c r="BR137" s="3161"/>
      <c r="BS137" s="656"/>
      <c r="BT137" s="656"/>
    </row>
    <row r="138" spans="1:72" s="657" customFormat="1" ht="24" customHeight="1" x14ac:dyDescent="0.2">
      <c r="A138" s="3271"/>
      <c r="B138" s="3275"/>
      <c r="C138" s="3276"/>
      <c r="D138" s="3390"/>
      <c r="E138" s="3390"/>
      <c r="F138" s="3390"/>
      <c r="G138" s="656"/>
      <c r="H138" s="1903"/>
      <c r="I138" s="1904"/>
      <c r="J138" s="3356"/>
      <c r="K138" s="3392"/>
      <c r="L138" s="3433"/>
      <c r="M138" s="3434"/>
      <c r="N138" s="3435"/>
      <c r="O138" s="2031"/>
      <c r="P138" s="3420"/>
      <c r="Q138" s="3293"/>
      <c r="R138" s="3427"/>
      <c r="S138" s="3431"/>
      <c r="T138" s="3318"/>
      <c r="U138" s="3318"/>
      <c r="V138" s="3286"/>
      <c r="W138" s="1913">
        <v>36822000</v>
      </c>
      <c r="X138" s="1913">
        <v>0</v>
      </c>
      <c r="Y138" s="1913">
        <v>0</v>
      </c>
      <c r="Z138" s="2026">
        <v>88</v>
      </c>
      <c r="AA138" s="2019" t="s">
        <v>1993</v>
      </c>
      <c r="AB138" s="3443"/>
      <c r="AC138" s="3337"/>
      <c r="AD138" s="3443"/>
      <c r="AE138" s="3337"/>
      <c r="AF138" s="3337"/>
      <c r="AG138" s="3443"/>
      <c r="AH138" s="3443"/>
      <c r="AI138" s="3443"/>
      <c r="AJ138" s="3443"/>
      <c r="AK138" s="3443"/>
      <c r="AL138" s="3443"/>
      <c r="AM138" s="3443"/>
      <c r="AN138" s="3327"/>
      <c r="AO138" s="3327"/>
      <c r="AP138" s="3327"/>
      <c r="AQ138" s="3327"/>
      <c r="AR138" s="3327"/>
      <c r="AS138" s="3327"/>
      <c r="AT138" s="3327"/>
      <c r="AU138" s="3327"/>
      <c r="AV138" s="3327"/>
      <c r="AW138" s="3327"/>
      <c r="AX138" s="3327"/>
      <c r="AY138" s="3327"/>
      <c r="AZ138" s="3327"/>
      <c r="BA138" s="3327"/>
      <c r="BB138" s="3327"/>
      <c r="BC138" s="3327"/>
      <c r="BD138" s="3327"/>
      <c r="BE138" s="3327"/>
      <c r="BF138" s="3337"/>
      <c r="BG138" s="3337"/>
      <c r="BH138" s="3447"/>
      <c r="BI138" s="3123"/>
      <c r="BJ138" s="3123"/>
      <c r="BK138" s="3353"/>
      <c r="BL138" s="3337"/>
      <c r="BM138" s="3182"/>
      <c r="BN138" s="3382"/>
      <c r="BO138" s="3355"/>
      <c r="BP138" s="3382"/>
      <c r="BQ138" s="3355"/>
      <c r="BR138" s="3161"/>
      <c r="BS138" s="656"/>
      <c r="BT138" s="656"/>
    </row>
    <row r="139" spans="1:72" s="657" customFormat="1" ht="27.75" customHeight="1" x14ac:dyDescent="0.2">
      <c r="A139" s="3271"/>
      <c r="B139" s="3275"/>
      <c r="C139" s="3276"/>
      <c r="D139" s="3390"/>
      <c r="E139" s="3390"/>
      <c r="F139" s="3390"/>
      <c r="G139" s="656"/>
      <c r="H139" s="1903"/>
      <c r="I139" s="1904"/>
      <c r="J139" s="3356"/>
      <c r="K139" s="3392"/>
      <c r="L139" s="3433"/>
      <c r="M139" s="3434"/>
      <c r="N139" s="3435"/>
      <c r="O139" s="2031"/>
      <c r="P139" s="3420"/>
      <c r="Q139" s="3293"/>
      <c r="R139" s="3427"/>
      <c r="S139" s="3431"/>
      <c r="T139" s="3318"/>
      <c r="U139" s="3318"/>
      <c r="V139" s="3285" t="s">
        <v>2034</v>
      </c>
      <c r="W139" s="1913">
        <v>51681882</v>
      </c>
      <c r="X139" s="1913">
        <v>51681882</v>
      </c>
      <c r="Y139" s="1913">
        <f>12777533+8126948+12777533</f>
        <v>33682014</v>
      </c>
      <c r="Z139" s="2026">
        <v>20</v>
      </c>
      <c r="AA139" s="2019" t="s">
        <v>86</v>
      </c>
      <c r="AB139" s="3443"/>
      <c r="AC139" s="3337"/>
      <c r="AD139" s="3443"/>
      <c r="AE139" s="3337"/>
      <c r="AF139" s="3337"/>
      <c r="AG139" s="3443"/>
      <c r="AH139" s="3443"/>
      <c r="AI139" s="3443"/>
      <c r="AJ139" s="3443"/>
      <c r="AK139" s="3443"/>
      <c r="AL139" s="3443"/>
      <c r="AM139" s="3443"/>
      <c r="AN139" s="3327"/>
      <c r="AO139" s="3327"/>
      <c r="AP139" s="3327"/>
      <c r="AQ139" s="3327"/>
      <c r="AR139" s="3327"/>
      <c r="AS139" s="3327"/>
      <c r="AT139" s="3327"/>
      <c r="AU139" s="3327"/>
      <c r="AV139" s="3327"/>
      <c r="AW139" s="3327"/>
      <c r="AX139" s="3327"/>
      <c r="AY139" s="3327"/>
      <c r="AZ139" s="3327"/>
      <c r="BA139" s="3327"/>
      <c r="BB139" s="3327"/>
      <c r="BC139" s="3327"/>
      <c r="BD139" s="3327"/>
      <c r="BE139" s="3327"/>
      <c r="BF139" s="3337"/>
      <c r="BG139" s="3337"/>
      <c r="BH139" s="3447"/>
      <c r="BI139" s="3123"/>
      <c r="BJ139" s="3123"/>
      <c r="BK139" s="3353"/>
      <c r="BL139" s="3337"/>
      <c r="BM139" s="3182"/>
      <c r="BN139" s="3382"/>
      <c r="BO139" s="3355"/>
      <c r="BP139" s="3382"/>
      <c r="BQ139" s="3355"/>
      <c r="BR139" s="3161"/>
      <c r="BS139" s="656"/>
      <c r="BT139" s="656"/>
    </row>
    <row r="140" spans="1:72" s="657" customFormat="1" ht="30" customHeight="1" x14ac:dyDescent="0.2">
      <c r="A140" s="3271"/>
      <c r="B140" s="3275"/>
      <c r="C140" s="3276"/>
      <c r="D140" s="3390"/>
      <c r="E140" s="3390"/>
      <c r="F140" s="3390"/>
      <c r="G140" s="656"/>
      <c r="H140" s="1903"/>
      <c r="I140" s="1904"/>
      <c r="J140" s="3356"/>
      <c r="K140" s="3392"/>
      <c r="L140" s="3433"/>
      <c r="M140" s="3434"/>
      <c r="N140" s="3435"/>
      <c r="O140" s="2031"/>
      <c r="P140" s="3420"/>
      <c r="Q140" s="3293"/>
      <c r="R140" s="3427"/>
      <c r="S140" s="3431"/>
      <c r="T140" s="3318"/>
      <c r="U140" s="3318"/>
      <c r="V140" s="3286"/>
      <c r="W140" s="1913">
        <v>42076000</v>
      </c>
      <c r="X140" s="1913">
        <v>0</v>
      </c>
      <c r="Y140" s="1913">
        <v>0</v>
      </c>
      <c r="Z140" s="2026">
        <v>88</v>
      </c>
      <c r="AA140" s="2019" t="s">
        <v>1993</v>
      </c>
      <c r="AB140" s="3443"/>
      <c r="AC140" s="3337"/>
      <c r="AD140" s="3443"/>
      <c r="AE140" s="3337"/>
      <c r="AF140" s="3337"/>
      <c r="AG140" s="3443"/>
      <c r="AH140" s="3443"/>
      <c r="AI140" s="3443"/>
      <c r="AJ140" s="3443"/>
      <c r="AK140" s="3443"/>
      <c r="AL140" s="3443"/>
      <c r="AM140" s="3443"/>
      <c r="AN140" s="3327"/>
      <c r="AO140" s="3327"/>
      <c r="AP140" s="3327"/>
      <c r="AQ140" s="3327"/>
      <c r="AR140" s="3327"/>
      <c r="AS140" s="3327"/>
      <c r="AT140" s="3327"/>
      <c r="AU140" s="3327"/>
      <c r="AV140" s="3327"/>
      <c r="AW140" s="3327"/>
      <c r="AX140" s="3327"/>
      <c r="AY140" s="3327"/>
      <c r="AZ140" s="3327"/>
      <c r="BA140" s="3327"/>
      <c r="BB140" s="3327"/>
      <c r="BC140" s="3327"/>
      <c r="BD140" s="3327"/>
      <c r="BE140" s="3327"/>
      <c r="BF140" s="3337"/>
      <c r="BG140" s="3337"/>
      <c r="BH140" s="3447"/>
      <c r="BI140" s="3123"/>
      <c r="BJ140" s="3123"/>
      <c r="BK140" s="3353"/>
      <c r="BL140" s="3337"/>
      <c r="BM140" s="3182"/>
      <c r="BN140" s="3382"/>
      <c r="BO140" s="3355"/>
      <c r="BP140" s="3382"/>
      <c r="BQ140" s="3355"/>
      <c r="BR140" s="3161"/>
      <c r="BS140" s="656"/>
      <c r="BT140" s="656"/>
    </row>
    <row r="141" spans="1:72" s="657" customFormat="1" ht="31.5" customHeight="1" x14ac:dyDescent="0.2">
      <c r="A141" s="3271"/>
      <c r="B141" s="3275"/>
      <c r="C141" s="3276"/>
      <c r="D141" s="3390"/>
      <c r="E141" s="3390"/>
      <c r="F141" s="3390"/>
      <c r="G141" s="656"/>
      <c r="H141" s="1927"/>
      <c r="I141" s="1928"/>
      <c r="J141" s="3356"/>
      <c r="K141" s="3392"/>
      <c r="L141" s="3433"/>
      <c r="M141" s="3434"/>
      <c r="N141" s="3435"/>
      <c r="O141" s="2031"/>
      <c r="P141" s="3420"/>
      <c r="Q141" s="3293"/>
      <c r="R141" s="3427"/>
      <c r="S141" s="3432"/>
      <c r="T141" s="3318"/>
      <c r="U141" s="3318"/>
      <c r="V141" s="1912" t="s">
        <v>1852</v>
      </c>
      <c r="W141" s="1913">
        <v>10899083</v>
      </c>
      <c r="X141" s="1913">
        <v>8000000</v>
      </c>
      <c r="Y141" s="1913">
        <v>0</v>
      </c>
      <c r="Z141" s="2026">
        <v>20</v>
      </c>
      <c r="AA141" s="2019" t="s">
        <v>86</v>
      </c>
      <c r="AB141" s="3444"/>
      <c r="AC141" s="3338"/>
      <c r="AD141" s="3444"/>
      <c r="AE141" s="3338"/>
      <c r="AF141" s="3338"/>
      <c r="AG141" s="3444"/>
      <c r="AH141" s="3444"/>
      <c r="AI141" s="3444"/>
      <c r="AJ141" s="3444"/>
      <c r="AK141" s="3444"/>
      <c r="AL141" s="3444"/>
      <c r="AM141" s="3444"/>
      <c r="AN141" s="3329"/>
      <c r="AO141" s="3329"/>
      <c r="AP141" s="3329"/>
      <c r="AQ141" s="3329"/>
      <c r="AR141" s="3329"/>
      <c r="AS141" s="3329"/>
      <c r="AT141" s="3329"/>
      <c r="AU141" s="3329"/>
      <c r="AV141" s="3329"/>
      <c r="AW141" s="3329"/>
      <c r="AX141" s="3329"/>
      <c r="AY141" s="3329"/>
      <c r="AZ141" s="3329"/>
      <c r="BA141" s="3329"/>
      <c r="BB141" s="3329"/>
      <c r="BC141" s="3329"/>
      <c r="BD141" s="3329"/>
      <c r="BE141" s="3329"/>
      <c r="BF141" s="3338"/>
      <c r="BG141" s="3338"/>
      <c r="BH141" s="3448"/>
      <c r="BI141" s="3124"/>
      <c r="BJ141" s="3124"/>
      <c r="BK141" s="3354"/>
      <c r="BL141" s="3338"/>
      <c r="BM141" s="3171"/>
      <c r="BN141" s="3383"/>
      <c r="BO141" s="3170"/>
      <c r="BP141" s="3383"/>
      <c r="BQ141" s="3170"/>
      <c r="BR141" s="3161"/>
      <c r="BS141" s="656"/>
      <c r="BT141" s="656"/>
    </row>
    <row r="142" spans="1:72" s="656" customFormat="1" ht="15" customHeight="1" x14ac:dyDescent="0.2">
      <c r="A142" s="3271"/>
      <c r="B142" s="3275"/>
      <c r="C142" s="3276"/>
      <c r="D142" s="3390"/>
      <c r="E142" s="3390"/>
      <c r="F142" s="3390"/>
      <c r="G142" s="1886">
        <v>82</v>
      </c>
      <c r="H142" s="1366" t="s">
        <v>2035</v>
      </c>
      <c r="I142" s="1366"/>
      <c r="J142" s="1932"/>
      <c r="K142" s="1933"/>
      <c r="L142" s="1934"/>
      <c r="M142" s="2013"/>
      <c r="N142" s="1434"/>
      <c r="O142" s="1434"/>
      <c r="P142" s="1438"/>
      <c r="Q142" s="1368"/>
      <c r="R142" s="1935"/>
      <c r="S142" s="1936"/>
      <c r="T142" s="1934"/>
      <c r="U142" s="1933"/>
      <c r="V142" s="1933"/>
      <c r="W142" s="1937"/>
      <c r="X142" s="1937"/>
      <c r="Y142" s="1938"/>
      <c r="Z142" s="1977"/>
      <c r="AA142" s="1977"/>
      <c r="AB142" s="1978"/>
      <c r="AC142" s="1978"/>
      <c r="AD142" s="1978"/>
      <c r="AE142" s="1978"/>
      <c r="AF142" s="1978"/>
      <c r="AG142" s="1978"/>
      <c r="AH142" s="1978"/>
      <c r="AI142" s="1978"/>
      <c r="AJ142" s="1978"/>
      <c r="AK142" s="1978"/>
      <c r="AL142" s="1978"/>
      <c r="AM142" s="1978"/>
      <c r="AN142" s="1978"/>
      <c r="AO142" s="1978"/>
      <c r="AP142" s="1978"/>
      <c r="AQ142" s="1978"/>
      <c r="AR142" s="1978"/>
      <c r="AS142" s="1978"/>
      <c r="AT142" s="1978"/>
      <c r="AU142" s="1978"/>
      <c r="AV142" s="1978"/>
      <c r="AW142" s="1978"/>
      <c r="AX142" s="1978"/>
      <c r="AY142" s="1978"/>
      <c r="AZ142" s="1978"/>
      <c r="BA142" s="1978"/>
      <c r="BB142" s="1978"/>
      <c r="BC142" s="1978"/>
      <c r="BD142" s="1368"/>
      <c r="BE142" s="1368"/>
      <c r="BF142" s="1368"/>
      <c r="BG142" s="1368"/>
      <c r="BH142" s="1368"/>
      <c r="BI142" s="2030"/>
      <c r="BJ142" s="2030"/>
      <c r="BK142" s="1368"/>
      <c r="BL142" s="1368"/>
      <c r="BM142" s="1368"/>
      <c r="BN142" s="1368"/>
      <c r="BO142" s="1368"/>
      <c r="BP142" s="1368"/>
      <c r="BQ142" s="1368"/>
      <c r="BR142" s="1375"/>
    </row>
    <row r="143" spans="1:72" s="657" customFormat="1" ht="42" customHeight="1" x14ac:dyDescent="0.2">
      <c r="A143" s="3271"/>
      <c r="B143" s="3275"/>
      <c r="C143" s="3276"/>
      <c r="D143" s="3390"/>
      <c r="E143" s="3390"/>
      <c r="F143" s="3390"/>
      <c r="G143" s="656"/>
      <c r="H143" s="1896"/>
      <c r="I143" s="1897"/>
      <c r="J143" s="3356">
        <v>241</v>
      </c>
      <c r="K143" s="3392" t="s">
        <v>2036</v>
      </c>
      <c r="L143" s="3345" t="s">
        <v>2037</v>
      </c>
      <c r="M143" s="3347">
        <v>1</v>
      </c>
      <c r="N143" s="3422">
        <v>0.68</v>
      </c>
      <c r="O143" s="3450" t="s">
        <v>2038</v>
      </c>
      <c r="P143" s="3420" t="s">
        <v>2039</v>
      </c>
      <c r="Q143" s="3293" t="s">
        <v>2040</v>
      </c>
      <c r="R143" s="3442">
        <f>SUM(W143:W144)/S143</f>
        <v>0.43641444500979354</v>
      </c>
      <c r="S143" s="3413">
        <f>SUM(W143:W146)</f>
        <v>84323515</v>
      </c>
      <c r="T143" s="3318" t="s">
        <v>2041</v>
      </c>
      <c r="U143" s="3318" t="s">
        <v>2042</v>
      </c>
      <c r="V143" s="1912" t="s">
        <v>2043</v>
      </c>
      <c r="W143" s="1913">
        <v>8540200</v>
      </c>
      <c r="X143" s="2036"/>
      <c r="Y143" s="2036"/>
      <c r="Z143" s="2033" t="s">
        <v>356</v>
      </c>
      <c r="AA143" s="2019" t="s">
        <v>1910</v>
      </c>
      <c r="AB143" s="3425">
        <v>1632</v>
      </c>
      <c r="AC143" s="3336">
        <v>800</v>
      </c>
      <c r="AD143" s="3388">
        <v>1568</v>
      </c>
      <c r="AE143" s="3336">
        <v>768</v>
      </c>
      <c r="AF143" s="3388">
        <v>974</v>
      </c>
      <c r="AG143" s="3336">
        <v>329</v>
      </c>
      <c r="AH143" s="3388">
        <v>718</v>
      </c>
      <c r="AI143" s="3336">
        <v>332</v>
      </c>
      <c r="AJ143" s="3388">
        <v>410</v>
      </c>
      <c r="AK143" s="3336">
        <v>328</v>
      </c>
      <c r="AL143" s="3388">
        <v>1098</v>
      </c>
      <c r="AM143" s="3336">
        <v>579</v>
      </c>
      <c r="AN143" s="3388"/>
      <c r="AO143" s="3336"/>
      <c r="AP143" s="3388"/>
      <c r="AQ143" s="3336"/>
      <c r="AR143" s="3388"/>
      <c r="AS143" s="3336"/>
      <c r="AT143" s="3388"/>
      <c r="AU143" s="3336"/>
      <c r="AV143" s="3388"/>
      <c r="AW143" s="3336"/>
      <c r="AX143" s="3388"/>
      <c r="AY143" s="3336"/>
      <c r="AZ143" s="3388"/>
      <c r="BA143" s="3336"/>
      <c r="BB143" s="3388"/>
      <c r="BC143" s="3336"/>
      <c r="BD143" s="3388"/>
      <c r="BE143" s="3336"/>
      <c r="BF143" s="3336">
        <v>3200</v>
      </c>
      <c r="BG143" s="3336">
        <v>1568</v>
      </c>
      <c r="BH143" s="3336">
        <v>2</v>
      </c>
      <c r="BI143" s="3339">
        <f>SUM(X144:X146)</f>
        <v>24962200</v>
      </c>
      <c r="BJ143" s="3339">
        <f>SUM(Y144:Y146)</f>
        <v>12311200</v>
      </c>
      <c r="BK143" s="3352">
        <f>BJ143/BI143</f>
        <v>0.49319370888783842</v>
      </c>
      <c r="BL143" s="3336">
        <v>20</v>
      </c>
      <c r="BM143" s="3154" t="s">
        <v>2007</v>
      </c>
      <c r="BN143" s="3403">
        <v>43480</v>
      </c>
      <c r="BO143" s="3403">
        <v>43480</v>
      </c>
      <c r="BP143" s="3403">
        <v>43819</v>
      </c>
      <c r="BQ143" s="3403">
        <v>43809</v>
      </c>
      <c r="BR143" s="3400" t="s">
        <v>1835</v>
      </c>
      <c r="BS143" s="656"/>
      <c r="BT143" s="656"/>
    </row>
    <row r="144" spans="1:72" s="657" customFormat="1" ht="45.75" customHeight="1" x14ac:dyDescent="0.2">
      <c r="A144" s="3271"/>
      <c r="B144" s="3275"/>
      <c r="C144" s="3276"/>
      <c r="D144" s="3390"/>
      <c r="E144" s="3390"/>
      <c r="F144" s="3390"/>
      <c r="G144" s="656"/>
      <c r="H144" s="1903"/>
      <c r="I144" s="1904"/>
      <c r="J144" s="3356"/>
      <c r="K144" s="3392"/>
      <c r="L144" s="3345"/>
      <c r="M144" s="3347"/>
      <c r="N144" s="3422"/>
      <c r="O144" s="3450"/>
      <c r="P144" s="3420"/>
      <c r="Q144" s="3293"/>
      <c r="R144" s="3442"/>
      <c r="S144" s="3414"/>
      <c r="T144" s="3318"/>
      <c r="U144" s="3318"/>
      <c r="V144" s="1912" t="s">
        <v>2044</v>
      </c>
      <c r="W144" s="1913">
        <v>28259800</v>
      </c>
      <c r="X144" s="1325">
        <v>24962200</v>
      </c>
      <c r="Y144" s="1325">
        <v>12311200</v>
      </c>
      <c r="Z144" s="2026">
        <v>20</v>
      </c>
      <c r="AA144" s="2019" t="s">
        <v>86</v>
      </c>
      <c r="AB144" s="3426"/>
      <c r="AC144" s="3337"/>
      <c r="AD144" s="3389"/>
      <c r="AE144" s="3337"/>
      <c r="AF144" s="3389"/>
      <c r="AG144" s="3337"/>
      <c r="AH144" s="3389"/>
      <c r="AI144" s="3337"/>
      <c r="AJ144" s="3389"/>
      <c r="AK144" s="3337"/>
      <c r="AL144" s="3389"/>
      <c r="AM144" s="3337"/>
      <c r="AN144" s="3389"/>
      <c r="AO144" s="3337"/>
      <c r="AP144" s="3389"/>
      <c r="AQ144" s="3337"/>
      <c r="AR144" s="3389"/>
      <c r="AS144" s="3337"/>
      <c r="AT144" s="3389"/>
      <c r="AU144" s="3337"/>
      <c r="AV144" s="3389"/>
      <c r="AW144" s="3337"/>
      <c r="AX144" s="3389"/>
      <c r="AY144" s="3337"/>
      <c r="AZ144" s="3389"/>
      <c r="BA144" s="3337"/>
      <c r="BB144" s="3389"/>
      <c r="BC144" s="3337"/>
      <c r="BD144" s="3389"/>
      <c r="BE144" s="3337"/>
      <c r="BF144" s="3337"/>
      <c r="BG144" s="3337"/>
      <c r="BH144" s="3337"/>
      <c r="BI144" s="3123"/>
      <c r="BJ144" s="3123"/>
      <c r="BK144" s="3353"/>
      <c r="BL144" s="3337"/>
      <c r="BM144" s="3182"/>
      <c r="BN144" s="3404"/>
      <c r="BO144" s="3404"/>
      <c r="BP144" s="3404"/>
      <c r="BQ144" s="3404"/>
      <c r="BR144" s="3396"/>
      <c r="BS144" s="3342"/>
      <c r="BT144" s="656"/>
    </row>
    <row r="145" spans="1:72" s="657" customFormat="1" ht="40.5" customHeight="1" x14ac:dyDescent="0.2">
      <c r="A145" s="3271"/>
      <c r="B145" s="3275"/>
      <c r="C145" s="3276"/>
      <c r="D145" s="3390"/>
      <c r="E145" s="3390"/>
      <c r="F145" s="3390"/>
      <c r="G145" s="656"/>
      <c r="H145" s="1903"/>
      <c r="I145" s="1904"/>
      <c r="J145" s="3287">
        <v>242</v>
      </c>
      <c r="K145" s="3436" t="s">
        <v>2045</v>
      </c>
      <c r="L145" s="3285" t="s">
        <v>2046</v>
      </c>
      <c r="M145" s="3357">
        <v>1</v>
      </c>
      <c r="N145" s="3422">
        <v>0.5</v>
      </c>
      <c r="O145" s="3450"/>
      <c r="P145" s="3420"/>
      <c r="Q145" s="3293"/>
      <c r="R145" s="3442">
        <f>SUM(W145:W146)/S143</f>
        <v>0.56358555499020646</v>
      </c>
      <c r="S145" s="3414"/>
      <c r="T145" s="3318"/>
      <c r="U145" s="3318"/>
      <c r="V145" s="1912" t="s">
        <v>2047</v>
      </c>
      <c r="W145" s="1913">
        <v>3000000</v>
      </c>
      <c r="X145" s="1913">
        <v>0</v>
      </c>
      <c r="Y145" s="1913">
        <v>0</v>
      </c>
      <c r="Z145" s="2026">
        <v>20</v>
      </c>
      <c r="AA145" s="2019" t="s">
        <v>86</v>
      </c>
      <c r="AB145" s="3426"/>
      <c r="AC145" s="3337"/>
      <c r="AD145" s="3389"/>
      <c r="AE145" s="3337"/>
      <c r="AF145" s="3389"/>
      <c r="AG145" s="3337"/>
      <c r="AH145" s="3389"/>
      <c r="AI145" s="3337"/>
      <c r="AJ145" s="3389"/>
      <c r="AK145" s="3337"/>
      <c r="AL145" s="3389"/>
      <c r="AM145" s="3337"/>
      <c r="AN145" s="3389"/>
      <c r="AO145" s="3337"/>
      <c r="AP145" s="3389"/>
      <c r="AQ145" s="3337"/>
      <c r="AR145" s="3389"/>
      <c r="AS145" s="3337"/>
      <c r="AT145" s="3389"/>
      <c r="AU145" s="3337"/>
      <c r="AV145" s="3389"/>
      <c r="AW145" s="3337"/>
      <c r="AX145" s="3389"/>
      <c r="AY145" s="3337"/>
      <c r="AZ145" s="3389"/>
      <c r="BA145" s="3337"/>
      <c r="BB145" s="3389"/>
      <c r="BC145" s="3337"/>
      <c r="BD145" s="3389"/>
      <c r="BE145" s="3337"/>
      <c r="BF145" s="3337"/>
      <c r="BG145" s="3337"/>
      <c r="BH145" s="3337"/>
      <c r="BI145" s="3123"/>
      <c r="BJ145" s="3123"/>
      <c r="BK145" s="3353"/>
      <c r="BL145" s="3337"/>
      <c r="BM145" s="3182"/>
      <c r="BN145" s="3404"/>
      <c r="BO145" s="3404"/>
      <c r="BP145" s="3404"/>
      <c r="BQ145" s="3404"/>
      <c r="BR145" s="3396"/>
      <c r="BS145" s="3342"/>
      <c r="BT145" s="656"/>
    </row>
    <row r="146" spans="1:72" s="657" customFormat="1" ht="36.75" customHeight="1" x14ac:dyDescent="0.2">
      <c r="A146" s="3271"/>
      <c r="B146" s="3275"/>
      <c r="C146" s="3276"/>
      <c r="D146" s="3390"/>
      <c r="E146" s="3390"/>
      <c r="F146" s="3390"/>
      <c r="G146" s="656"/>
      <c r="H146" s="1927"/>
      <c r="I146" s="1928"/>
      <c r="J146" s="3288"/>
      <c r="K146" s="3438"/>
      <c r="L146" s="3286"/>
      <c r="M146" s="3359"/>
      <c r="N146" s="3422"/>
      <c r="O146" s="3450"/>
      <c r="P146" s="3420"/>
      <c r="Q146" s="3293"/>
      <c r="R146" s="3442"/>
      <c r="S146" s="3415"/>
      <c r="T146" s="3318"/>
      <c r="U146" s="3318"/>
      <c r="V146" s="1912" t="s">
        <v>2048</v>
      </c>
      <c r="W146" s="1913">
        <v>44523515</v>
      </c>
      <c r="X146" s="1913">
        <v>0</v>
      </c>
      <c r="Y146" s="1913">
        <v>0</v>
      </c>
      <c r="Z146" s="2026">
        <v>20</v>
      </c>
      <c r="AA146" s="2019" t="s">
        <v>86</v>
      </c>
      <c r="AB146" s="3426"/>
      <c r="AC146" s="3338"/>
      <c r="AD146" s="3389"/>
      <c r="AE146" s="3338"/>
      <c r="AF146" s="3389"/>
      <c r="AG146" s="3338"/>
      <c r="AH146" s="3389"/>
      <c r="AI146" s="3338"/>
      <c r="AJ146" s="3389"/>
      <c r="AK146" s="3338"/>
      <c r="AL146" s="3389"/>
      <c r="AM146" s="3338"/>
      <c r="AN146" s="3389"/>
      <c r="AO146" s="3338"/>
      <c r="AP146" s="3389"/>
      <c r="AQ146" s="3338"/>
      <c r="AR146" s="3389"/>
      <c r="AS146" s="3338"/>
      <c r="AT146" s="3389"/>
      <c r="AU146" s="3338"/>
      <c r="AV146" s="3389"/>
      <c r="AW146" s="3338"/>
      <c r="AX146" s="3389"/>
      <c r="AY146" s="3338"/>
      <c r="AZ146" s="3389"/>
      <c r="BA146" s="3338"/>
      <c r="BB146" s="3389"/>
      <c r="BC146" s="3338"/>
      <c r="BD146" s="3389"/>
      <c r="BE146" s="3338"/>
      <c r="BF146" s="3338"/>
      <c r="BG146" s="3338"/>
      <c r="BH146" s="3338"/>
      <c r="BI146" s="3124"/>
      <c r="BJ146" s="3124"/>
      <c r="BK146" s="3354"/>
      <c r="BL146" s="3338"/>
      <c r="BM146" s="3171"/>
      <c r="BN146" s="3405"/>
      <c r="BO146" s="3405"/>
      <c r="BP146" s="3405"/>
      <c r="BQ146" s="3405"/>
      <c r="BR146" s="3396"/>
      <c r="BS146" s="3342"/>
      <c r="BT146" s="656"/>
    </row>
    <row r="147" spans="1:72" s="656" customFormat="1" ht="15" customHeight="1" x14ac:dyDescent="0.2">
      <c r="A147" s="3271"/>
      <c r="B147" s="3275"/>
      <c r="C147" s="3276"/>
      <c r="D147" s="1964">
        <v>27</v>
      </c>
      <c r="E147" s="2037" t="s">
        <v>2049</v>
      </c>
      <c r="F147" s="2037"/>
      <c r="G147" s="2038"/>
      <c r="H147" s="2038"/>
      <c r="I147" s="1874"/>
      <c r="J147" s="1966"/>
      <c r="K147" s="1967"/>
      <c r="L147" s="1968"/>
      <c r="M147" s="1969"/>
      <c r="N147" s="1969"/>
      <c r="O147" s="1878"/>
      <c r="P147" s="1875"/>
      <c r="Q147" s="1877"/>
      <c r="R147" s="1970"/>
      <c r="S147" s="1971"/>
      <c r="T147" s="1968"/>
      <c r="U147" s="1967"/>
      <c r="V147" s="1967"/>
      <c r="W147" s="1972"/>
      <c r="X147" s="1973"/>
      <c r="Y147" s="1973"/>
      <c r="Z147" s="2039"/>
      <c r="AA147" s="2039"/>
      <c r="AB147" s="1877"/>
      <c r="AC147" s="1877"/>
      <c r="AD147" s="1877"/>
      <c r="AE147" s="1877"/>
      <c r="AF147" s="1877"/>
      <c r="AG147" s="1877"/>
      <c r="AH147" s="1877"/>
      <c r="AI147" s="1877"/>
      <c r="AJ147" s="1877"/>
      <c r="AK147" s="1877"/>
      <c r="AL147" s="1877"/>
      <c r="AM147" s="1877"/>
      <c r="AN147" s="1877"/>
      <c r="AO147" s="1877"/>
      <c r="AP147" s="1877"/>
      <c r="AQ147" s="1877"/>
      <c r="AR147" s="1877"/>
      <c r="AS147" s="1877"/>
      <c r="AT147" s="1877"/>
      <c r="AU147" s="1877"/>
      <c r="AV147" s="1877"/>
      <c r="AW147" s="1877"/>
      <c r="AX147" s="1877"/>
      <c r="AY147" s="1877"/>
      <c r="AZ147" s="1877"/>
      <c r="BA147" s="1877"/>
      <c r="BB147" s="1877"/>
      <c r="BC147" s="1877"/>
      <c r="BD147" s="1877"/>
      <c r="BE147" s="1877"/>
      <c r="BF147" s="1877"/>
      <c r="BG147" s="1877"/>
      <c r="BH147" s="1877"/>
      <c r="BI147" s="1975"/>
      <c r="BJ147" s="1975"/>
      <c r="BK147" s="1877"/>
      <c r="BL147" s="1877"/>
      <c r="BM147" s="1877"/>
      <c r="BN147" s="1877"/>
      <c r="BO147" s="1877"/>
      <c r="BP147" s="1877"/>
      <c r="BQ147" s="1877"/>
      <c r="BR147" s="1884"/>
    </row>
    <row r="148" spans="1:72" s="656" customFormat="1" ht="15" customHeight="1" x14ac:dyDescent="0.2">
      <c r="A148" s="3271"/>
      <c r="B148" s="3275"/>
      <c r="C148" s="3276"/>
      <c r="D148" s="3452"/>
      <c r="E148" s="3453"/>
      <c r="F148" s="3453"/>
      <c r="G148" s="1886">
        <v>85</v>
      </c>
      <c r="H148" s="1366" t="s">
        <v>2050</v>
      </c>
      <c r="I148" s="1366"/>
      <c r="J148" s="1887"/>
      <c r="K148" s="1888"/>
      <c r="L148" s="1889"/>
      <c r="M148" s="1433"/>
      <c r="N148" s="1433"/>
      <c r="O148" s="1434"/>
      <c r="P148" s="1438"/>
      <c r="Q148" s="1368"/>
      <c r="R148" s="1890"/>
      <c r="S148" s="1976"/>
      <c r="T148" s="1889"/>
      <c r="U148" s="1888"/>
      <c r="V148" s="1888"/>
      <c r="W148" s="1937"/>
      <c r="X148" s="1937"/>
      <c r="Y148" s="1938"/>
      <c r="Z148" s="1977"/>
      <c r="AA148" s="1977"/>
      <c r="AB148" s="1978"/>
      <c r="AC148" s="1978"/>
      <c r="AD148" s="1978"/>
      <c r="AE148" s="1978"/>
      <c r="AF148" s="1978"/>
      <c r="AG148" s="1978"/>
      <c r="AH148" s="1978"/>
      <c r="AI148" s="1978"/>
      <c r="AJ148" s="1978"/>
      <c r="AK148" s="1978"/>
      <c r="AL148" s="1978"/>
      <c r="AM148" s="1978"/>
      <c r="AN148" s="1978"/>
      <c r="AO148" s="1978"/>
      <c r="AP148" s="1978"/>
      <c r="AQ148" s="1978"/>
      <c r="AR148" s="1978"/>
      <c r="AS148" s="1978"/>
      <c r="AT148" s="1978"/>
      <c r="AU148" s="1978"/>
      <c r="AV148" s="1978"/>
      <c r="AW148" s="1978"/>
      <c r="AX148" s="1978"/>
      <c r="AY148" s="1978"/>
      <c r="AZ148" s="1978"/>
      <c r="BA148" s="1978"/>
      <c r="BB148" s="1978"/>
      <c r="BC148" s="1978"/>
      <c r="BD148" s="1978"/>
      <c r="BE148" s="1978"/>
      <c r="BF148" s="1978"/>
      <c r="BG148" s="1978"/>
      <c r="BH148" s="1978"/>
      <c r="BI148" s="1979"/>
      <c r="BJ148" s="1979"/>
      <c r="BK148" s="1978"/>
      <c r="BL148" s="1978"/>
      <c r="BM148" s="1978"/>
      <c r="BN148" s="1978"/>
      <c r="BO148" s="1978"/>
      <c r="BP148" s="1978"/>
      <c r="BQ148" s="1978"/>
      <c r="BR148" s="1980"/>
    </row>
    <row r="149" spans="1:72" s="657" customFormat="1" ht="27.75" customHeight="1" x14ac:dyDescent="0.2">
      <c r="A149" s="3271"/>
      <c r="B149" s="3275"/>
      <c r="C149" s="3276"/>
      <c r="D149" s="3454"/>
      <c r="E149" s="3455"/>
      <c r="F149" s="3455"/>
      <c r="G149" s="656"/>
      <c r="H149" s="1896"/>
      <c r="I149" s="1897"/>
      <c r="J149" s="3357">
        <v>250</v>
      </c>
      <c r="K149" s="3349" t="s">
        <v>2051</v>
      </c>
      <c r="L149" s="3458" t="s">
        <v>2052</v>
      </c>
      <c r="M149" s="3357">
        <v>3</v>
      </c>
      <c r="N149" s="3347">
        <v>3</v>
      </c>
      <c r="O149" s="3467" t="s">
        <v>2053</v>
      </c>
      <c r="P149" s="3420" t="s">
        <v>2054</v>
      </c>
      <c r="Q149" s="3293" t="s">
        <v>2055</v>
      </c>
      <c r="R149" s="3461">
        <f>SUM(W149:W162)/S149</f>
        <v>0.50827490823121779</v>
      </c>
      <c r="S149" s="3413">
        <f>SUM(W149:W175)</f>
        <v>700271633</v>
      </c>
      <c r="T149" s="3318" t="s">
        <v>2056</v>
      </c>
      <c r="U149" s="3318" t="s">
        <v>2057</v>
      </c>
      <c r="V149" s="2920" t="s">
        <v>2058</v>
      </c>
      <c r="W149" s="1913">
        <v>65420000</v>
      </c>
      <c r="X149" s="1917">
        <v>63867366</v>
      </c>
      <c r="Y149" s="1917">
        <v>63867366</v>
      </c>
      <c r="Z149" s="2040">
        <v>20</v>
      </c>
      <c r="AA149" s="2041" t="s">
        <v>1910</v>
      </c>
      <c r="AB149" s="3471">
        <v>5202</v>
      </c>
      <c r="AC149" s="3336">
        <v>2081</v>
      </c>
      <c r="AD149" s="3468">
        <v>4998</v>
      </c>
      <c r="AE149" s="3336">
        <v>2000</v>
      </c>
      <c r="AF149" s="3468">
        <v>3103</v>
      </c>
      <c r="AG149" s="3336">
        <v>1000</v>
      </c>
      <c r="AH149" s="3468">
        <v>2288</v>
      </c>
      <c r="AI149" s="3336">
        <v>1754</v>
      </c>
      <c r="AJ149" s="3468">
        <v>1306</v>
      </c>
      <c r="AK149" s="3336">
        <v>648</v>
      </c>
      <c r="AL149" s="3468">
        <v>3503</v>
      </c>
      <c r="AM149" s="3336">
        <v>679</v>
      </c>
      <c r="AN149" s="3468"/>
      <c r="AO149" s="3336"/>
      <c r="AP149" s="3468"/>
      <c r="AQ149" s="3336"/>
      <c r="AR149" s="3468"/>
      <c r="AS149" s="3336"/>
      <c r="AT149" s="3468"/>
      <c r="AU149" s="3336"/>
      <c r="AV149" s="3468"/>
      <c r="AW149" s="3336"/>
      <c r="AX149" s="3468"/>
      <c r="AY149" s="3336"/>
      <c r="AZ149" s="3468"/>
      <c r="BA149" s="3336"/>
      <c r="BB149" s="3468"/>
      <c r="BC149" s="3336"/>
      <c r="BD149" s="3468"/>
      <c r="BE149" s="3336"/>
      <c r="BF149" s="3336">
        <v>10200</v>
      </c>
      <c r="BG149" s="3336">
        <v>4081</v>
      </c>
      <c r="BH149" s="3336">
        <v>22</v>
      </c>
      <c r="BI149" s="3339">
        <f>SUM(X149:X175)</f>
        <v>510018934</v>
      </c>
      <c r="BJ149" s="3339">
        <f>SUM(Y149:Y175)</f>
        <v>204173599</v>
      </c>
      <c r="BK149" s="3352">
        <f>BJ149/BI149</f>
        <v>0.40032552791461662</v>
      </c>
      <c r="BL149" s="1989"/>
      <c r="BM149" s="1989"/>
      <c r="BN149" s="3403">
        <v>43753</v>
      </c>
      <c r="BO149" s="3403">
        <v>43671</v>
      </c>
      <c r="BP149" s="3381">
        <v>43758</v>
      </c>
      <c r="BQ149" s="3381">
        <v>43819</v>
      </c>
      <c r="BR149" s="3400" t="s">
        <v>1884</v>
      </c>
      <c r="BS149" s="656"/>
      <c r="BT149" s="656"/>
    </row>
    <row r="150" spans="1:72" s="657" customFormat="1" ht="24.75" customHeight="1" x14ac:dyDescent="0.2">
      <c r="A150" s="3271"/>
      <c r="B150" s="3275"/>
      <c r="C150" s="3276"/>
      <c r="D150" s="3454"/>
      <c r="E150" s="3455"/>
      <c r="F150" s="3455"/>
      <c r="G150" s="656"/>
      <c r="H150" s="1903"/>
      <c r="I150" s="1904"/>
      <c r="J150" s="3358"/>
      <c r="K150" s="3350"/>
      <c r="L150" s="3459"/>
      <c r="M150" s="3358"/>
      <c r="N150" s="3347"/>
      <c r="O150" s="3450"/>
      <c r="P150" s="3420"/>
      <c r="Q150" s="3293"/>
      <c r="R150" s="3462"/>
      <c r="S150" s="3414"/>
      <c r="T150" s="3318"/>
      <c r="U150" s="3318"/>
      <c r="V150" s="2921"/>
      <c r="W150" s="1913">
        <v>62420000</v>
      </c>
      <c r="X150" s="1917">
        <v>62420000</v>
      </c>
      <c r="Y150" s="1917">
        <v>2261933</v>
      </c>
      <c r="Z150" s="2040">
        <v>88</v>
      </c>
      <c r="AA150" s="2041" t="s">
        <v>1993</v>
      </c>
      <c r="AB150" s="3471"/>
      <c r="AC150" s="3337"/>
      <c r="AD150" s="3468"/>
      <c r="AE150" s="3337"/>
      <c r="AF150" s="3468"/>
      <c r="AG150" s="3337"/>
      <c r="AH150" s="3468"/>
      <c r="AI150" s="3337"/>
      <c r="AJ150" s="3468"/>
      <c r="AK150" s="3337"/>
      <c r="AL150" s="3468"/>
      <c r="AM150" s="3337"/>
      <c r="AN150" s="3468"/>
      <c r="AO150" s="3337"/>
      <c r="AP150" s="3468"/>
      <c r="AQ150" s="3337"/>
      <c r="AR150" s="3468"/>
      <c r="AS150" s="3337"/>
      <c r="AT150" s="3468"/>
      <c r="AU150" s="3337"/>
      <c r="AV150" s="3468"/>
      <c r="AW150" s="3337"/>
      <c r="AX150" s="3468"/>
      <c r="AY150" s="3337"/>
      <c r="AZ150" s="3468"/>
      <c r="BA150" s="3337"/>
      <c r="BB150" s="3468"/>
      <c r="BC150" s="3337"/>
      <c r="BD150" s="3468"/>
      <c r="BE150" s="3337"/>
      <c r="BF150" s="3337"/>
      <c r="BG150" s="3337"/>
      <c r="BH150" s="3337"/>
      <c r="BI150" s="3123"/>
      <c r="BJ150" s="3123"/>
      <c r="BK150" s="3353"/>
      <c r="BL150" s="1996"/>
      <c r="BM150" s="1996"/>
      <c r="BN150" s="3404"/>
      <c r="BO150" s="3404"/>
      <c r="BP150" s="3382"/>
      <c r="BQ150" s="3382"/>
      <c r="BR150" s="3400"/>
      <c r="BS150" s="656"/>
      <c r="BT150" s="656"/>
    </row>
    <row r="151" spans="1:72" s="657" customFormat="1" ht="29.25" customHeight="1" x14ac:dyDescent="0.2">
      <c r="A151" s="3271"/>
      <c r="B151" s="3275"/>
      <c r="C151" s="3276"/>
      <c r="D151" s="3454"/>
      <c r="E151" s="3455"/>
      <c r="F151" s="3455"/>
      <c r="G151" s="656"/>
      <c r="H151" s="1903"/>
      <c r="I151" s="1904"/>
      <c r="J151" s="3358"/>
      <c r="K151" s="3350"/>
      <c r="L151" s="3459"/>
      <c r="M151" s="3358"/>
      <c r="N151" s="3347"/>
      <c r="O151" s="3450"/>
      <c r="P151" s="3420"/>
      <c r="Q151" s="3293"/>
      <c r="R151" s="3462"/>
      <c r="S151" s="3414"/>
      <c r="T151" s="3318"/>
      <c r="U151" s="3318"/>
      <c r="V151" s="2920" t="s">
        <v>2059</v>
      </c>
      <c r="W151" s="1913">
        <v>28000000</v>
      </c>
      <c r="X151" s="1917">
        <v>28000000</v>
      </c>
      <c r="Y151" s="1917">
        <v>0</v>
      </c>
      <c r="Z151" s="2026">
        <v>20</v>
      </c>
      <c r="AA151" s="2019" t="s">
        <v>86</v>
      </c>
      <c r="AB151" s="3472"/>
      <c r="AC151" s="3337"/>
      <c r="AD151" s="3469"/>
      <c r="AE151" s="3337"/>
      <c r="AF151" s="3469"/>
      <c r="AG151" s="3337"/>
      <c r="AH151" s="3469"/>
      <c r="AI151" s="3337"/>
      <c r="AJ151" s="3469"/>
      <c r="AK151" s="3337"/>
      <c r="AL151" s="3469"/>
      <c r="AM151" s="3337"/>
      <c r="AN151" s="3469"/>
      <c r="AO151" s="3337"/>
      <c r="AP151" s="3469"/>
      <c r="AQ151" s="3337"/>
      <c r="AR151" s="3469"/>
      <c r="AS151" s="3337"/>
      <c r="AT151" s="3469"/>
      <c r="AU151" s="3337"/>
      <c r="AV151" s="3469"/>
      <c r="AW151" s="3337"/>
      <c r="AX151" s="3469"/>
      <c r="AY151" s="3337"/>
      <c r="AZ151" s="3469"/>
      <c r="BA151" s="3337"/>
      <c r="BB151" s="3469"/>
      <c r="BC151" s="3337"/>
      <c r="BD151" s="3469"/>
      <c r="BE151" s="3337"/>
      <c r="BF151" s="3337"/>
      <c r="BG151" s="3337"/>
      <c r="BH151" s="3337"/>
      <c r="BI151" s="3123"/>
      <c r="BJ151" s="3123"/>
      <c r="BK151" s="3353"/>
      <c r="BL151" s="1996"/>
      <c r="BM151" s="1996"/>
      <c r="BN151" s="3404"/>
      <c r="BO151" s="3404"/>
      <c r="BP151" s="3382"/>
      <c r="BQ151" s="3382"/>
      <c r="BR151" s="3341"/>
      <c r="BS151" s="3342"/>
      <c r="BT151" s="656"/>
    </row>
    <row r="152" spans="1:72" s="657" customFormat="1" ht="27.75" customHeight="1" x14ac:dyDescent="0.2">
      <c r="A152" s="3271"/>
      <c r="B152" s="3275"/>
      <c r="C152" s="3276"/>
      <c r="D152" s="3454"/>
      <c r="E152" s="3455"/>
      <c r="F152" s="3455"/>
      <c r="G152" s="656"/>
      <c r="H152" s="1903"/>
      <c r="I152" s="1904"/>
      <c r="J152" s="3358"/>
      <c r="K152" s="3350"/>
      <c r="L152" s="3459"/>
      <c r="M152" s="3358"/>
      <c r="N152" s="3347"/>
      <c r="O152" s="3450"/>
      <c r="P152" s="3420"/>
      <c r="Q152" s="3293"/>
      <c r="R152" s="3462"/>
      <c r="S152" s="3414"/>
      <c r="T152" s="3318"/>
      <c r="U152" s="3318"/>
      <c r="V152" s="2921"/>
      <c r="W152" s="1913">
        <v>28000000</v>
      </c>
      <c r="X152" s="1917">
        <v>0</v>
      </c>
      <c r="Y152" s="1917">
        <v>0</v>
      </c>
      <c r="Z152" s="2026">
        <v>88</v>
      </c>
      <c r="AA152" s="2041" t="s">
        <v>1993</v>
      </c>
      <c r="AB152" s="3472"/>
      <c r="AC152" s="3337"/>
      <c r="AD152" s="3469"/>
      <c r="AE152" s="3337"/>
      <c r="AF152" s="3469"/>
      <c r="AG152" s="3337"/>
      <c r="AH152" s="3469"/>
      <c r="AI152" s="3337"/>
      <c r="AJ152" s="3469"/>
      <c r="AK152" s="3337"/>
      <c r="AL152" s="3469"/>
      <c r="AM152" s="3337"/>
      <c r="AN152" s="3469"/>
      <c r="AO152" s="3337"/>
      <c r="AP152" s="3469"/>
      <c r="AQ152" s="3337"/>
      <c r="AR152" s="3469"/>
      <c r="AS152" s="3337"/>
      <c r="AT152" s="3469"/>
      <c r="AU152" s="3337"/>
      <c r="AV152" s="3469"/>
      <c r="AW152" s="3337"/>
      <c r="AX152" s="3469"/>
      <c r="AY152" s="3337"/>
      <c r="AZ152" s="3469"/>
      <c r="BA152" s="3337"/>
      <c r="BB152" s="3469"/>
      <c r="BC152" s="3337"/>
      <c r="BD152" s="3469"/>
      <c r="BE152" s="3337"/>
      <c r="BF152" s="3337"/>
      <c r="BG152" s="3337"/>
      <c r="BH152" s="3337"/>
      <c r="BI152" s="3123"/>
      <c r="BJ152" s="3123"/>
      <c r="BK152" s="3353"/>
      <c r="BL152" s="1996"/>
      <c r="BM152" s="1996"/>
      <c r="BN152" s="3404"/>
      <c r="BO152" s="3404"/>
      <c r="BP152" s="3382"/>
      <c r="BQ152" s="3382"/>
      <c r="BR152" s="3341"/>
      <c r="BS152" s="3342"/>
      <c r="BT152" s="656"/>
    </row>
    <row r="153" spans="1:72" s="657" customFormat="1" ht="30" customHeight="1" x14ac:dyDescent="0.2">
      <c r="A153" s="3271"/>
      <c r="B153" s="3275"/>
      <c r="C153" s="3276"/>
      <c r="D153" s="3454"/>
      <c r="E153" s="3455"/>
      <c r="F153" s="3455"/>
      <c r="G153" s="656"/>
      <c r="H153" s="1903"/>
      <c r="I153" s="1904"/>
      <c r="J153" s="3358"/>
      <c r="K153" s="3350"/>
      <c r="L153" s="3459"/>
      <c r="M153" s="3358"/>
      <c r="N153" s="3347"/>
      <c r="O153" s="3450"/>
      <c r="P153" s="3420"/>
      <c r="Q153" s="3293"/>
      <c r="R153" s="3462"/>
      <c r="S153" s="3414"/>
      <c r="T153" s="3318"/>
      <c r="U153" s="3318"/>
      <c r="V153" s="2920" t="s">
        <v>2060</v>
      </c>
      <c r="W153" s="1917">
        <v>5000000</v>
      </c>
      <c r="X153" s="1917">
        <v>5000000</v>
      </c>
      <c r="Y153" s="1917">
        <v>5000000</v>
      </c>
      <c r="Z153" s="2026">
        <v>20</v>
      </c>
      <c r="AA153" s="2019" t="s">
        <v>86</v>
      </c>
      <c r="AB153" s="3472"/>
      <c r="AC153" s="3337"/>
      <c r="AD153" s="3469"/>
      <c r="AE153" s="3337"/>
      <c r="AF153" s="3469"/>
      <c r="AG153" s="3337"/>
      <c r="AH153" s="3469"/>
      <c r="AI153" s="3337"/>
      <c r="AJ153" s="3469"/>
      <c r="AK153" s="3337"/>
      <c r="AL153" s="3469"/>
      <c r="AM153" s="3337"/>
      <c r="AN153" s="3469"/>
      <c r="AO153" s="3337"/>
      <c r="AP153" s="3469"/>
      <c r="AQ153" s="3337"/>
      <c r="AR153" s="3469"/>
      <c r="AS153" s="3337"/>
      <c r="AT153" s="3469"/>
      <c r="AU153" s="3337"/>
      <c r="AV153" s="3469"/>
      <c r="AW153" s="3337"/>
      <c r="AX153" s="3469"/>
      <c r="AY153" s="3337"/>
      <c r="AZ153" s="3469"/>
      <c r="BA153" s="3337"/>
      <c r="BB153" s="3469"/>
      <c r="BC153" s="3337"/>
      <c r="BD153" s="3469"/>
      <c r="BE153" s="3337"/>
      <c r="BF153" s="3337"/>
      <c r="BG153" s="3337"/>
      <c r="BH153" s="3337"/>
      <c r="BI153" s="3123"/>
      <c r="BJ153" s="3123"/>
      <c r="BK153" s="3353"/>
      <c r="BL153" s="1996"/>
      <c r="BM153" s="1996"/>
      <c r="BN153" s="3404"/>
      <c r="BO153" s="3404"/>
      <c r="BP153" s="3382"/>
      <c r="BQ153" s="3382"/>
      <c r="BR153" s="3341"/>
      <c r="BS153" s="3342"/>
      <c r="BT153" s="656"/>
    </row>
    <row r="154" spans="1:72" s="657" customFormat="1" ht="30.75" customHeight="1" x14ac:dyDescent="0.2">
      <c r="A154" s="3271"/>
      <c r="B154" s="3275"/>
      <c r="C154" s="3276"/>
      <c r="D154" s="3454"/>
      <c r="E154" s="3455"/>
      <c r="F154" s="3455"/>
      <c r="G154" s="656"/>
      <c r="H154" s="1903"/>
      <c r="I154" s="1904"/>
      <c r="J154" s="3358"/>
      <c r="K154" s="3350"/>
      <c r="L154" s="3459"/>
      <c r="M154" s="3358"/>
      <c r="N154" s="3347"/>
      <c r="O154" s="3450"/>
      <c r="P154" s="3420"/>
      <c r="Q154" s="3293"/>
      <c r="R154" s="3462"/>
      <c r="S154" s="3414"/>
      <c r="T154" s="3318"/>
      <c r="U154" s="3318"/>
      <c r="V154" s="2921"/>
      <c r="W154" s="1917">
        <v>5000000</v>
      </c>
      <c r="X154" s="1917"/>
      <c r="Y154" s="1917"/>
      <c r="Z154" s="2026">
        <v>88</v>
      </c>
      <c r="AA154" s="2041" t="s">
        <v>1993</v>
      </c>
      <c r="AB154" s="3472"/>
      <c r="AC154" s="3337"/>
      <c r="AD154" s="3469"/>
      <c r="AE154" s="3337"/>
      <c r="AF154" s="3469"/>
      <c r="AG154" s="3337"/>
      <c r="AH154" s="3469"/>
      <c r="AI154" s="3337"/>
      <c r="AJ154" s="3469"/>
      <c r="AK154" s="3337"/>
      <c r="AL154" s="3469"/>
      <c r="AM154" s="3337"/>
      <c r="AN154" s="3469"/>
      <c r="AO154" s="3337"/>
      <c r="AP154" s="3469"/>
      <c r="AQ154" s="3337"/>
      <c r="AR154" s="3469"/>
      <c r="AS154" s="3337"/>
      <c r="AT154" s="3469"/>
      <c r="AU154" s="3337"/>
      <c r="AV154" s="3469"/>
      <c r="AW154" s="3337"/>
      <c r="AX154" s="3469"/>
      <c r="AY154" s="3337"/>
      <c r="AZ154" s="3469"/>
      <c r="BA154" s="3337"/>
      <c r="BB154" s="3469"/>
      <c r="BC154" s="3337"/>
      <c r="BD154" s="3469"/>
      <c r="BE154" s="3337"/>
      <c r="BF154" s="3337"/>
      <c r="BG154" s="3337"/>
      <c r="BH154" s="3337"/>
      <c r="BI154" s="3123"/>
      <c r="BJ154" s="3123"/>
      <c r="BK154" s="3353"/>
      <c r="BL154" s="1996"/>
      <c r="BM154" s="1996"/>
      <c r="BN154" s="3404"/>
      <c r="BO154" s="3404"/>
      <c r="BP154" s="3382"/>
      <c r="BQ154" s="3382"/>
      <c r="BR154" s="3341"/>
      <c r="BS154" s="3342"/>
      <c r="BT154" s="656"/>
    </row>
    <row r="155" spans="1:72" s="657" customFormat="1" ht="28.5" customHeight="1" x14ac:dyDescent="0.2">
      <c r="A155" s="3271"/>
      <c r="B155" s="3275"/>
      <c r="C155" s="3276"/>
      <c r="D155" s="3454"/>
      <c r="E155" s="3455"/>
      <c r="F155" s="3455"/>
      <c r="G155" s="656"/>
      <c r="H155" s="1903"/>
      <c r="I155" s="1904"/>
      <c r="J155" s="3358"/>
      <c r="K155" s="3350"/>
      <c r="L155" s="3459"/>
      <c r="M155" s="3358"/>
      <c r="N155" s="3347"/>
      <c r="O155" s="3450"/>
      <c r="P155" s="3420"/>
      <c r="Q155" s="3293"/>
      <c r="R155" s="3462"/>
      <c r="S155" s="3414"/>
      <c r="T155" s="3318"/>
      <c r="U155" s="3318"/>
      <c r="V155" s="2920" t="s">
        <v>2061</v>
      </c>
      <c r="W155" s="1913">
        <v>11400000</v>
      </c>
      <c r="X155" s="1917">
        <v>10690500</v>
      </c>
      <c r="Y155" s="1917">
        <v>10690500</v>
      </c>
      <c r="Z155" s="2026">
        <v>20</v>
      </c>
      <c r="AA155" s="2019" t="s">
        <v>86</v>
      </c>
      <c r="AB155" s="3472"/>
      <c r="AC155" s="3337"/>
      <c r="AD155" s="3469"/>
      <c r="AE155" s="3337"/>
      <c r="AF155" s="3469"/>
      <c r="AG155" s="3337"/>
      <c r="AH155" s="3469"/>
      <c r="AI155" s="3337"/>
      <c r="AJ155" s="3469"/>
      <c r="AK155" s="3337"/>
      <c r="AL155" s="3469"/>
      <c r="AM155" s="3337"/>
      <c r="AN155" s="3469"/>
      <c r="AO155" s="3337"/>
      <c r="AP155" s="3469"/>
      <c r="AQ155" s="3337"/>
      <c r="AR155" s="3469"/>
      <c r="AS155" s="3337"/>
      <c r="AT155" s="3469"/>
      <c r="AU155" s="3337"/>
      <c r="AV155" s="3469"/>
      <c r="AW155" s="3337"/>
      <c r="AX155" s="3469"/>
      <c r="AY155" s="3337"/>
      <c r="AZ155" s="3469"/>
      <c r="BA155" s="3337"/>
      <c r="BB155" s="3469"/>
      <c r="BC155" s="3337"/>
      <c r="BD155" s="3469"/>
      <c r="BE155" s="3337"/>
      <c r="BF155" s="3337"/>
      <c r="BG155" s="3337"/>
      <c r="BH155" s="3337"/>
      <c r="BI155" s="3123"/>
      <c r="BJ155" s="3123"/>
      <c r="BK155" s="3353"/>
      <c r="BL155" s="1996"/>
      <c r="BM155" s="1996"/>
      <c r="BN155" s="3404"/>
      <c r="BO155" s="3404"/>
      <c r="BP155" s="3382"/>
      <c r="BQ155" s="3382"/>
      <c r="BR155" s="3341"/>
      <c r="BS155" s="3342"/>
      <c r="BT155" s="656"/>
    </row>
    <row r="156" spans="1:72" s="657" customFormat="1" ht="30.75" customHeight="1" x14ac:dyDescent="0.2">
      <c r="A156" s="3271"/>
      <c r="B156" s="3275"/>
      <c r="C156" s="3276"/>
      <c r="D156" s="3454"/>
      <c r="E156" s="3455"/>
      <c r="F156" s="3455"/>
      <c r="G156" s="656"/>
      <c r="H156" s="1903"/>
      <c r="I156" s="1904"/>
      <c r="J156" s="3358"/>
      <c r="K156" s="3350"/>
      <c r="L156" s="3459"/>
      <c r="M156" s="3358"/>
      <c r="N156" s="3347"/>
      <c r="O156" s="3450"/>
      <c r="P156" s="3420"/>
      <c r="Q156" s="3293"/>
      <c r="R156" s="3462"/>
      <c r="S156" s="3414"/>
      <c r="T156" s="3318"/>
      <c r="U156" s="3318"/>
      <c r="V156" s="2921"/>
      <c r="W156" s="1913">
        <v>10000000</v>
      </c>
      <c r="X156" s="1917">
        <v>0</v>
      </c>
      <c r="Y156" s="1917">
        <v>0</v>
      </c>
      <c r="Z156" s="2026">
        <v>88</v>
      </c>
      <c r="AA156" s="2041" t="s">
        <v>1993</v>
      </c>
      <c r="AB156" s="3472"/>
      <c r="AC156" s="3337"/>
      <c r="AD156" s="3469"/>
      <c r="AE156" s="3337"/>
      <c r="AF156" s="3469"/>
      <c r="AG156" s="3337"/>
      <c r="AH156" s="3469"/>
      <c r="AI156" s="3337"/>
      <c r="AJ156" s="3469"/>
      <c r="AK156" s="3337"/>
      <c r="AL156" s="3469"/>
      <c r="AM156" s="3337"/>
      <c r="AN156" s="3469"/>
      <c r="AO156" s="3337"/>
      <c r="AP156" s="3469"/>
      <c r="AQ156" s="3337"/>
      <c r="AR156" s="3469"/>
      <c r="AS156" s="3337"/>
      <c r="AT156" s="3469"/>
      <c r="AU156" s="3337"/>
      <c r="AV156" s="3469"/>
      <c r="AW156" s="3337"/>
      <c r="AX156" s="3469"/>
      <c r="AY156" s="3337"/>
      <c r="AZ156" s="3469"/>
      <c r="BA156" s="3337"/>
      <c r="BB156" s="3469"/>
      <c r="BC156" s="3337"/>
      <c r="BD156" s="3469"/>
      <c r="BE156" s="3337"/>
      <c r="BF156" s="3337"/>
      <c r="BG156" s="3337"/>
      <c r="BH156" s="3337"/>
      <c r="BI156" s="3123"/>
      <c r="BJ156" s="3123"/>
      <c r="BK156" s="3353"/>
      <c r="BL156" s="1996"/>
      <c r="BM156" s="1996"/>
      <c r="BN156" s="3404"/>
      <c r="BO156" s="3404"/>
      <c r="BP156" s="3382"/>
      <c r="BQ156" s="3382"/>
      <c r="BR156" s="3341"/>
      <c r="BS156" s="3342"/>
      <c r="BT156" s="656"/>
    </row>
    <row r="157" spans="1:72" s="657" customFormat="1" ht="35.25" customHeight="1" x14ac:dyDescent="0.2">
      <c r="A157" s="3271"/>
      <c r="B157" s="3275"/>
      <c r="C157" s="3276"/>
      <c r="D157" s="3454"/>
      <c r="E157" s="3455"/>
      <c r="F157" s="3455"/>
      <c r="G157" s="656"/>
      <c r="H157" s="1903"/>
      <c r="I157" s="1904"/>
      <c r="J157" s="3358"/>
      <c r="K157" s="3350"/>
      <c r="L157" s="3459"/>
      <c r="M157" s="3358"/>
      <c r="N157" s="3347"/>
      <c r="O157" s="3450"/>
      <c r="P157" s="3420"/>
      <c r="Q157" s="3293"/>
      <c r="R157" s="3462"/>
      <c r="S157" s="3414"/>
      <c r="T157" s="3318"/>
      <c r="U157" s="3318"/>
      <c r="V157" s="1922" t="s">
        <v>2062</v>
      </c>
      <c r="W157" s="1913">
        <v>5000000</v>
      </c>
      <c r="X157" s="1913">
        <v>5000000</v>
      </c>
      <c r="Y157" s="1913">
        <v>0</v>
      </c>
      <c r="Z157" s="2026">
        <v>20</v>
      </c>
      <c r="AA157" s="2019" t="s">
        <v>86</v>
      </c>
      <c r="AB157" s="3472"/>
      <c r="AC157" s="3337"/>
      <c r="AD157" s="3469"/>
      <c r="AE157" s="3337"/>
      <c r="AF157" s="3469"/>
      <c r="AG157" s="3337"/>
      <c r="AH157" s="3469"/>
      <c r="AI157" s="3337"/>
      <c r="AJ157" s="3469"/>
      <c r="AK157" s="3337"/>
      <c r="AL157" s="3469"/>
      <c r="AM157" s="3337"/>
      <c r="AN157" s="3469"/>
      <c r="AO157" s="3337"/>
      <c r="AP157" s="3469"/>
      <c r="AQ157" s="3337"/>
      <c r="AR157" s="3469"/>
      <c r="AS157" s="3337"/>
      <c r="AT157" s="3469"/>
      <c r="AU157" s="3337"/>
      <c r="AV157" s="3469"/>
      <c r="AW157" s="3337"/>
      <c r="AX157" s="3469"/>
      <c r="AY157" s="3337"/>
      <c r="AZ157" s="3469"/>
      <c r="BA157" s="3337"/>
      <c r="BB157" s="3469"/>
      <c r="BC157" s="3337"/>
      <c r="BD157" s="3469"/>
      <c r="BE157" s="3337"/>
      <c r="BF157" s="3337"/>
      <c r="BG157" s="3337"/>
      <c r="BH157" s="3337"/>
      <c r="BI157" s="3123"/>
      <c r="BJ157" s="3123"/>
      <c r="BK157" s="3353"/>
      <c r="BL157" s="1996"/>
      <c r="BM157" s="1996"/>
      <c r="BN157" s="3404"/>
      <c r="BO157" s="3404"/>
      <c r="BP157" s="3382"/>
      <c r="BQ157" s="3382"/>
      <c r="BR157" s="3341"/>
      <c r="BS157" s="3342"/>
      <c r="BT157" s="656"/>
    </row>
    <row r="158" spans="1:72" s="657" customFormat="1" ht="41.25" customHeight="1" x14ac:dyDescent="0.2">
      <c r="A158" s="3271"/>
      <c r="B158" s="3275"/>
      <c r="C158" s="3276"/>
      <c r="D158" s="3454"/>
      <c r="E158" s="3455"/>
      <c r="F158" s="3455"/>
      <c r="G158" s="656"/>
      <c r="H158" s="1903"/>
      <c r="I158" s="1904"/>
      <c r="J158" s="3358"/>
      <c r="K158" s="3350"/>
      <c r="L158" s="3459"/>
      <c r="M158" s="3358"/>
      <c r="N158" s="3347"/>
      <c r="O158" s="3450"/>
      <c r="P158" s="3420"/>
      <c r="Q158" s="3293"/>
      <c r="R158" s="3462"/>
      <c r="S158" s="3414"/>
      <c r="T158" s="3318"/>
      <c r="U158" s="3318"/>
      <c r="V158" s="1922" t="s">
        <v>2063</v>
      </c>
      <c r="W158" s="1913">
        <v>12000000</v>
      </c>
      <c r="X158" s="1913">
        <v>12000000</v>
      </c>
      <c r="Y158" s="1913">
        <v>12000000</v>
      </c>
      <c r="Z158" s="2026">
        <v>20</v>
      </c>
      <c r="AA158" s="2019" t="s">
        <v>86</v>
      </c>
      <c r="AB158" s="3472"/>
      <c r="AC158" s="3337"/>
      <c r="AD158" s="3469"/>
      <c r="AE158" s="3337"/>
      <c r="AF158" s="3469"/>
      <c r="AG158" s="3337"/>
      <c r="AH158" s="3469"/>
      <c r="AI158" s="3337"/>
      <c r="AJ158" s="3469"/>
      <c r="AK158" s="3337"/>
      <c r="AL158" s="3469"/>
      <c r="AM158" s="3337"/>
      <c r="AN158" s="3469"/>
      <c r="AO158" s="3337"/>
      <c r="AP158" s="3469"/>
      <c r="AQ158" s="3337"/>
      <c r="AR158" s="3469"/>
      <c r="AS158" s="3337"/>
      <c r="AT158" s="3469"/>
      <c r="AU158" s="3337"/>
      <c r="AV158" s="3469"/>
      <c r="AW158" s="3337"/>
      <c r="AX158" s="3469"/>
      <c r="AY158" s="3337"/>
      <c r="AZ158" s="3469"/>
      <c r="BA158" s="3337"/>
      <c r="BB158" s="3469"/>
      <c r="BC158" s="3337"/>
      <c r="BD158" s="3469"/>
      <c r="BE158" s="3337"/>
      <c r="BF158" s="3337"/>
      <c r="BG158" s="3337"/>
      <c r="BH158" s="3337"/>
      <c r="BI158" s="3123"/>
      <c r="BJ158" s="3123"/>
      <c r="BK158" s="3353"/>
      <c r="BL158" s="1996"/>
      <c r="BM158" s="1996"/>
      <c r="BN158" s="3404"/>
      <c r="BO158" s="3404"/>
      <c r="BP158" s="3382"/>
      <c r="BQ158" s="3382"/>
      <c r="BR158" s="3341"/>
      <c r="BS158" s="3342"/>
      <c r="BT158" s="656"/>
    </row>
    <row r="159" spans="1:72" s="657" customFormat="1" ht="30" customHeight="1" x14ac:dyDescent="0.2">
      <c r="A159" s="3271"/>
      <c r="B159" s="3275"/>
      <c r="C159" s="3276"/>
      <c r="D159" s="3454"/>
      <c r="E159" s="3455"/>
      <c r="F159" s="3455"/>
      <c r="G159" s="656"/>
      <c r="H159" s="1903"/>
      <c r="I159" s="1904"/>
      <c r="J159" s="3358"/>
      <c r="K159" s="3350"/>
      <c r="L159" s="3459"/>
      <c r="M159" s="3358"/>
      <c r="N159" s="3347"/>
      <c r="O159" s="3450"/>
      <c r="P159" s="3420"/>
      <c r="Q159" s="3293"/>
      <c r="R159" s="3462"/>
      <c r="S159" s="3414"/>
      <c r="T159" s="3318"/>
      <c r="U159" s="3318"/>
      <c r="V159" s="2920" t="s">
        <v>2064</v>
      </c>
      <c r="W159" s="1913">
        <v>40000000</v>
      </c>
      <c r="X159" s="1917">
        <v>40000000</v>
      </c>
      <c r="Y159" s="1917">
        <v>20355800</v>
      </c>
      <c r="Z159" s="2026">
        <v>20</v>
      </c>
      <c r="AA159" s="2019" t="s">
        <v>86</v>
      </c>
      <c r="AB159" s="3472"/>
      <c r="AC159" s="3337"/>
      <c r="AD159" s="3469"/>
      <c r="AE159" s="3337"/>
      <c r="AF159" s="3469"/>
      <c r="AG159" s="3337"/>
      <c r="AH159" s="3469"/>
      <c r="AI159" s="3337"/>
      <c r="AJ159" s="3469"/>
      <c r="AK159" s="3337"/>
      <c r="AL159" s="3469"/>
      <c r="AM159" s="3337"/>
      <c r="AN159" s="3469"/>
      <c r="AO159" s="3337"/>
      <c r="AP159" s="3469"/>
      <c r="AQ159" s="3337"/>
      <c r="AR159" s="3469"/>
      <c r="AS159" s="3337"/>
      <c r="AT159" s="3469"/>
      <c r="AU159" s="3337"/>
      <c r="AV159" s="3469"/>
      <c r="AW159" s="3337"/>
      <c r="AX159" s="3469"/>
      <c r="AY159" s="3337"/>
      <c r="AZ159" s="3469"/>
      <c r="BA159" s="3337"/>
      <c r="BB159" s="3469"/>
      <c r="BC159" s="3337"/>
      <c r="BD159" s="3469"/>
      <c r="BE159" s="3337"/>
      <c r="BF159" s="3337"/>
      <c r="BG159" s="3337"/>
      <c r="BH159" s="3337"/>
      <c r="BI159" s="3123"/>
      <c r="BJ159" s="3123"/>
      <c r="BK159" s="3353"/>
      <c r="BL159" s="1907">
        <v>20</v>
      </c>
      <c r="BM159" s="1996"/>
      <c r="BN159" s="3404"/>
      <c r="BO159" s="3404"/>
      <c r="BP159" s="3382"/>
      <c r="BQ159" s="3382"/>
      <c r="BR159" s="3341"/>
      <c r="BS159" s="656"/>
      <c r="BT159" s="656"/>
    </row>
    <row r="160" spans="1:72" s="657" customFormat="1" ht="27.75" customHeight="1" x14ac:dyDescent="0.2">
      <c r="A160" s="3271"/>
      <c r="B160" s="3275"/>
      <c r="C160" s="3276"/>
      <c r="D160" s="3454"/>
      <c r="E160" s="3455"/>
      <c r="F160" s="3455"/>
      <c r="G160" s="656"/>
      <c r="H160" s="1903"/>
      <c r="I160" s="1904"/>
      <c r="J160" s="3358"/>
      <c r="K160" s="3350"/>
      <c r="L160" s="3459"/>
      <c r="M160" s="3358"/>
      <c r="N160" s="3347"/>
      <c r="O160" s="3450"/>
      <c r="P160" s="3420"/>
      <c r="Q160" s="3293"/>
      <c r="R160" s="3462"/>
      <c r="S160" s="3414"/>
      <c r="T160" s="3318"/>
      <c r="U160" s="3318"/>
      <c r="V160" s="2921"/>
      <c r="W160" s="1913">
        <v>43690500</v>
      </c>
      <c r="X160" s="1917">
        <v>30309469</v>
      </c>
      <c r="Y160" s="1917">
        <v>0</v>
      </c>
      <c r="Z160" s="2026">
        <v>88</v>
      </c>
      <c r="AA160" s="2041" t="s">
        <v>1993</v>
      </c>
      <c r="AB160" s="3472"/>
      <c r="AC160" s="3337"/>
      <c r="AD160" s="3469"/>
      <c r="AE160" s="3337"/>
      <c r="AF160" s="3469"/>
      <c r="AG160" s="3337"/>
      <c r="AH160" s="3469"/>
      <c r="AI160" s="3337"/>
      <c r="AJ160" s="3469"/>
      <c r="AK160" s="3337"/>
      <c r="AL160" s="3469"/>
      <c r="AM160" s="3337"/>
      <c r="AN160" s="3469"/>
      <c r="AO160" s="3337"/>
      <c r="AP160" s="3469"/>
      <c r="AQ160" s="3337"/>
      <c r="AR160" s="3469"/>
      <c r="AS160" s="3337"/>
      <c r="AT160" s="3469"/>
      <c r="AU160" s="3337"/>
      <c r="AV160" s="3469"/>
      <c r="AW160" s="3337"/>
      <c r="AX160" s="3469"/>
      <c r="AY160" s="3337"/>
      <c r="AZ160" s="3469"/>
      <c r="BA160" s="3337"/>
      <c r="BB160" s="3469"/>
      <c r="BC160" s="3337"/>
      <c r="BD160" s="3469"/>
      <c r="BE160" s="3337"/>
      <c r="BF160" s="3337"/>
      <c r="BG160" s="3337"/>
      <c r="BH160" s="3337"/>
      <c r="BI160" s="3123"/>
      <c r="BJ160" s="3123"/>
      <c r="BK160" s="3353"/>
      <c r="BL160" s="1996"/>
      <c r="BM160" s="1996"/>
      <c r="BN160" s="3404"/>
      <c r="BO160" s="3404"/>
      <c r="BP160" s="3382"/>
      <c r="BQ160" s="3382"/>
      <c r="BR160" s="3341"/>
      <c r="BS160" s="656"/>
      <c r="BT160" s="656"/>
    </row>
    <row r="161" spans="1:72" s="657" customFormat="1" ht="27" customHeight="1" x14ac:dyDescent="0.2">
      <c r="A161" s="3271"/>
      <c r="B161" s="3275"/>
      <c r="C161" s="3276"/>
      <c r="D161" s="3454"/>
      <c r="E161" s="3455"/>
      <c r="F161" s="3455"/>
      <c r="G161" s="656"/>
      <c r="H161" s="1903"/>
      <c r="I161" s="1904"/>
      <c r="J161" s="3358"/>
      <c r="K161" s="3350"/>
      <c r="L161" s="3459"/>
      <c r="M161" s="3358"/>
      <c r="N161" s="3347"/>
      <c r="O161" s="3450"/>
      <c r="P161" s="3420"/>
      <c r="Q161" s="3293"/>
      <c r="R161" s="3462"/>
      <c r="S161" s="3414"/>
      <c r="T161" s="3318"/>
      <c r="U161" s="3318"/>
      <c r="V161" s="2920" t="s">
        <v>2065</v>
      </c>
      <c r="W161" s="1913">
        <v>20000000</v>
      </c>
      <c r="X161" s="1917">
        <v>20000000</v>
      </c>
      <c r="Y161" s="1917">
        <v>0</v>
      </c>
      <c r="Z161" s="2026">
        <v>20</v>
      </c>
      <c r="AA161" s="2019" t="s">
        <v>86</v>
      </c>
      <c r="AB161" s="3472"/>
      <c r="AC161" s="3337"/>
      <c r="AD161" s="3469"/>
      <c r="AE161" s="3337"/>
      <c r="AF161" s="3469"/>
      <c r="AG161" s="3337"/>
      <c r="AH161" s="3469"/>
      <c r="AI161" s="3337"/>
      <c r="AJ161" s="3469"/>
      <c r="AK161" s="3337"/>
      <c r="AL161" s="3469"/>
      <c r="AM161" s="3337"/>
      <c r="AN161" s="3469"/>
      <c r="AO161" s="3337"/>
      <c r="AP161" s="3469"/>
      <c r="AQ161" s="3337"/>
      <c r="AR161" s="3469"/>
      <c r="AS161" s="3337"/>
      <c r="AT161" s="3469"/>
      <c r="AU161" s="3337"/>
      <c r="AV161" s="3469"/>
      <c r="AW161" s="3337"/>
      <c r="AX161" s="3469"/>
      <c r="AY161" s="3337"/>
      <c r="AZ161" s="3469"/>
      <c r="BA161" s="3337"/>
      <c r="BB161" s="3469"/>
      <c r="BC161" s="3337"/>
      <c r="BD161" s="3469"/>
      <c r="BE161" s="3337"/>
      <c r="BF161" s="3337"/>
      <c r="BG161" s="3337"/>
      <c r="BH161" s="3337"/>
      <c r="BI161" s="3123"/>
      <c r="BJ161" s="3123"/>
      <c r="BK161" s="3353"/>
      <c r="BL161" s="1996"/>
      <c r="BM161" s="1996"/>
      <c r="BN161" s="3404"/>
      <c r="BO161" s="3404"/>
      <c r="BP161" s="3382"/>
      <c r="BQ161" s="3382"/>
      <c r="BR161" s="3341"/>
      <c r="BS161" s="656"/>
      <c r="BT161" s="656"/>
    </row>
    <row r="162" spans="1:72" s="657" customFormat="1" ht="27" customHeight="1" x14ac:dyDescent="0.2">
      <c r="A162" s="3271"/>
      <c r="B162" s="3275"/>
      <c r="C162" s="3276"/>
      <c r="D162" s="3454"/>
      <c r="E162" s="3455"/>
      <c r="F162" s="3455"/>
      <c r="G162" s="656"/>
      <c r="H162" s="1903"/>
      <c r="I162" s="1904"/>
      <c r="J162" s="3359"/>
      <c r="K162" s="3351"/>
      <c r="L162" s="3460"/>
      <c r="M162" s="3359"/>
      <c r="N162" s="3347"/>
      <c r="O162" s="3450"/>
      <c r="P162" s="3420"/>
      <c r="Q162" s="3293"/>
      <c r="R162" s="3466"/>
      <c r="S162" s="3414"/>
      <c r="T162" s="3318"/>
      <c r="U162" s="3318"/>
      <c r="V162" s="2921"/>
      <c r="W162" s="1913">
        <v>20000000</v>
      </c>
      <c r="X162" s="1917">
        <v>0</v>
      </c>
      <c r="Y162" s="1917">
        <v>0</v>
      </c>
      <c r="Z162" s="2026">
        <v>88</v>
      </c>
      <c r="AA162" s="2041" t="s">
        <v>1993</v>
      </c>
      <c r="AB162" s="3472"/>
      <c r="AC162" s="3337"/>
      <c r="AD162" s="3469"/>
      <c r="AE162" s="3337"/>
      <c r="AF162" s="3469"/>
      <c r="AG162" s="3337"/>
      <c r="AH162" s="3469"/>
      <c r="AI162" s="3337"/>
      <c r="AJ162" s="3469"/>
      <c r="AK162" s="3337"/>
      <c r="AL162" s="3469"/>
      <c r="AM162" s="3337"/>
      <c r="AN162" s="3469"/>
      <c r="AO162" s="3337"/>
      <c r="AP162" s="3469"/>
      <c r="AQ162" s="3337"/>
      <c r="AR162" s="3469"/>
      <c r="AS162" s="3337"/>
      <c r="AT162" s="3469"/>
      <c r="AU162" s="3337"/>
      <c r="AV162" s="3469"/>
      <c r="AW162" s="3337"/>
      <c r="AX162" s="3469"/>
      <c r="AY162" s="3337"/>
      <c r="AZ162" s="3469"/>
      <c r="BA162" s="3337"/>
      <c r="BB162" s="3469"/>
      <c r="BC162" s="3337"/>
      <c r="BD162" s="3469"/>
      <c r="BE162" s="3337"/>
      <c r="BF162" s="3337"/>
      <c r="BG162" s="3337"/>
      <c r="BH162" s="3337"/>
      <c r="BI162" s="3123"/>
      <c r="BJ162" s="3123"/>
      <c r="BK162" s="3353"/>
      <c r="BL162" s="1996"/>
      <c r="BM162" s="1996"/>
      <c r="BN162" s="3404"/>
      <c r="BO162" s="3404"/>
      <c r="BP162" s="3382"/>
      <c r="BQ162" s="3382"/>
      <c r="BR162" s="3341"/>
      <c r="BS162" s="656"/>
      <c r="BT162" s="656"/>
    </row>
    <row r="163" spans="1:72" s="657" customFormat="1" ht="42" customHeight="1" x14ac:dyDescent="0.2">
      <c r="A163" s="3271"/>
      <c r="B163" s="3275"/>
      <c r="C163" s="3276"/>
      <c r="D163" s="3454"/>
      <c r="E163" s="3455"/>
      <c r="F163" s="3455"/>
      <c r="G163" s="656"/>
      <c r="H163" s="1903"/>
      <c r="I163" s="1904"/>
      <c r="J163" s="3347">
        <v>251</v>
      </c>
      <c r="K163" s="3318" t="s">
        <v>2066</v>
      </c>
      <c r="L163" s="3318" t="s">
        <v>2067</v>
      </c>
      <c r="M163" s="3347">
        <v>1</v>
      </c>
      <c r="N163" s="3298">
        <v>0.5</v>
      </c>
      <c r="O163" s="3450"/>
      <c r="P163" s="3420"/>
      <c r="Q163" s="3293"/>
      <c r="R163" s="3427">
        <f>SUM(W163:W167)/S149</f>
        <v>7.0958179167026181E-2</v>
      </c>
      <c r="S163" s="3414"/>
      <c r="T163" s="3318"/>
      <c r="U163" s="3318"/>
      <c r="V163" s="1922" t="s">
        <v>2068</v>
      </c>
      <c r="W163" s="1913">
        <v>18000000</v>
      </c>
      <c r="X163" s="1913">
        <f>10904000+2000000+2000000</f>
        <v>14904000</v>
      </c>
      <c r="Y163" s="1913">
        <f>10904000+2000000+2000000</f>
        <v>14904000</v>
      </c>
      <c r="Z163" s="2026">
        <v>20</v>
      </c>
      <c r="AA163" s="2019" t="s">
        <v>86</v>
      </c>
      <c r="AB163" s="3472"/>
      <c r="AC163" s="3337"/>
      <c r="AD163" s="3469"/>
      <c r="AE163" s="3337"/>
      <c r="AF163" s="3469"/>
      <c r="AG163" s="3337"/>
      <c r="AH163" s="3469"/>
      <c r="AI163" s="3337"/>
      <c r="AJ163" s="3469"/>
      <c r="AK163" s="3337"/>
      <c r="AL163" s="3469"/>
      <c r="AM163" s="3337"/>
      <c r="AN163" s="3469"/>
      <c r="AO163" s="3337"/>
      <c r="AP163" s="3469"/>
      <c r="AQ163" s="3337"/>
      <c r="AR163" s="3469"/>
      <c r="AS163" s="3337"/>
      <c r="AT163" s="3469"/>
      <c r="AU163" s="3337"/>
      <c r="AV163" s="3469"/>
      <c r="AW163" s="3337"/>
      <c r="AX163" s="3469"/>
      <c r="AY163" s="3337"/>
      <c r="AZ163" s="3469"/>
      <c r="BA163" s="3337"/>
      <c r="BB163" s="3469"/>
      <c r="BC163" s="3337"/>
      <c r="BD163" s="3469"/>
      <c r="BE163" s="3337"/>
      <c r="BF163" s="3337"/>
      <c r="BG163" s="3337"/>
      <c r="BH163" s="3337"/>
      <c r="BI163" s="3123"/>
      <c r="BJ163" s="3123"/>
      <c r="BK163" s="3353"/>
      <c r="BL163" s="1996"/>
      <c r="BM163" s="1996"/>
      <c r="BN163" s="3404"/>
      <c r="BO163" s="3404"/>
      <c r="BP163" s="3382"/>
      <c r="BQ163" s="3382"/>
      <c r="BR163" s="3341"/>
      <c r="BS163" s="656"/>
      <c r="BT163" s="656"/>
    </row>
    <row r="164" spans="1:72" s="657" customFormat="1" ht="46.5" customHeight="1" x14ac:dyDescent="0.2">
      <c r="A164" s="3271"/>
      <c r="B164" s="3275"/>
      <c r="C164" s="3276"/>
      <c r="D164" s="3454"/>
      <c r="E164" s="3455"/>
      <c r="F164" s="3455"/>
      <c r="G164" s="656"/>
      <c r="H164" s="1903"/>
      <c r="I164" s="1904"/>
      <c r="J164" s="3347"/>
      <c r="K164" s="3318"/>
      <c r="L164" s="3318"/>
      <c r="M164" s="3347"/>
      <c r="N164" s="3299"/>
      <c r="O164" s="3450"/>
      <c r="P164" s="3420"/>
      <c r="Q164" s="3293"/>
      <c r="R164" s="3427"/>
      <c r="S164" s="3414"/>
      <c r="T164" s="3318"/>
      <c r="U164" s="3318"/>
      <c r="V164" s="1922" t="s">
        <v>2069</v>
      </c>
      <c r="W164" s="1913">
        <v>5000000</v>
      </c>
      <c r="X164" s="1913">
        <v>5000000</v>
      </c>
      <c r="Y164" s="1913">
        <v>0</v>
      </c>
      <c r="Z164" s="2026">
        <v>20</v>
      </c>
      <c r="AA164" s="2019" t="s">
        <v>86</v>
      </c>
      <c r="AB164" s="3472"/>
      <c r="AC164" s="3337"/>
      <c r="AD164" s="3469"/>
      <c r="AE164" s="3337"/>
      <c r="AF164" s="3469"/>
      <c r="AG164" s="3337"/>
      <c r="AH164" s="3469"/>
      <c r="AI164" s="3337"/>
      <c r="AJ164" s="3469"/>
      <c r="AK164" s="3337"/>
      <c r="AL164" s="3469"/>
      <c r="AM164" s="3337"/>
      <c r="AN164" s="3469"/>
      <c r="AO164" s="3337"/>
      <c r="AP164" s="3469"/>
      <c r="AQ164" s="3337"/>
      <c r="AR164" s="3469"/>
      <c r="AS164" s="3337"/>
      <c r="AT164" s="3469"/>
      <c r="AU164" s="3337"/>
      <c r="AV164" s="3469"/>
      <c r="AW164" s="3337"/>
      <c r="AX164" s="3469"/>
      <c r="AY164" s="3337"/>
      <c r="AZ164" s="3469"/>
      <c r="BA164" s="3337"/>
      <c r="BB164" s="3469"/>
      <c r="BC164" s="3337"/>
      <c r="BD164" s="3469"/>
      <c r="BE164" s="3337"/>
      <c r="BF164" s="3337"/>
      <c r="BG164" s="3337"/>
      <c r="BH164" s="3337"/>
      <c r="BI164" s="3123"/>
      <c r="BJ164" s="3123"/>
      <c r="BK164" s="3353"/>
      <c r="BM164" s="1948" t="s">
        <v>2070</v>
      </c>
      <c r="BN164" s="3404"/>
      <c r="BO164" s="3404"/>
      <c r="BP164" s="3382"/>
      <c r="BQ164" s="3382"/>
      <c r="BR164" s="3341"/>
      <c r="BS164" s="656"/>
      <c r="BT164" s="656"/>
    </row>
    <row r="165" spans="1:72" s="657" customFormat="1" ht="52.5" customHeight="1" x14ac:dyDescent="0.2">
      <c r="A165" s="3271"/>
      <c r="B165" s="3275"/>
      <c r="C165" s="3276"/>
      <c r="D165" s="3454"/>
      <c r="E165" s="3455"/>
      <c r="F165" s="3455"/>
      <c r="G165" s="656"/>
      <c r="H165" s="1903"/>
      <c r="I165" s="1904"/>
      <c r="J165" s="3347"/>
      <c r="K165" s="3318"/>
      <c r="L165" s="3318"/>
      <c r="M165" s="3347"/>
      <c r="N165" s="3299"/>
      <c r="O165" s="3450"/>
      <c r="P165" s="3420"/>
      <c r="Q165" s="3293"/>
      <c r="R165" s="3427"/>
      <c r="S165" s="3414"/>
      <c r="T165" s="3318"/>
      <c r="U165" s="3318"/>
      <c r="V165" s="1922" t="s">
        <v>2071</v>
      </c>
      <c r="W165" s="1913">
        <v>14690000</v>
      </c>
      <c r="X165" s="1913">
        <v>10000000</v>
      </c>
      <c r="Y165" s="1913">
        <v>0</v>
      </c>
      <c r="Z165" s="2026">
        <v>20</v>
      </c>
      <c r="AA165" s="2019" t="s">
        <v>86</v>
      </c>
      <c r="AB165" s="3472"/>
      <c r="AC165" s="3337"/>
      <c r="AD165" s="3469"/>
      <c r="AE165" s="3337"/>
      <c r="AF165" s="3469"/>
      <c r="AG165" s="3337"/>
      <c r="AH165" s="3469"/>
      <c r="AI165" s="3337"/>
      <c r="AJ165" s="3469"/>
      <c r="AK165" s="3337"/>
      <c r="AL165" s="3469"/>
      <c r="AM165" s="3337"/>
      <c r="AN165" s="3469"/>
      <c r="AO165" s="3337"/>
      <c r="AP165" s="3469"/>
      <c r="AQ165" s="3337"/>
      <c r="AR165" s="3469"/>
      <c r="AS165" s="3337"/>
      <c r="AT165" s="3469"/>
      <c r="AU165" s="3337"/>
      <c r="AV165" s="3469"/>
      <c r="AW165" s="3337"/>
      <c r="AX165" s="3469"/>
      <c r="AY165" s="3337"/>
      <c r="AZ165" s="3469"/>
      <c r="BA165" s="3337"/>
      <c r="BB165" s="3469"/>
      <c r="BC165" s="3337"/>
      <c r="BD165" s="3469"/>
      <c r="BE165" s="3337"/>
      <c r="BF165" s="3337"/>
      <c r="BG165" s="3337"/>
      <c r="BH165" s="3337"/>
      <c r="BI165" s="3123"/>
      <c r="BJ165" s="3123"/>
      <c r="BK165" s="3353"/>
      <c r="BL165" s="1907">
        <v>88</v>
      </c>
      <c r="BM165" s="1996" t="s">
        <v>2072</v>
      </c>
      <c r="BN165" s="3404"/>
      <c r="BO165" s="3404"/>
      <c r="BP165" s="3382"/>
      <c r="BQ165" s="3382"/>
      <c r="BR165" s="3341"/>
      <c r="BS165" s="656"/>
      <c r="BT165" s="656"/>
    </row>
    <row r="166" spans="1:72" s="657" customFormat="1" ht="33" customHeight="1" x14ac:dyDescent="0.2">
      <c r="A166" s="3271"/>
      <c r="B166" s="3275"/>
      <c r="C166" s="3276"/>
      <c r="D166" s="3454"/>
      <c r="E166" s="3455"/>
      <c r="F166" s="3455"/>
      <c r="G166" s="656"/>
      <c r="H166" s="1903"/>
      <c r="I166" s="1904"/>
      <c r="J166" s="3347"/>
      <c r="K166" s="3318"/>
      <c r="L166" s="3318"/>
      <c r="M166" s="3347"/>
      <c r="N166" s="3299"/>
      <c r="O166" s="3450"/>
      <c r="P166" s="3420"/>
      <c r="Q166" s="3293"/>
      <c r="R166" s="3427"/>
      <c r="S166" s="3414"/>
      <c r="T166" s="3318"/>
      <c r="U166" s="3318"/>
      <c r="V166" s="1922" t="s">
        <v>2073</v>
      </c>
      <c r="W166" s="1913">
        <v>5000000</v>
      </c>
      <c r="X166" s="1913">
        <v>0</v>
      </c>
      <c r="Y166" s="1913">
        <v>0</v>
      </c>
      <c r="Z166" s="2026">
        <v>20</v>
      </c>
      <c r="AA166" s="2019" t="s">
        <v>86</v>
      </c>
      <c r="AB166" s="3472"/>
      <c r="AC166" s="3337"/>
      <c r="AD166" s="3469"/>
      <c r="AE166" s="3337"/>
      <c r="AF166" s="3469"/>
      <c r="AG166" s="3337"/>
      <c r="AH166" s="3469"/>
      <c r="AI166" s="3337"/>
      <c r="AJ166" s="3469"/>
      <c r="AK166" s="3337"/>
      <c r="AL166" s="3469"/>
      <c r="AM166" s="3337"/>
      <c r="AN166" s="3469"/>
      <c r="AO166" s="3337"/>
      <c r="AP166" s="3469"/>
      <c r="AQ166" s="3337"/>
      <c r="AR166" s="3469"/>
      <c r="AS166" s="3337"/>
      <c r="AT166" s="3469"/>
      <c r="AU166" s="3337"/>
      <c r="AV166" s="3469"/>
      <c r="AW166" s="3337"/>
      <c r="AX166" s="3469"/>
      <c r="AY166" s="3337"/>
      <c r="AZ166" s="3469"/>
      <c r="BA166" s="3337"/>
      <c r="BB166" s="3469"/>
      <c r="BC166" s="3337"/>
      <c r="BD166" s="3469"/>
      <c r="BE166" s="3337"/>
      <c r="BF166" s="3337"/>
      <c r="BG166" s="3337"/>
      <c r="BH166" s="3337"/>
      <c r="BI166" s="3123"/>
      <c r="BJ166" s="3123"/>
      <c r="BK166" s="3353"/>
      <c r="BL166" s="1996"/>
      <c r="BM166" s="1996"/>
      <c r="BN166" s="3404"/>
      <c r="BO166" s="3404"/>
      <c r="BP166" s="3382"/>
      <c r="BQ166" s="3382"/>
      <c r="BR166" s="3341"/>
      <c r="BS166" s="656"/>
      <c r="BT166" s="656"/>
    </row>
    <row r="167" spans="1:72" s="657" customFormat="1" ht="39.75" customHeight="1" x14ac:dyDescent="0.2">
      <c r="A167" s="3271"/>
      <c r="B167" s="3275"/>
      <c r="C167" s="3276"/>
      <c r="D167" s="3454"/>
      <c r="E167" s="3455"/>
      <c r="F167" s="3455"/>
      <c r="G167" s="656"/>
      <c r="H167" s="1903"/>
      <c r="I167" s="1904"/>
      <c r="J167" s="3347"/>
      <c r="K167" s="3318"/>
      <c r="L167" s="3318"/>
      <c r="M167" s="3347"/>
      <c r="N167" s="3300"/>
      <c r="O167" s="3450"/>
      <c r="P167" s="3420"/>
      <c r="Q167" s="3293"/>
      <c r="R167" s="3427"/>
      <c r="S167" s="3414"/>
      <c r="T167" s="3318"/>
      <c r="U167" s="3318"/>
      <c r="V167" s="1922" t="s">
        <v>2074</v>
      </c>
      <c r="W167" s="1913">
        <v>7000000</v>
      </c>
      <c r="X167" s="1913">
        <v>0</v>
      </c>
      <c r="Y167" s="1913">
        <v>0</v>
      </c>
      <c r="Z167" s="2026">
        <v>20</v>
      </c>
      <c r="AA167" s="2019" t="s">
        <v>86</v>
      </c>
      <c r="AB167" s="3472"/>
      <c r="AC167" s="3337"/>
      <c r="AD167" s="3469"/>
      <c r="AE167" s="3337"/>
      <c r="AF167" s="3469"/>
      <c r="AG167" s="3337"/>
      <c r="AH167" s="3469"/>
      <c r="AI167" s="3337"/>
      <c r="AJ167" s="3469"/>
      <c r="AK167" s="3337"/>
      <c r="AL167" s="3469"/>
      <c r="AM167" s="3337"/>
      <c r="AN167" s="3469"/>
      <c r="AO167" s="3337"/>
      <c r="AP167" s="3469"/>
      <c r="AQ167" s="3337"/>
      <c r="AR167" s="3469"/>
      <c r="AS167" s="3337"/>
      <c r="AT167" s="3469"/>
      <c r="AU167" s="3337"/>
      <c r="AV167" s="3469"/>
      <c r="AW167" s="3337"/>
      <c r="AX167" s="3469"/>
      <c r="AY167" s="3337"/>
      <c r="AZ167" s="3469"/>
      <c r="BA167" s="3337"/>
      <c r="BB167" s="3469"/>
      <c r="BC167" s="3337"/>
      <c r="BD167" s="3469"/>
      <c r="BE167" s="3337"/>
      <c r="BF167" s="3337"/>
      <c r="BG167" s="3337"/>
      <c r="BH167" s="3337"/>
      <c r="BI167" s="3123"/>
      <c r="BJ167" s="3123"/>
      <c r="BK167" s="3353"/>
      <c r="BL167" s="1996"/>
      <c r="BM167" s="1996"/>
      <c r="BN167" s="3404"/>
      <c r="BO167" s="3404"/>
      <c r="BP167" s="3382"/>
      <c r="BQ167" s="3382"/>
      <c r="BR167" s="3341"/>
      <c r="BS167" s="656"/>
      <c r="BT167" s="656"/>
    </row>
    <row r="168" spans="1:72" s="657" customFormat="1" ht="66" customHeight="1" x14ac:dyDescent="0.2">
      <c r="A168" s="3271"/>
      <c r="B168" s="3275"/>
      <c r="C168" s="3276"/>
      <c r="D168" s="3454"/>
      <c r="E168" s="3455"/>
      <c r="F168" s="3455"/>
      <c r="G168" s="656"/>
      <c r="H168" s="1903"/>
      <c r="I168" s="1904"/>
      <c r="J168" s="1910">
        <v>252</v>
      </c>
      <c r="K168" s="1908" t="s">
        <v>2075</v>
      </c>
      <c r="L168" s="1908" t="s">
        <v>2076</v>
      </c>
      <c r="M168" s="1910">
        <v>1</v>
      </c>
      <c r="N168" s="2042">
        <v>0.2</v>
      </c>
      <c r="O168" s="3450"/>
      <c r="P168" s="3420"/>
      <c r="Q168" s="3293"/>
      <c r="R168" s="2035">
        <f>SUM(W168)/S149</f>
        <v>3.5486229669965799E-2</v>
      </c>
      <c r="S168" s="3414"/>
      <c r="T168" s="3318"/>
      <c r="U168" s="3318"/>
      <c r="V168" s="2043" t="s">
        <v>2077</v>
      </c>
      <c r="W168" s="1913">
        <v>24850000</v>
      </c>
      <c r="X168" s="1913">
        <v>0</v>
      </c>
      <c r="Y168" s="1913">
        <v>0</v>
      </c>
      <c r="Z168" s="2026">
        <v>20</v>
      </c>
      <c r="AA168" s="2019" t="s">
        <v>86</v>
      </c>
      <c r="AB168" s="3472"/>
      <c r="AC168" s="3337"/>
      <c r="AD168" s="3469"/>
      <c r="AE168" s="3337"/>
      <c r="AF168" s="3469"/>
      <c r="AG168" s="3337"/>
      <c r="AH168" s="3469"/>
      <c r="AI168" s="3337"/>
      <c r="AJ168" s="3469"/>
      <c r="AK168" s="3337"/>
      <c r="AL168" s="3469"/>
      <c r="AM168" s="3337"/>
      <c r="AN168" s="3469"/>
      <c r="AO168" s="3337"/>
      <c r="AP168" s="3469"/>
      <c r="AQ168" s="3337"/>
      <c r="AR168" s="3469"/>
      <c r="AS168" s="3337"/>
      <c r="AT168" s="3469"/>
      <c r="AU168" s="3337"/>
      <c r="AV168" s="3469"/>
      <c r="AW168" s="3337"/>
      <c r="AX168" s="3469"/>
      <c r="AY168" s="3337"/>
      <c r="AZ168" s="3469"/>
      <c r="BA168" s="3337"/>
      <c r="BB168" s="3469"/>
      <c r="BC168" s="3337"/>
      <c r="BD168" s="3469"/>
      <c r="BE168" s="3337"/>
      <c r="BF168" s="3337"/>
      <c r="BG168" s="3337"/>
      <c r="BH168" s="3337"/>
      <c r="BI168" s="3123"/>
      <c r="BJ168" s="3123"/>
      <c r="BK168" s="3353"/>
      <c r="BL168" s="1996"/>
      <c r="BM168" s="1996"/>
      <c r="BN168" s="3404"/>
      <c r="BO168" s="3404"/>
      <c r="BP168" s="3382"/>
      <c r="BQ168" s="3382"/>
      <c r="BR168" s="3341"/>
      <c r="BS168" s="656"/>
      <c r="BT168" s="656"/>
    </row>
    <row r="169" spans="1:72" s="657" customFormat="1" ht="26.25" customHeight="1" x14ac:dyDescent="0.2">
      <c r="A169" s="3271"/>
      <c r="B169" s="3275"/>
      <c r="C169" s="3276"/>
      <c r="D169" s="3454"/>
      <c r="E169" s="3455"/>
      <c r="F169" s="3455"/>
      <c r="G169" s="656"/>
      <c r="H169" s="1903"/>
      <c r="I169" s="1904"/>
      <c r="J169" s="3357">
        <v>253</v>
      </c>
      <c r="K169" s="3283" t="s">
        <v>2078</v>
      </c>
      <c r="L169" s="3283" t="s">
        <v>2079</v>
      </c>
      <c r="M169" s="3463">
        <v>0.5</v>
      </c>
      <c r="N169" s="3422">
        <v>0.25</v>
      </c>
      <c r="O169" s="3450"/>
      <c r="P169" s="3420"/>
      <c r="Q169" s="3293"/>
      <c r="R169" s="3461">
        <f>SUM(W169:W171)/S149</f>
        <v>0.34272414973005194</v>
      </c>
      <c r="S169" s="3414"/>
      <c r="T169" s="3318"/>
      <c r="U169" s="3319"/>
      <c r="V169" s="2920" t="s">
        <v>2080</v>
      </c>
      <c r="W169" s="1917">
        <v>85000000</v>
      </c>
      <c r="X169" s="1917">
        <v>56487599</v>
      </c>
      <c r="Y169" s="1917">
        <f>14332000+7600000</f>
        <v>21932000</v>
      </c>
      <c r="Z169" s="2026">
        <v>20</v>
      </c>
      <c r="AA169" s="2019" t="s">
        <v>86</v>
      </c>
      <c r="AB169" s="3472"/>
      <c r="AC169" s="3337"/>
      <c r="AD169" s="3469"/>
      <c r="AE169" s="3337"/>
      <c r="AF169" s="3469"/>
      <c r="AG169" s="3337"/>
      <c r="AH169" s="3469"/>
      <c r="AI169" s="3337"/>
      <c r="AJ169" s="3469"/>
      <c r="AK169" s="3337"/>
      <c r="AL169" s="3469"/>
      <c r="AM169" s="3337"/>
      <c r="AN169" s="3469"/>
      <c r="AO169" s="3337"/>
      <c r="AP169" s="3469"/>
      <c r="AQ169" s="3337"/>
      <c r="AR169" s="3469"/>
      <c r="AS169" s="3337"/>
      <c r="AT169" s="3469"/>
      <c r="AU169" s="3337"/>
      <c r="AV169" s="3469"/>
      <c r="AW169" s="3337"/>
      <c r="AX169" s="3469"/>
      <c r="AY169" s="3337"/>
      <c r="AZ169" s="3469"/>
      <c r="BA169" s="3337"/>
      <c r="BB169" s="3469"/>
      <c r="BC169" s="3337"/>
      <c r="BD169" s="3469"/>
      <c r="BE169" s="3337"/>
      <c r="BF169" s="3337"/>
      <c r="BG169" s="3337"/>
      <c r="BH169" s="3337"/>
      <c r="BI169" s="3123"/>
      <c r="BJ169" s="3123"/>
      <c r="BK169" s="3353"/>
      <c r="BL169" s="1996"/>
      <c r="BM169" s="1996"/>
      <c r="BN169" s="3404"/>
      <c r="BO169" s="3404"/>
      <c r="BP169" s="3382"/>
      <c r="BQ169" s="3382"/>
      <c r="BR169" s="3341"/>
      <c r="BS169" s="656"/>
      <c r="BT169" s="656"/>
    </row>
    <row r="170" spans="1:72" s="657" customFormat="1" ht="27.75" customHeight="1" x14ac:dyDescent="0.2">
      <c r="A170" s="3271"/>
      <c r="B170" s="3275"/>
      <c r="C170" s="3276"/>
      <c r="D170" s="3454"/>
      <c r="E170" s="3455"/>
      <c r="F170" s="3455"/>
      <c r="G170" s="656"/>
      <c r="H170" s="1903"/>
      <c r="I170" s="1904"/>
      <c r="J170" s="3358"/>
      <c r="K170" s="3364"/>
      <c r="L170" s="3364"/>
      <c r="M170" s="3464"/>
      <c r="N170" s="3422"/>
      <c r="O170" s="3450"/>
      <c r="P170" s="3420"/>
      <c r="Q170" s="3293"/>
      <c r="R170" s="3462"/>
      <c r="S170" s="3414"/>
      <c r="T170" s="3318"/>
      <c r="U170" s="3319"/>
      <c r="V170" s="2921"/>
      <c r="W170" s="2044">
        <v>140000000</v>
      </c>
      <c r="X170" s="1917">
        <v>111254000</v>
      </c>
      <c r="Y170" s="1917">
        <f>8394000+8394000+8394000+2798000+8394000+2798000+8394000</f>
        <v>47566000</v>
      </c>
      <c r="Z170" s="2026">
        <v>88</v>
      </c>
      <c r="AA170" s="2019" t="s">
        <v>1993</v>
      </c>
      <c r="AB170" s="3472"/>
      <c r="AC170" s="3337"/>
      <c r="AD170" s="3469"/>
      <c r="AE170" s="3337"/>
      <c r="AF170" s="3469"/>
      <c r="AG170" s="3337"/>
      <c r="AH170" s="3469"/>
      <c r="AI170" s="3337"/>
      <c r="AJ170" s="3469"/>
      <c r="AK170" s="3337"/>
      <c r="AL170" s="3469"/>
      <c r="AM170" s="3337"/>
      <c r="AN170" s="3469"/>
      <c r="AO170" s="3337"/>
      <c r="AP170" s="3469"/>
      <c r="AQ170" s="3337"/>
      <c r="AR170" s="3469"/>
      <c r="AS170" s="3337"/>
      <c r="AT170" s="3469"/>
      <c r="AU170" s="3337"/>
      <c r="AV170" s="3469"/>
      <c r="AW170" s="3337"/>
      <c r="AX170" s="3469"/>
      <c r="AY170" s="3337"/>
      <c r="AZ170" s="3469"/>
      <c r="BA170" s="3337"/>
      <c r="BB170" s="3469"/>
      <c r="BC170" s="3337"/>
      <c r="BD170" s="3469"/>
      <c r="BE170" s="3337"/>
      <c r="BF170" s="3337"/>
      <c r="BG170" s="3337"/>
      <c r="BH170" s="3337"/>
      <c r="BI170" s="3123"/>
      <c r="BJ170" s="3123"/>
      <c r="BK170" s="3353"/>
      <c r="BL170" s="1996"/>
      <c r="BM170" s="1996"/>
      <c r="BN170" s="3404"/>
      <c r="BO170" s="3404"/>
      <c r="BP170" s="3382"/>
      <c r="BQ170" s="3382"/>
      <c r="BR170" s="3341"/>
      <c r="BS170" s="656"/>
      <c r="BT170" s="656"/>
    </row>
    <row r="171" spans="1:72" s="657" customFormat="1" ht="37.5" customHeight="1" x14ac:dyDescent="0.2">
      <c r="A171" s="3271"/>
      <c r="B171" s="3275"/>
      <c r="C171" s="3276"/>
      <c r="D171" s="3454"/>
      <c r="E171" s="3455"/>
      <c r="F171" s="3455"/>
      <c r="G171" s="656"/>
      <c r="H171" s="1903"/>
      <c r="I171" s="1904"/>
      <c r="J171" s="3359"/>
      <c r="K171" s="3284"/>
      <c r="L171" s="3284"/>
      <c r="M171" s="3465"/>
      <c r="N171" s="3422"/>
      <c r="O171" s="3450"/>
      <c r="P171" s="3420"/>
      <c r="Q171" s="3293"/>
      <c r="R171" s="3466"/>
      <c r="S171" s="3414"/>
      <c r="T171" s="3318"/>
      <c r="U171" s="3319"/>
      <c r="V171" s="2023" t="s">
        <v>2081</v>
      </c>
      <c r="W171" s="1913">
        <v>15000000</v>
      </c>
      <c r="X171" s="1913">
        <v>10500000</v>
      </c>
      <c r="Y171" s="1913">
        <v>0</v>
      </c>
      <c r="Z171" s="2026">
        <v>20</v>
      </c>
      <c r="AA171" s="2019" t="s">
        <v>86</v>
      </c>
      <c r="AB171" s="3472"/>
      <c r="AC171" s="3337"/>
      <c r="AD171" s="3469"/>
      <c r="AE171" s="3337"/>
      <c r="AF171" s="3469"/>
      <c r="AG171" s="3337"/>
      <c r="AH171" s="3469"/>
      <c r="AI171" s="3337"/>
      <c r="AJ171" s="3469"/>
      <c r="AK171" s="3337"/>
      <c r="AL171" s="3469"/>
      <c r="AM171" s="3337"/>
      <c r="AN171" s="3469"/>
      <c r="AO171" s="3337"/>
      <c r="AP171" s="3469"/>
      <c r="AQ171" s="3337"/>
      <c r="AR171" s="3469"/>
      <c r="AS171" s="3337"/>
      <c r="AT171" s="3469"/>
      <c r="AU171" s="3337"/>
      <c r="AV171" s="3469"/>
      <c r="AW171" s="3337"/>
      <c r="AX171" s="3469"/>
      <c r="AY171" s="3337"/>
      <c r="AZ171" s="3469"/>
      <c r="BA171" s="3337"/>
      <c r="BB171" s="3469"/>
      <c r="BC171" s="3337"/>
      <c r="BD171" s="3469"/>
      <c r="BE171" s="3337"/>
      <c r="BF171" s="3337"/>
      <c r="BG171" s="3337"/>
      <c r="BH171" s="3337"/>
      <c r="BI171" s="3123"/>
      <c r="BJ171" s="3123"/>
      <c r="BK171" s="3353"/>
      <c r="BL171" s="1996"/>
      <c r="BM171" s="1996"/>
      <c r="BN171" s="3404"/>
      <c r="BO171" s="3404"/>
      <c r="BP171" s="3382"/>
      <c r="BQ171" s="3382"/>
      <c r="BR171" s="3341"/>
      <c r="BS171" s="656"/>
      <c r="BT171" s="656"/>
    </row>
    <row r="172" spans="1:72" s="657" customFormat="1" ht="43.5" customHeight="1" x14ac:dyDescent="0.2">
      <c r="A172" s="3271"/>
      <c r="B172" s="3275"/>
      <c r="C172" s="3276"/>
      <c r="D172" s="3454"/>
      <c r="E172" s="3455"/>
      <c r="F172" s="3455"/>
      <c r="G172" s="656"/>
      <c r="H172" s="1903"/>
      <c r="I172" s="1904"/>
      <c r="J172" s="3347">
        <v>254</v>
      </c>
      <c r="K172" s="3318" t="s">
        <v>2082</v>
      </c>
      <c r="L172" s="3318" t="s">
        <v>2083</v>
      </c>
      <c r="M172" s="3347">
        <v>1</v>
      </c>
      <c r="N172" s="3298">
        <v>0.5</v>
      </c>
      <c r="O172" s="3450"/>
      <c r="P172" s="3420"/>
      <c r="Q172" s="3293"/>
      <c r="R172" s="3461">
        <f>SUM(W172:W175)/S149</f>
        <v>4.25565332017383E-2</v>
      </c>
      <c r="S172" s="3414"/>
      <c r="T172" s="3318"/>
      <c r="U172" s="3319"/>
      <c r="V172" s="1922" t="s">
        <v>2084</v>
      </c>
      <c r="W172" s="1913">
        <v>17101133</v>
      </c>
      <c r="X172" s="1913">
        <v>17101133</v>
      </c>
      <c r="Y172" s="1913">
        <v>3111133</v>
      </c>
      <c r="Z172" s="2026">
        <v>20</v>
      </c>
      <c r="AA172" s="2019" t="s">
        <v>86</v>
      </c>
      <c r="AB172" s="3472"/>
      <c r="AC172" s="3337"/>
      <c r="AD172" s="3469"/>
      <c r="AE172" s="3337"/>
      <c r="AF172" s="3469"/>
      <c r="AG172" s="3337"/>
      <c r="AH172" s="3469"/>
      <c r="AI172" s="3337"/>
      <c r="AJ172" s="3469"/>
      <c r="AK172" s="3337"/>
      <c r="AL172" s="3469"/>
      <c r="AM172" s="3337"/>
      <c r="AN172" s="3469"/>
      <c r="AO172" s="3337"/>
      <c r="AP172" s="3469"/>
      <c r="AQ172" s="3337"/>
      <c r="AR172" s="3469"/>
      <c r="AS172" s="3337"/>
      <c r="AT172" s="3469"/>
      <c r="AU172" s="3337"/>
      <c r="AV172" s="3469"/>
      <c r="AW172" s="3337"/>
      <c r="AX172" s="3469"/>
      <c r="AY172" s="3337"/>
      <c r="AZ172" s="3469"/>
      <c r="BA172" s="3337"/>
      <c r="BB172" s="3469"/>
      <c r="BC172" s="3337"/>
      <c r="BD172" s="3469"/>
      <c r="BE172" s="3337"/>
      <c r="BF172" s="3337"/>
      <c r="BG172" s="3337"/>
      <c r="BH172" s="3337"/>
      <c r="BI172" s="3123"/>
      <c r="BJ172" s="3123"/>
      <c r="BK172" s="3353"/>
      <c r="BL172" s="1996"/>
      <c r="BM172" s="1996"/>
      <c r="BN172" s="3404"/>
      <c r="BO172" s="3404"/>
      <c r="BP172" s="3382"/>
      <c r="BQ172" s="3382"/>
      <c r="BR172" s="3341"/>
      <c r="BS172" s="656"/>
      <c r="BT172" s="656"/>
    </row>
    <row r="173" spans="1:72" s="657" customFormat="1" ht="36" customHeight="1" x14ac:dyDescent="0.2">
      <c r="A173" s="3271"/>
      <c r="B173" s="3275"/>
      <c r="C173" s="3276"/>
      <c r="D173" s="3454"/>
      <c r="E173" s="3455"/>
      <c r="F173" s="3455"/>
      <c r="G173" s="656"/>
      <c r="H173" s="1903"/>
      <c r="I173" s="1904"/>
      <c r="J173" s="3347"/>
      <c r="K173" s="3318"/>
      <c r="L173" s="3318"/>
      <c r="M173" s="3347"/>
      <c r="N173" s="3299"/>
      <c r="O173" s="3450"/>
      <c r="P173" s="3420"/>
      <c r="Q173" s="3293"/>
      <c r="R173" s="3462"/>
      <c r="S173" s="3414"/>
      <c r="T173" s="3318"/>
      <c r="U173" s="3319"/>
      <c r="V173" s="1922" t="s">
        <v>2085</v>
      </c>
      <c r="W173" s="1913">
        <v>5000000</v>
      </c>
      <c r="X173" s="1913">
        <v>2484867</v>
      </c>
      <c r="Y173" s="1913">
        <v>2484867</v>
      </c>
      <c r="Z173" s="2026">
        <v>20</v>
      </c>
      <c r="AA173" s="2019" t="s">
        <v>86</v>
      </c>
      <c r="AB173" s="3472"/>
      <c r="AC173" s="3337"/>
      <c r="AD173" s="3469"/>
      <c r="AE173" s="3337"/>
      <c r="AF173" s="3469"/>
      <c r="AG173" s="3337"/>
      <c r="AH173" s="3469"/>
      <c r="AI173" s="3337"/>
      <c r="AJ173" s="3469"/>
      <c r="AK173" s="3337"/>
      <c r="AL173" s="3469"/>
      <c r="AM173" s="3337"/>
      <c r="AN173" s="3469"/>
      <c r="AO173" s="3337"/>
      <c r="AP173" s="3469"/>
      <c r="AQ173" s="3337"/>
      <c r="AR173" s="3469"/>
      <c r="AS173" s="3337"/>
      <c r="AT173" s="3469"/>
      <c r="AU173" s="3337"/>
      <c r="AV173" s="3469"/>
      <c r="AW173" s="3337"/>
      <c r="AX173" s="3469"/>
      <c r="AY173" s="3337"/>
      <c r="AZ173" s="3469"/>
      <c r="BA173" s="3337"/>
      <c r="BB173" s="3469"/>
      <c r="BC173" s="3337"/>
      <c r="BD173" s="3469"/>
      <c r="BE173" s="3337"/>
      <c r="BF173" s="3337"/>
      <c r="BG173" s="3337"/>
      <c r="BH173" s="3337"/>
      <c r="BI173" s="3123"/>
      <c r="BJ173" s="3123"/>
      <c r="BK173" s="3353"/>
      <c r="BL173" s="1996"/>
      <c r="BM173" s="1996"/>
      <c r="BN173" s="3404"/>
      <c r="BO173" s="3404"/>
      <c r="BP173" s="3382"/>
      <c r="BQ173" s="3382"/>
      <c r="BR173" s="3341"/>
      <c r="BS173" s="656"/>
      <c r="BT173" s="656"/>
    </row>
    <row r="174" spans="1:72" s="657" customFormat="1" ht="39.75" customHeight="1" x14ac:dyDescent="0.2">
      <c r="A174" s="3271"/>
      <c r="B174" s="3275"/>
      <c r="C174" s="3276"/>
      <c r="D174" s="3454"/>
      <c r="E174" s="3455"/>
      <c r="F174" s="3455"/>
      <c r="G174" s="656"/>
      <c r="H174" s="1903"/>
      <c r="I174" s="1904"/>
      <c r="J174" s="3347"/>
      <c r="K174" s="3318"/>
      <c r="L174" s="3318"/>
      <c r="M174" s="3347"/>
      <c r="N174" s="3299"/>
      <c r="O174" s="3450"/>
      <c r="P174" s="3420"/>
      <c r="Q174" s="3293"/>
      <c r="R174" s="3462"/>
      <c r="S174" s="3414"/>
      <c r="T174" s="3318"/>
      <c r="U174" s="3319"/>
      <c r="V174" s="1922" t="s">
        <v>2086</v>
      </c>
      <c r="W174" s="1913">
        <v>5000000</v>
      </c>
      <c r="X174" s="1913">
        <v>5000000</v>
      </c>
      <c r="Y174" s="1913">
        <v>0</v>
      </c>
      <c r="Z174" s="2026">
        <v>20</v>
      </c>
      <c r="AA174" s="2019" t="s">
        <v>86</v>
      </c>
      <c r="AB174" s="3472"/>
      <c r="AC174" s="3337"/>
      <c r="AD174" s="3469"/>
      <c r="AE174" s="3337"/>
      <c r="AF174" s="3469"/>
      <c r="AG174" s="3337"/>
      <c r="AH174" s="3469"/>
      <c r="AI174" s="3337"/>
      <c r="AJ174" s="3469"/>
      <c r="AK174" s="3337"/>
      <c r="AL174" s="3469"/>
      <c r="AM174" s="3337"/>
      <c r="AN174" s="3469"/>
      <c r="AO174" s="3337"/>
      <c r="AP174" s="3469"/>
      <c r="AQ174" s="3337"/>
      <c r="AR174" s="3469"/>
      <c r="AS174" s="3337"/>
      <c r="AT174" s="3469"/>
      <c r="AU174" s="3337"/>
      <c r="AV174" s="3469"/>
      <c r="AW174" s="3337"/>
      <c r="AX174" s="3469"/>
      <c r="AY174" s="3337"/>
      <c r="AZ174" s="3469"/>
      <c r="BA174" s="3337"/>
      <c r="BB174" s="3469"/>
      <c r="BC174" s="3337"/>
      <c r="BD174" s="3469"/>
      <c r="BE174" s="3337"/>
      <c r="BF174" s="3337"/>
      <c r="BG174" s="3337"/>
      <c r="BH174" s="3337"/>
      <c r="BI174" s="3123"/>
      <c r="BJ174" s="3123"/>
      <c r="BK174" s="3353"/>
      <c r="BL174" s="1996"/>
      <c r="BM174" s="1996"/>
      <c r="BN174" s="3404"/>
      <c r="BO174" s="3404"/>
      <c r="BP174" s="3382"/>
      <c r="BQ174" s="3382"/>
      <c r="BR174" s="3341"/>
      <c r="BS174" s="656"/>
      <c r="BT174" s="656"/>
    </row>
    <row r="175" spans="1:72" s="657" customFormat="1" ht="27" customHeight="1" x14ac:dyDescent="0.2">
      <c r="A175" s="3271"/>
      <c r="B175" s="3275"/>
      <c r="C175" s="3276"/>
      <c r="D175" s="3456"/>
      <c r="E175" s="3457"/>
      <c r="F175" s="3457"/>
      <c r="H175" s="1903"/>
      <c r="I175" s="1904"/>
      <c r="J175" s="3357"/>
      <c r="K175" s="3451"/>
      <c r="L175" s="3451"/>
      <c r="M175" s="3357"/>
      <c r="N175" s="3299"/>
      <c r="O175" s="3450"/>
      <c r="P175" s="3420"/>
      <c r="Q175" s="3293"/>
      <c r="R175" s="3462"/>
      <c r="S175" s="3414"/>
      <c r="T175" s="3451"/>
      <c r="U175" s="3292"/>
      <c r="V175" s="2023" t="s">
        <v>2061</v>
      </c>
      <c r="W175" s="2045">
        <v>2700000</v>
      </c>
      <c r="X175" s="2045">
        <v>0</v>
      </c>
      <c r="Y175" s="2045">
        <v>0</v>
      </c>
      <c r="Z175" s="2040">
        <v>20</v>
      </c>
      <c r="AA175" s="2041" t="s">
        <v>86</v>
      </c>
      <c r="AB175" s="3473"/>
      <c r="AC175" s="3337"/>
      <c r="AD175" s="3470"/>
      <c r="AE175" s="3337"/>
      <c r="AF175" s="3470"/>
      <c r="AG175" s="3337"/>
      <c r="AH175" s="3470"/>
      <c r="AI175" s="3337"/>
      <c r="AJ175" s="3470"/>
      <c r="AK175" s="3337"/>
      <c r="AL175" s="3470"/>
      <c r="AM175" s="3337"/>
      <c r="AN175" s="3470"/>
      <c r="AO175" s="3337"/>
      <c r="AP175" s="3470"/>
      <c r="AQ175" s="3337"/>
      <c r="AR175" s="3470"/>
      <c r="AS175" s="3337"/>
      <c r="AT175" s="3470"/>
      <c r="AU175" s="3337"/>
      <c r="AV175" s="3470"/>
      <c r="AW175" s="3337"/>
      <c r="AX175" s="3470"/>
      <c r="AY175" s="3337"/>
      <c r="AZ175" s="3470"/>
      <c r="BA175" s="3337"/>
      <c r="BB175" s="3470"/>
      <c r="BC175" s="3337"/>
      <c r="BD175" s="3470"/>
      <c r="BE175" s="3337"/>
      <c r="BF175" s="3337"/>
      <c r="BG175" s="3337"/>
      <c r="BH175" s="3337"/>
      <c r="BI175" s="3123"/>
      <c r="BJ175" s="3123"/>
      <c r="BK175" s="3353"/>
      <c r="BL175" s="1996"/>
      <c r="BM175" s="1996"/>
      <c r="BN175" s="3404"/>
      <c r="BO175" s="3404"/>
      <c r="BP175" s="3382"/>
      <c r="BQ175" s="3382"/>
      <c r="BR175" s="3474"/>
      <c r="BS175" s="656"/>
      <c r="BT175" s="656"/>
    </row>
    <row r="176" spans="1:72" s="657" customFormat="1" ht="18.75" customHeight="1" x14ac:dyDescent="0.2">
      <c r="A176" s="3271"/>
      <c r="B176" s="3275"/>
      <c r="C176" s="3276"/>
      <c r="D176" s="1964">
        <v>27</v>
      </c>
      <c r="E176" s="2037" t="s">
        <v>2049</v>
      </c>
      <c r="F176" s="2046"/>
      <c r="G176" s="1353"/>
      <c r="H176" s="1872"/>
      <c r="I176" s="1872"/>
      <c r="J176" s="1872"/>
      <c r="K176" s="1872"/>
      <c r="L176" s="1872"/>
      <c r="M176" s="1872"/>
      <c r="N176" s="1872"/>
      <c r="O176" s="1872"/>
      <c r="P176" s="1872"/>
      <c r="Q176" s="1872"/>
      <c r="R176" s="1872"/>
      <c r="S176" s="1872"/>
      <c r="T176" s="1872"/>
      <c r="U176" s="1872"/>
      <c r="V176" s="1872"/>
      <c r="W176" s="1872"/>
      <c r="X176" s="1872"/>
      <c r="Y176" s="1872"/>
      <c r="Z176" s="1872"/>
      <c r="AA176" s="1872"/>
      <c r="AB176" s="1872"/>
      <c r="AC176" s="1872"/>
      <c r="AD176" s="1872"/>
      <c r="AE176" s="1872"/>
      <c r="AF176" s="1872"/>
      <c r="AG176" s="1872"/>
      <c r="AH176" s="1872"/>
      <c r="AI176" s="1872"/>
      <c r="AJ176" s="1872"/>
      <c r="AK176" s="1872"/>
      <c r="AL176" s="1872"/>
      <c r="AM176" s="1872"/>
      <c r="AN176" s="1872"/>
      <c r="AO176" s="1872"/>
      <c r="AP176" s="1872"/>
      <c r="AQ176" s="1872"/>
      <c r="AR176" s="1872"/>
      <c r="AS176" s="1872"/>
      <c r="AT176" s="1872"/>
      <c r="AU176" s="1872"/>
      <c r="AV176" s="1872"/>
      <c r="AW176" s="1872"/>
      <c r="AX176" s="1872"/>
      <c r="AY176" s="1872"/>
      <c r="AZ176" s="1872"/>
      <c r="BA176" s="1872"/>
      <c r="BB176" s="1872"/>
      <c r="BC176" s="1872"/>
      <c r="BD176" s="1872"/>
      <c r="BE176" s="1872"/>
      <c r="BF176" s="1872"/>
      <c r="BG176" s="1872"/>
      <c r="BH176" s="1872"/>
      <c r="BI176" s="1872"/>
      <c r="BJ176" s="1872"/>
      <c r="BK176" s="1872"/>
      <c r="BL176" s="1872"/>
      <c r="BM176" s="1872"/>
      <c r="BN176" s="1872"/>
      <c r="BO176" s="1872"/>
      <c r="BP176" s="1872"/>
      <c r="BQ176" s="1872"/>
      <c r="BR176" s="2047"/>
      <c r="BS176" s="656"/>
      <c r="BT176" s="656"/>
    </row>
    <row r="177" spans="1:72" s="656" customFormat="1" ht="15" customHeight="1" x14ac:dyDescent="0.2">
      <c r="A177" s="3271"/>
      <c r="B177" s="3275"/>
      <c r="C177" s="3276"/>
      <c r="D177" s="3475"/>
      <c r="E177" s="3475"/>
      <c r="F177" s="3475"/>
      <c r="G177" s="2048">
        <v>86</v>
      </c>
      <c r="H177" s="2049" t="s">
        <v>2087</v>
      </c>
      <c r="I177" s="2049"/>
      <c r="J177" s="1932"/>
      <c r="K177" s="1933"/>
      <c r="L177" s="1934"/>
      <c r="M177" s="2013"/>
      <c r="N177" s="2050"/>
      <c r="O177" s="2051"/>
      <c r="P177" s="2014"/>
      <c r="Q177" s="2052"/>
      <c r="R177" s="1935"/>
      <c r="S177" s="1936"/>
      <c r="T177" s="1934"/>
      <c r="U177" s="1933"/>
      <c r="V177" s="1933"/>
      <c r="W177" s="2053"/>
      <c r="X177" s="2053"/>
      <c r="Y177" s="2054"/>
      <c r="Z177" s="2055"/>
      <c r="AA177" s="2055"/>
      <c r="AB177" s="2056"/>
      <c r="AC177" s="2056"/>
      <c r="AD177" s="2056"/>
      <c r="AE177" s="2056"/>
      <c r="AF177" s="2056"/>
      <c r="AG177" s="2056"/>
      <c r="AH177" s="2056"/>
      <c r="AI177" s="2056"/>
      <c r="AJ177" s="2056"/>
      <c r="AK177" s="2056"/>
      <c r="AL177" s="2056"/>
      <c r="AM177" s="2056"/>
      <c r="AN177" s="2056"/>
      <c r="AO177" s="2056"/>
      <c r="AP177" s="2056"/>
      <c r="AQ177" s="2056"/>
      <c r="AR177" s="2056"/>
      <c r="AS177" s="2056"/>
      <c r="AT177" s="2056"/>
      <c r="AU177" s="2056"/>
      <c r="AV177" s="2056"/>
      <c r="AW177" s="2056"/>
      <c r="AX177" s="2056"/>
      <c r="AY177" s="2056"/>
      <c r="AZ177" s="2056"/>
      <c r="BA177" s="2056"/>
      <c r="BB177" s="2056"/>
      <c r="BC177" s="2056"/>
      <c r="BD177" s="2056"/>
      <c r="BE177" s="2056"/>
      <c r="BF177" s="2056"/>
      <c r="BG177" s="2056"/>
      <c r="BH177" s="2056"/>
      <c r="BI177" s="2057"/>
      <c r="BJ177" s="2057"/>
      <c r="BK177" s="2056"/>
      <c r="BL177" s="2056"/>
      <c r="BM177" s="2056"/>
      <c r="BN177" s="2056"/>
      <c r="BO177" s="2056"/>
      <c r="BP177" s="2056"/>
      <c r="BQ177" s="2056"/>
      <c r="BR177" s="2058"/>
    </row>
    <row r="178" spans="1:72" s="657" customFormat="1" ht="45.75" customHeight="1" x14ac:dyDescent="0.2">
      <c r="A178" s="3271"/>
      <c r="B178" s="3275"/>
      <c r="C178" s="3276"/>
      <c r="D178" s="3475"/>
      <c r="E178" s="3475"/>
      <c r="F178" s="3475"/>
      <c r="G178" s="656"/>
      <c r="H178" s="1896"/>
      <c r="I178" s="1897"/>
      <c r="J178" s="3347">
        <v>255</v>
      </c>
      <c r="K178" s="3318" t="s">
        <v>2088</v>
      </c>
      <c r="L178" s="3318" t="s">
        <v>2089</v>
      </c>
      <c r="M178" s="3347">
        <v>12</v>
      </c>
      <c r="N178" s="3357">
        <v>8</v>
      </c>
      <c r="O178" s="3450" t="s">
        <v>2090</v>
      </c>
      <c r="P178" s="3420" t="s">
        <v>2091</v>
      </c>
      <c r="Q178" s="3293" t="s">
        <v>2092</v>
      </c>
      <c r="R178" s="3427">
        <f>SUM(W178:W181)/S178</f>
        <v>1</v>
      </c>
      <c r="S178" s="3476">
        <f>SUM(W178:W181)</f>
        <v>99372400</v>
      </c>
      <c r="T178" s="3318" t="s">
        <v>2093</v>
      </c>
      <c r="U178" s="3318" t="s">
        <v>2094</v>
      </c>
      <c r="V178" s="2059" t="s">
        <v>2095</v>
      </c>
      <c r="W178" s="1323">
        <v>40000000</v>
      </c>
      <c r="X178" s="1325">
        <f>9915000+8740000+8740000+4000000+7916666</f>
        <v>39311666</v>
      </c>
      <c r="Y178" s="1325">
        <v>37095000</v>
      </c>
      <c r="Z178" s="2060" t="s">
        <v>356</v>
      </c>
      <c r="AA178" s="2061" t="s">
        <v>697</v>
      </c>
      <c r="AB178" s="3425">
        <v>2138</v>
      </c>
      <c r="AC178" s="3336">
        <v>1714</v>
      </c>
      <c r="AD178" s="3388">
        <v>2062</v>
      </c>
      <c r="AE178" s="3336">
        <v>1646</v>
      </c>
      <c r="AF178" s="3388"/>
      <c r="AG178" s="3336"/>
      <c r="AH178" s="3388"/>
      <c r="AI178" s="3336"/>
      <c r="AJ178" s="3388">
        <v>4200</v>
      </c>
      <c r="AK178" s="3336">
        <v>3360</v>
      </c>
      <c r="AL178" s="3388"/>
      <c r="AM178" s="3336"/>
      <c r="AN178" s="3388"/>
      <c r="AO178" s="3336"/>
      <c r="AP178" s="3388"/>
      <c r="AQ178" s="3336"/>
      <c r="AR178" s="3388"/>
      <c r="AS178" s="3336"/>
      <c r="AT178" s="3388"/>
      <c r="AU178" s="3336"/>
      <c r="AV178" s="3388"/>
      <c r="AW178" s="3336"/>
      <c r="AX178" s="3388"/>
      <c r="AY178" s="3336"/>
      <c r="AZ178" s="3388"/>
      <c r="BA178" s="3336"/>
      <c r="BB178" s="3388"/>
      <c r="BC178" s="3336"/>
      <c r="BD178" s="3388"/>
      <c r="BE178" s="3336"/>
      <c r="BF178" s="3336">
        <v>4200</v>
      </c>
      <c r="BG178" s="3388">
        <v>3360</v>
      </c>
      <c r="BH178" s="1902"/>
      <c r="BI178" s="3339">
        <f>SUM(X178:X181)</f>
        <v>84182332</v>
      </c>
      <c r="BJ178" s="3339">
        <f>SUM(Y178:Y181)</f>
        <v>67161666</v>
      </c>
      <c r="BK178" s="3352">
        <f>BJ178/BI178</f>
        <v>0.79781189715675727</v>
      </c>
      <c r="BL178" s="3336">
        <v>20</v>
      </c>
      <c r="BM178" s="3336" t="s">
        <v>2072</v>
      </c>
      <c r="BN178" s="3381">
        <v>43480</v>
      </c>
      <c r="BO178" s="3169">
        <v>43636</v>
      </c>
      <c r="BP178" s="3169">
        <v>43814</v>
      </c>
      <c r="BQ178" s="3169">
        <v>43809</v>
      </c>
      <c r="BR178" s="3400" t="s">
        <v>1884</v>
      </c>
      <c r="BS178" s="656"/>
      <c r="BT178" s="656"/>
    </row>
    <row r="179" spans="1:72" s="657" customFormat="1" ht="33" customHeight="1" x14ac:dyDescent="0.2">
      <c r="A179" s="3271"/>
      <c r="B179" s="3275"/>
      <c r="C179" s="3276"/>
      <c r="D179" s="3475"/>
      <c r="E179" s="3475"/>
      <c r="F179" s="3475"/>
      <c r="G179" s="656"/>
      <c r="H179" s="1903"/>
      <c r="I179" s="1904"/>
      <c r="J179" s="3347"/>
      <c r="K179" s="3318"/>
      <c r="L179" s="3318"/>
      <c r="M179" s="3347"/>
      <c r="N179" s="3358"/>
      <c r="O179" s="3450"/>
      <c r="P179" s="3420"/>
      <c r="Q179" s="3293"/>
      <c r="R179" s="3427"/>
      <c r="S179" s="3476"/>
      <c r="T179" s="3318"/>
      <c r="U179" s="3318"/>
      <c r="V179" s="2059" t="s">
        <v>2096</v>
      </c>
      <c r="W179" s="1323">
        <v>18372400</v>
      </c>
      <c r="X179" s="1913">
        <v>9804000</v>
      </c>
      <c r="Y179" s="1323">
        <v>0</v>
      </c>
      <c r="Z179" s="2062" t="s">
        <v>2097</v>
      </c>
      <c r="AA179" s="1910" t="s">
        <v>2098</v>
      </c>
      <c r="AB179" s="3426"/>
      <c r="AC179" s="3337"/>
      <c r="AD179" s="3389"/>
      <c r="AE179" s="3337"/>
      <c r="AF179" s="3389"/>
      <c r="AG179" s="3337"/>
      <c r="AH179" s="3389"/>
      <c r="AI179" s="3337"/>
      <c r="AJ179" s="3389"/>
      <c r="AK179" s="3337"/>
      <c r="AL179" s="3389"/>
      <c r="AM179" s="3337"/>
      <c r="AN179" s="3389"/>
      <c r="AO179" s="3337"/>
      <c r="AP179" s="3389"/>
      <c r="AQ179" s="3337"/>
      <c r="AR179" s="3389"/>
      <c r="AS179" s="3337"/>
      <c r="AT179" s="3389"/>
      <c r="AU179" s="3337"/>
      <c r="AV179" s="3389"/>
      <c r="AW179" s="3337"/>
      <c r="AX179" s="3389"/>
      <c r="AY179" s="3337"/>
      <c r="AZ179" s="3389"/>
      <c r="BA179" s="3337"/>
      <c r="BB179" s="3389"/>
      <c r="BC179" s="3337"/>
      <c r="BD179" s="3389"/>
      <c r="BE179" s="3337"/>
      <c r="BF179" s="3337"/>
      <c r="BG179" s="3389"/>
      <c r="BH179" s="3337">
        <v>7</v>
      </c>
      <c r="BI179" s="3123"/>
      <c r="BJ179" s="3123"/>
      <c r="BK179" s="3353"/>
      <c r="BL179" s="3337"/>
      <c r="BM179" s="3337"/>
      <c r="BN179" s="3382"/>
      <c r="BO179" s="3355"/>
      <c r="BP179" s="3355"/>
      <c r="BQ179" s="3355"/>
      <c r="BR179" s="3396"/>
      <c r="BS179" s="656"/>
      <c r="BT179" s="656"/>
    </row>
    <row r="180" spans="1:72" s="657" customFormat="1" ht="40.5" customHeight="1" x14ac:dyDescent="0.2">
      <c r="A180" s="3271"/>
      <c r="B180" s="3275"/>
      <c r="C180" s="3276"/>
      <c r="D180" s="3475"/>
      <c r="E180" s="3475"/>
      <c r="F180" s="3475"/>
      <c r="G180" s="656"/>
      <c r="H180" s="1903"/>
      <c r="I180" s="1904"/>
      <c r="J180" s="3347"/>
      <c r="K180" s="3318"/>
      <c r="L180" s="3318"/>
      <c r="M180" s="3347"/>
      <c r="N180" s="3358"/>
      <c r="O180" s="3450"/>
      <c r="P180" s="3420"/>
      <c r="Q180" s="3293"/>
      <c r="R180" s="3427"/>
      <c r="S180" s="3476"/>
      <c r="T180" s="3318"/>
      <c r="U180" s="3318"/>
      <c r="V180" s="2059" t="s">
        <v>2099</v>
      </c>
      <c r="W180" s="1323">
        <v>5000000</v>
      </c>
      <c r="X180" s="1913">
        <v>0</v>
      </c>
      <c r="Y180" s="1323">
        <v>0</v>
      </c>
      <c r="Z180" s="2062" t="s">
        <v>2097</v>
      </c>
      <c r="AA180" s="1910" t="s">
        <v>2098</v>
      </c>
      <c r="AB180" s="3426"/>
      <c r="AC180" s="3337"/>
      <c r="AD180" s="3389"/>
      <c r="AE180" s="3337"/>
      <c r="AF180" s="3389"/>
      <c r="AG180" s="3337"/>
      <c r="AH180" s="3389"/>
      <c r="AI180" s="3337"/>
      <c r="AJ180" s="3389"/>
      <c r="AK180" s="3337"/>
      <c r="AL180" s="3389"/>
      <c r="AM180" s="3337"/>
      <c r="AN180" s="3389"/>
      <c r="AO180" s="3337"/>
      <c r="AP180" s="3389"/>
      <c r="AQ180" s="3337"/>
      <c r="AR180" s="3389"/>
      <c r="AS180" s="3337"/>
      <c r="AT180" s="3389"/>
      <c r="AU180" s="3337"/>
      <c r="AV180" s="3389"/>
      <c r="AW180" s="3337"/>
      <c r="AX180" s="3389"/>
      <c r="AY180" s="3337"/>
      <c r="AZ180" s="3389"/>
      <c r="BA180" s="3337"/>
      <c r="BB180" s="3389"/>
      <c r="BC180" s="3337"/>
      <c r="BD180" s="3389"/>
      <c r="BE180" s="3337"/>
      <c r="BF180" s="3337"/>
      <c r="BG180" s="3389"/>
      <c r="BH180" s="3337"/>
      <c r="BI180" s="3123"/>
      <c r="BJ180" s="3123"/>
      <c r="BK180" s="3353"/>
      <c r="BL180" s="3337"/>
      <c r="BM180" s="3337"/>
      <c r="BN180" s="3382"/>
      <c r="BO180" s="3355"/>
      <c r="BP180" s="3355"/>
      <c r="BQ180" s="3355"/>
      <c r="BR180" s="3396"/>
      <c r="BS180" s="656"/>
      <c r="BT180" s="656"/>
    </row>
    <row r="181" spans="1:72" s="657" customFormat="1" ht="50.25" customHeight="1" x14ac:dyDescent="0.2">
      <c r="A181" s="3271"/>
      <c r="B181" s="3275"/>
      <c r="C181" s="3276"/>
      <c r="D181" s="3475"/>
      <c r="E181" s="3475"/>
      <c r="F181" s="3475"/>
      <c r="G181" s="656"/>
      <c r="H181" s="1903"/>
      <c r="I181" s="1904"/>
      <c r="J181" s="3347"/>
      <c r="K181" s="3318"/>
      <c r="L181" s="3318"/>
      <c r="M181" s="3347"/>
      <c r="N181" s="3359"/>
      <c r="O181" s="3450"/>
      <c r="P181" s="3420"/>
      <c r="Q181" s="3293"/>
      <c r="R181" s="3427"/>
      <c r="S181" s="3476"/>
      <c r="T181" s="3318"/>
      <c r="U181" s="3318"/>
      <c r="V181" s="2063" t="s">
        <v>2100</v>
      </c>
      <c r="W181" s="1323">
        <v>36000000</v>
      </c>
      <c r="X181" s="1913">
        <f>8550000+8550000+6000000+6000000+5000000+966666</f>
        <v>35066666</v>
      </c>
      <c r="Y181" s="1913">
        <v>30066666</v>
      </c>
      <c r="Z181" s="2064" t="s">
        <v>2097</v>
      </c>
      <c r="AA181" s="2029" t="s">
        <v>2098</v>
      </c>
      <c r="AB181" s="3426"/>
      <c r="AC181" s="3338"/>
      <c r="AD181" s="3389"/>
      <c r="AE181" s="3338"/>
      <c r="AF181" s="3389"/>
      <c r="AG181" s="3338"/>
      <c r="AH181" s="3389"/>
      <c r="AI181" s="3338"/>
      <c r="AJ181" s="3389"/>
      <c r="AK181" s="3338"/>
      <c r="AL181" s="3389"/>
      <c r="AM181" s="3338"/>
      <c r="AN181" s="3389"/>
      <c r="AO181" s="3338"/>
      <c r="AP181" s="3389"/>
      <c r="AQ181" s="3338"/>
      <c r="AR181" s="3389"/>
      <c r="AS181" s="3338"/>
      <c r="AT181" s="3389"/>
      <c r="AU181" s="3338"/>
      <c r="AV181" s="3389"/>
      <c r="AW181" s="3338"/>
      <c r="AX181" s="3389"/>
      <c r="AY181" s="3338"/>
      <c r="AZ181" s="3389"/>
      <c r="BA181" s="3338"/>
      <c r="BB181" s="3389"/>
      <c r="BC181" s="3338"/>
      <c r="BD181" s="3389"/>
      <c r="BE181" s="3338"/>
      <c r="BF181" s="3338"/>
      <c r="BG181" s="3389"/>
      <c r="BH181" s="1931"/>
      <c r="BI181" s="3124"/>
      <c r="BJ181" s="3124"/>
      <c r="BK181" s="3354"/>
      <c r="BL181" s="3338"/>
      <c r="BM181" s="3338"/>
      <c r="BN181" s="3383"/>
      <c r="BO181" s="3170"/>
      <c r="BP181" s="3170"/>
      <c r="BQ181" s="3170"/>
      <c r="BR181" s="3396"/>
      <c r="BS181" s="656"/>
      <c r="BT181" s="656"/>
    </row>
    <row r="182" spans="1:72" s="1871" customFormat="1" ht="15" customHeight="1" x14ac:dyDescent="0.2">
      <c r="A182" s="3271"/>
      <c r="B182" s="3275"/>
      <c r="C182" s="3276"/>
      <c r="D182" s="3475"/>
      <c r="E182" s="3475"/>
      <c r="F182" s="3475"/>
      <c r="G182" s="1452"/>
      <c r="H182" s="1452"/>
      <c r="I182" s="1452"/>
      <c r="J182" s="2065"/>
      <c r="K182" s="2066"/>
      <c r="L182" s="2067"/>
      <c r="M182" s="2068"/>
      <c r="N182" s="2068"/>
      <c r="O182" s="1417"/>
      <c r="P182" s="1418"/>
      <c r="Q182" s="1866"/>
      <c r="R182" s="2069"/>
      <c r="S182" s="2070"/>
      <c r="T182" s="2067"/>
      <c r="U182" s="2066"/>
      <c r="V182" s="2066"/>
      <c r="W182" s="2071"/>
      <c r="X182" s="2071"/>
      <c r="Y182" s="2072"/>
      <c r="Z182" s="2073"/>
      <c r="AA182" s="2073"/>
      <c r="AB182" s="2074"/>
      <c r="AC182" s="2074"/>
      <c r="AD182" s="2074"/>
      <c r="AE182" s="2074"/>
      <c r="AF182" s="2074"/>
      <c r="AG182" s="2074"/>
      <c r="AH182" s="2074"/>
      <c r="AI182" s="2074"/>
      <c r="AJ182" s="2074"/>
      <c r="AK182" s="2074"/>
      <c r="AL182" s="2074"/>
      <c r="AM182" s="2074"/>
      <c r="AN182" s="2074"/>
      <c r="AO182" s="2074"/>
      <c r="AP182" s="2074"/>
      <c r="AQ182" s="2074"/>
      <c r="AR182" s="2074"/>
      <c r="AS182" s="2074"/>
      <c r="AT182" s="2074"/>
      <c r="AU182" s="2074"/>
      <c r="AV182" s="2074"/>
      <c r="AW182" s="2074"/>
      <c r="AX182" s="2074"/>
      <c r="AY182" s="2074"/>
      <c r="AZ182" s="2074"/>
      <c r="BA182" s="2074"/>
      <c r="BB182" s="2074"/>
      <c r="BC182" s="2074"/>
      <c r="BD182" s="2074"/>
      <c r="BE182" s="2074"/>
      <c r="BF182" s="2074"/>
      <c r="BG182" s="2074"/>
      <c r="BH182" s="2074"/>
      <c r="BI182" s="2075"/>
      <c r="BJ182" s="2075"/>
      <c r="BK182" s="2074"/>
      <c r="BL182" s="2074"/>
      <c r="BM182" s="2074"/>
      <c r="BN182" s="2074"/>
      <c r="BO182" s="2074"/>
      <c r="BP182" s="2074"/>
      <c r="BQ182" s="2074"/>
      <c r="BR182" s="2076"/>
      <c r="BS182" s="2077"/>
      <c r="BT182" s="2077"/>
    </row>
    <row r="183" spans="1:72" s="656" customFormat="1" ht="15" customHeight="1" x14ac:dyDescent="0.2">
      <c r="A183" s="3271"/>
      <c r="B183" s="3275"/>
      <c r="C183" s="3276"/>
      <c r="D183" s="3475"/>
      <c r="E183" s="3475"/>
      <c r="F183" s="3475"/>
      <c r="G183" s="1874"/>
      <c r="H183" s="1874"/>
      <c r="I183" s="1874"/>
      <c r="J183" s="1875"/>
      <c r="K183" s="1876"/>
      <c r="L183" s="1877"/>
      <c r="M183" s="1874"/>
      <c r="N183" s="1874"/>
      <c r="O183" s="1878"/>
      <c r="P183" s="1875"/>
      <c r="Q183" s="1877"/>
      <c r="R183" s="1879"/>
      <c r="S183" s="2078"/>
      <c r="T183" s="1877"/>
      <c r="U183" s="1876"/>
      <c r="V183" s="1876"/>
      <c r="W183" s="1972"/>
      <c r="X183" s="1972"/>
      <c r="Y183" s="1973"/>
      <c r="Z183" s="1974"/>
      <c r="AA183" s="1974"/>
      <c r="AB183" s="1881"/>
      <c r="AC183" s="1881"/>
      <c r="AD183" s="1881"/>
      <c r="AE183" s="1881"/>
      <c r="AF183" s="1881"/>
      <c r="AG183" s="1881"/>
      <c r="AH183" s="1881"/>
      <c r="AI183" s="1881"/>
      <c r="AJ183" s="1881"/>
      <c r="AK183" s="1881"/>
      <c r="AL183" s="1881"/>
      <c r="AM183" s="1881"/>
      <c r="AN183" s="1881"/>
      <c r="AO183" s="1881"/>
      <c r="AP183" s="1881"/>
      <c r="AQ183" s="1881"/>
      <c r="AR183" s="1881"/>
      <c r="AS183" s="1881"/>
      <c r="AT183" s="1881"/>
      <c r="AU183" s="1881"/>
      <c r="AV183" s="1881"/>
      <c r="AW183" s="1881"/>
      <c r="AX183" s="1881"/>
      <c r="AY183" s="1881"/>
      <c r="AZ183" s="1881"/>
      <c r="BA183" s="1881"/>
      <c r="BB183" s="1881"/>
      <c r="BC183" s="1881"/>
      <c r="BD183" s="1877"/>
      <c r="BE183" s="1877"/>
      <c r="BF183" s="1877"/>
      <c r="BG183" s="1877"/>
      <c r="BH183" s="1877"/>
      <c r="BI183" s="1975"/>
      <c r="BJ183" s="1975"/>
      <c r="BK183" s="1877"/>
      <c r="BL183" s="1877"/>
      <c r="BM183" s="1877"/>
      <c r="BN183" s="1877"/>
      <c r="BO183" s="1877"/>
      <c r="BP183" s="1877"/>
      <c r="BQ183" s="1877"/>
      <c r="BR183" s="1884"/>
    </row>
    <row r="184" spans="1:72" s="656" customFormat="1" ht="15" customHeight="1" x14ac:dyDescent="0.2">
      <c r="A184" s="3271"/>
      <c r="B184" s="3275"/>
      <c r="C184" s="3276"/>
      <c r="D184" s="3475"/>
      <c r="E184" s="3475"/>
      <c r="F184" s="3475"/>
      <c r="G184" s="2079">
        <v>84</v>
      </c>
      <c r="H184" s="1366" t="s">
        <v>2101</v>
      </c>
      <c r="I184" s="1366"/>
      <c r="J184" s="1438"/>
      <c r="K184" s="2080"/>
      <c r="L184" s="1368"/>
      <c r="M184" s="1366"/>
      <c r="N184" s="1366"/>
      <c r="O184" s="1434"/>
      <c r="P184" s="1438"/>
      <c r="Q184" s="1368"/>
      <c r="R184" s="2081"/>
      <c r="S184" s="1495"/>
      <c r="T184" s="1368"/>
      <c r="U184" s="2080"/>
      <c r="V184" s="2080"/>
      <c r="W184" s="1937"/>
      <c r="X184" s="1937"/>
      <c r="Y184" s="1938"/>
      <c r="Z184" s="1977"/>
      <c r="AA184" s="1977"/>
      <c r="AB184" s="1978"/>
      <c r="AC184" s="1978"/>
      <c r="AD184" s="1978"/>
      <c r="AE184" s="1978"/>
      <c r="AF184" s="1978"/>
      <c r="AG184" s="1978"/>
      <c r="AH184" s="1978"/>
      <c r="AI184" s="1978"/>
      <c r="AJ184" s="1978"/>
      <c r="AK184" s="1978"/>
      <c r="AL184" s="1978"/>
      <c r="AM184" s="1978"/>
      <c r="AN184" s="1978"/>
      <c r="AO184" s="1978"/>
      <c r="AP184" s="1978"/>
      <c r="AQ184" s="1978"/>
      <c r="AR184" s="1978"/>
      <c r="AS184" s="1978"/>
      <c r="AT184" s="1978"/>
      <c r="AU184" s="1978"/>
      <c r="AV184" s="1978"/>
      <c r="AW184" s="1978"/>
      <c r="AX184" s="1978"/>
      <c r="AY184" s="1978"/>
      <c r="AZ184" s="1978"/>
      <c r="BA184" s="1978"/>
      <c r="BB184" s="1978"/>
      <c r="BC184" s="1978"/>
      <c r="BD184" s="1978"/>
      <c r="BE184" s="1978"/>
      <c r="BF184" s="1978"/>
      <c r="BG184" s="1978"/>
      <c r="BH184" s="1978"/>
      <c r="BI184" s="1979"/>
      <c r="BJ184" s="1979"/>
      <c r="BK184" s="1978"/>
      <c r="BL184" s="1978"/>
      <c r="BM184" s="1978"/>
      <c r="BN184" s="1978"/>
      <c r="BO184" s="1978"/>
      <c r="BP184" s="1978"/>
      <c r="BQ184" s="1978"/>
      <c r="BR184" s="1980"/>
    </row>
    <row r="185" spans="1:72" s="657" customFormat="1" ht="52.5" customHeight="1" x14ac:dyDescent="0.25">
      <c r="A185" s="3271"/>
      <c r="B185" s="3275"/>
      <c r="C185" s="3276"/>
      <c r="D185" s="3475"/>
      <c r="E185" s="3475"/>
      <c r="F185" s="3475"/>
      <c r="G185" s="2082"/>
      <c r="H185" s="2083"/>
      <c r="I185" s="1983"/>
      <c r="J185" s="3297">
        <v>247</v>
      </c>
      <c r="K185" s="3477" t="s">
        <v>2102</v>
      </c>
      <c r="L185" s="3477" t="s">
        <v>2103</v>
      </c>
      <c r="M185" s="3358">
        <v>1</v>
      </c>
      <c r="N185" s="3298">
        <v>0.65</v>
      </c>
      <c r="O185" s="3479" t="s">
        <v>2104</v>
      </c>
      <c r="P185" s="3420" t="s">
        <v>2105</v>
      </c>
      <c r="Q185" s="3477" t="s">
        <v>2106</v>
      </c>
      <c r="R185" s="3462">
        <f>SUM(W185:W189)/S185</f>
        <v>1</v>
      </c>
      <c r="S185" s="3414">
        <f>SUM(W185:W189)</f>
        <v>49687000</v>
      </c>
      <c r="T185" s="3477" t="s">
        <v>2107</v>
      </c>
      <c r="U185" s="3293" t="s">
        <v>2108</v>
      </c>
      <c r="V185" s="1244" t="s">
        <v>2109</v>
      </c>
      <c r="W185" s="1323">
        <v>40387000</v>
      </c>
      <c r="X185" s="1913">
        <v>39465933</v>
      </c>
      <c r="Y185" s="1913">
        <f>8929166+8929166</f>
        <v>17858332</v>
      </c>
      <c r="Z185" s="2040">
        <v>20</v>
      </c>
      <c r="AA185" s="1910" t="s">
        <v>86</v>
      </c>
      <c r="AB185" s="3490">
        <v>357</v>
      </c>
      <c r="AC185" s="3484">
        <v>175</v>
      </c>
      <c r="AD185" s="3482">
        <v>343</v>
      </c>
      <c r="AE185" s="3484">
        <v>168</v>
      </c>
      <c r="AF185" s="3115"/>
      <c r="AG185" s="3487"/>
      <c r="AH185" s="3115"/>
      <c r="AI185" s="3487"/>
      <c r="AJ185" s="3115">
        <v>700</v>
      </c>
      <c r="AK185" s="3487">
        <v>343</v>
      </c>
      <c r="AL185" s="3115"/>
      <c r="AM185" s="3487"/>
      <c r="AN185" s="3115"/>
      <c r="AO185" s="3487"/>
      <c r="AP185" s="3115"/>
      <c r="AQ185" s="3487"/>
      <c r="AR185" s="3115"/>
      <c r="AS185" s="3487"/>
      <c r="AT185" s="3115"/>
      <c r="AU185" s="3487"/>
      <c r="AV185" s="3115"/>
      <c r="AW185" s="3487"/>
      <c r="AX185" s="3115"/>
      <c r="AY185" s="3487"/>
      <c r="AZ185" s="3115"/>
      <c r="BA185" s="3487"/>
      <c r="BB185" s="3115"/>
      <c r="BC185" s="3487"/>
      <c r="BD185" s="3115"/>
      <c r="BE185" s="3487"/>
      <c r="BF185" s="3487">
        <v>700</v>
      </c>
      <c r="BG185" s="3115">
        <v>343</v>
      </c>
      <c r="BH185" s="3115">
        <v>6</v>
      </c>
      <c r="BI185" s="3339">
        <f>SUM(X185:X189)</f>
        <v>46965933</v>
      </c>
      <c r="BJ185" s="3339">
        <f>SUM(Y185:Y189)</f>
        <v>22858332</v>
      </c>
      <c r="BK185" s="3352">
        <f>BJ185/BI185</f>
        <v>0.48670026421065671</v>
      </c>
      <c r="BL185" s="3336">
        <v>20</v>
      </c>
      <c r="BM185" s="3336" t="s">
        <v>2072</v>
      </c>
      <c r="BN185" s="3381">
        <v>43480</v>
      </c>
      <c r="BO185" s="3169">
        <v>43539</v>
      </c>
      <c r="BP185" s="3169">
        <v>43697</v>
      </c>
      <c r="BQ185" s="3381">
        <v>43809</v>
      </c>
      <c r="BR185" s="3400" t="s">
        <v>1884</v>
      </c>
      <c r="BS185" s="656"/>
      <c r="BT185" s="656"/>
    </row>
    <row r="186" spans="1:72" s="657" customFormat="1" ht="33" customHeight="1" x14ac:dyDescent="0.25">
      <c r="A186" s="3271"/>
      <c r="B186" s="3275"/>
      <c r="C186" s="3276"/>
      <c r="D186" s="3475"/>
      <c r="E186" s="3475"/>
      <c r="F186" s="3475"/>
      <c r="G186" s="1992"/>
      <c r="H186" s="1990"/>
      <c r="I186" s="1992"/>
      <c r="J186" s="3297"/>
      <c r="K186" s="3477"/>
      <c r="L186" s="3477"/>
      <c r="M186" s="3358"/>
      <c r="N186" s="3299"/>
      <c r="O186" s="3479"/>
      <c r="P186" s="3420"/>
      <c r="Q186" s="3477"/>
      <c r="R186" s="3462"/>
      <c r="S186" s="3414"/>
      <c r="T186" s="3477"/>
      <c r="U186" s="3293"/>
      <c r="V186" s="1244" t="s">
        <v>2110</v>
      </c>
      <c r="W186" s="1323">
        <v>3300000</v>
      </c>
      <c r="X186" s="1913">
        <v>2500000</v>
      </c>
      <c r="Y186" s="1323">
        <v>0</v>
      </c>
      <c r="Z186" s="2026">
        <v>20</v>
      </c>
      <c r="AA186" s="1910" t="s">
        <v>86</v>
      </c>
      <c r="AB186" s="3491"/>
      <c r="AC186" s="3485"/>
      <c r="AD186" s="3483"/>
      <c r="AE186" s="3485"/>
      <c r="AF186" s="3396"/>
      <c r="AG186" s="3488"/>
      <c r="AH186" s="3396"/>
      <c r="AI186" s="3488"/>
      <c r="AJ186" s="3396"/>
      <c r="AK186" s="3488"/>
      <c r="AL186" s="3396"/>
      <c r="AM186" s="3488"/>
      <c r="AN186" s="3396"/>
      <c r="AO186" s="3488"/>
      <c r="AP186" s="3396"/>
      <c r="AQ186" s="3488"/>
      <c r="AR186" s="3396"/>
      <c r="AS186" s="3488"/>
      <c r="AT186" s="3396"/>
      <c r="AU186" s="3488"/>
      <c r="AV186" s="3396"/>
      <c r="AW186" s="3488"/>
      <c r="AX186" s="3396"/>
      <c r="AY186" s="3488"/>
      <c r="AZ186" s="3396"/>
      <c r="BA186" s="3488"/>
      <c r="BB186" s="3396"/>
      <c r="BC186" s="3488"/>
      <c r="BD186" s="3396"/>
      <c r="BE186" s="3488"/>
      <c r="BF186" s="3488"/>
      <c r="BG186" s="3396"/>
      <c r="BH186" s="3396"/>
      <c r="BI186" s="3123"/>
      <c r="BJ186" s="3123"/>
      <c r="BK186" s="3353"/>
      <c r="BL186" s="3337"/>
      <c r="BM186" s="3337"/>
      <c r="BN186" s="3382"/>
      <c r="BO186" s="3355"/>
      <c r="BP186" s="3355"/>
      <c r="BQ186" s="3382"/>
      <c r="BR186" s="3396"/>
      <c r="BS186" s="656"/>
      <c r="BT186" s="656"/>
    </row>
    <row r="187" spans="1:72" s="657" customFormat="1" ht="75" customHeight="1" x14ac:dyDescent="0.25">
      <c r="A187" s="3271"/>
      <c r="B187" s="3275"/>
      <c r="C187" s="3276"/>
      <c r="D187" s="3475"/>
      <c r="E187" s="3475"/>
      <c r="F187" s="3475"/>
      <c r="G187" s="1992"/>
      <c r="H187" s="1990"/>
      <c r="I187" s="1992"/>
      <c r="J187" s="3297"/>
      <c r="K187" s="3477"/>
      <c r="L187" s="3477"/>
      <c r="M187" s="3358"/>
      <c r="N187" s="3299"/>
      <c r="O187" s="3479"/>
      <c r="P187" s="3420"/>
      <c r="Q187" s="3477"/>
      <c r="R187" s="3462"/>
      <c r="S187" s="3414"/>
      <c r="T187" s="3477"/>
      <c r="U187" s="3293"/>
      <c r="V187" s="1244" t="s">
        <v>2111</v>
      </c>
      <c r="W187" s="1323">
        <v>3000000</v>
      </c>
      <c r="X187" s="1913">
        <v>3000000</v>
      </c>
      <c r="Y187" s="1913">
        <v>3000000</v>
      </c>
      <c r="Z187" s="2026">
        <v>20</v>
      </c>
      <c r="AA187" s="1910" t="s">
        <v>86</v>
      </c>
      <c r="AB187" s="3491"/>
      <c r="AC187" s="3485"/>
      <c r="AD187" s="3483"/>
      <c r="AE187" s="3485"/>
      <c r="AF187" s="3396"/>
      <c r="AG187" s="3488"/>
      <c r="AH187" s="3396"/>
      <c r="AI187" s="3488"/>
      <c r="AJ187" s="3396"/>
      <c r="AK187" s="3488"/>
      <c r="AL187" s="3396"/>
      <c r="AM187" s="3488"/>
      <c r="AN187" s="3396"/>
      <c r="AO187" s="3488"/>
      <c r="AP187" s="3396"/>
      <c r="AQ187" s="3488"/>
      <c r="AR187" s="3396"/>
      <c r="AS187" s="3488"/>
      <c r="AT187" s="3396"/>
      <c r="AU187" s="3488"/>
      <c r="AV187" s="3396"/>
      <c r="AW187" s="3488"/>
      <c r="AX187" s="3396"/>
      <c r="AY187" s="3488"/>
      <c r="AZ187" s="3396"/>
      <c r="BA187" s="3488"/>
      <c r="BB187" s="3396"/>
      <c r="BC187" s="3488"/>
      <c r="BD187" s="3396"/>
      <c r="BE187" s="3488"/>
      <c r="BF187" s="3488"/>
      <c r="BG187" s="3396"/>
      <c r="BH187" s="3396"/>
      <c r="BI187" s="3123"/>
      <c r="BJ187" s="3123"/>
      <c r="BK187" s="3353"/>
      <c r="BL187" s="3337"/>
      <c r="BM187" s="3337"/>
      <c r="BN187" s="3382"/>
      <c r="BO187" s="3355"/>
      <c r="BP187" s="3355"/>
      <c r="BQ187" s="3382"/>
      <c r="BR187" s="3396"/>
      <c r="BS187" s="656"/>
      <c r="BT187" s="656"/>
    </row>
    <row r="188" spans="1:72" s="657" customFormat="1" ht="78.75" customHeight="1" x14ac:dyDescent="0.25">
      <c r="A188" s="3271"/>
      <c r="B188" s="3275"/>
      <c r="C188" s="3276"/>
      <c r="D188" s="3475"/>
      <c r="E188" s="3475"/>
      <c r="F188" s="3475"/>
      <c r="G188" s="1992"/>
      <c r="H188" s="1990"/>
      <c r="I188" s="1992"/>
      <c r="J188" s="3297"/>
      <c r="K188" s="3477"/>
      <c r="L188" s="3477"/>
      <c r="M188" s="3358"/>
      <c r="N188" s="3299"/>
      <c r="O188" s="3479"/>
      <c r="P188" s="3420"/>
      <c r="Q188" s="3477"/>
      <c r="R188" s="3462"/>
      <c r="S188" s="3414"/>
      <c r="T188" s="3477"/>
      <c r="U188" s="3293"/>
      <c r="V188" s="1244" t="s">
        <v>2112</v>
      </c>
      <c r="W188" s="1323">
        <v>2000000</v>
      </c>
      <c r="X188" s="1913">
        <v>2000000</v>
      </c>
      <c r="Y188" s="1913">
        <v>2000000</v>
      </c>
      <c r="Z188" s="2026">
        <v>20</v>
      </c>
      <c r="AA188" s="1910" t="s">
        <v>86</v>
      </c>
      <c r="AB188" s="3491"/>
      <c r="AC188" s="3485"/>
      <c r="AD188" s="3483"/>
      <c r="AE188" s="3485"/>
      <c r="AF188" s="3396"/>
      <c r="AG188" s="3488"/>
      <c r="AH188" s="3396"/>
      <c r="AI188" s="3488"/>
      <c r="AJ188" s="3396"/>
      <c r="AK188" s="3488"/>
      <c r="AL188" s="3396"/>
      <c r="AM188" s="3488"/>
      <c r="AN188" s="3396"/>
      <c r="AO188" s="3488"/>
      <c r="AP188" s="3396"/>
      <c r="AQ188" s="3488"/>
      <c r="AR188" s="3396"/>
      <c r="AS188" s="3488"/>
      <c r="AT188" s="3396"/>
      <c r="AU188" s="3488"/>
      <c r="AV188" s="3396"/>
      <c r="AW188" s="3488"/>
      <c r="AX188" s="3396"/>
      <c r="AY188" s="3488"/>
      <c r="AZ188" s="3396"/>
      <c r="BA188" s="3488"/>
      <c r="BB188" s="3396"/>
      <c r="BC188" s="3488"/>
      <c r="BD188" s="3396"/>
      <c r="BE188" s="3488"/>
      <c r="BF188" s="3488"/>
      <c r="BG188" s="3396"/>
      <c r="BH188" s="3396"/>
      <c r="BI188" s="3123"/>
      <c r="BJ188" s="3123"/>
      <c r="BK188" s="3353"/>
      <c r="BL188" s="3337"/>
      <c r="BM188" s="3337"/>
      <c r="BN188" s="3382"/>
      <c r="BO188" s="3355"/>
      <c r="BP188" s="3355"/>
      <c r="BQ188" s="3382"/>
      <c r="BR188" s="3396"/>
      <c r="BS188" s="656"/>
      <c r="BT188" s="656"/>
    </row>
    <row r="189" spans="1:72" s="657" customFormat="1" ht="30.75" customHeight="1" x14ac:dyDescent="0.25">
      <c r="A189" s="3272"/>
      <c r="B189" s="3277"/>
      <c r="C189" s="3278"/>
      <c r="D189" s="3475"/>
      <c r="E189" s="3475"/>
      <c r="F189" s="3475"/>
      <c r="G189" s="2008"/>
      <c r="H189" s="2006"/>
      <c r="I189" s="2008"/>
      <c r="J189" s="3288"/>
      <c r="K189" s="3478"/>
      <c r="L189" s="3478"/>
      <c r="M189" s="3359"/>
      <c r="N189" s="3300"/>
      <c r="O189" s="3480"/>
      <c r="P189" s="3481"/>
      <c r="Q189" s="3478"/>
      <c r="R189" s="3466"/>
      <c r="S189" s="3415"/>
      <c r="T189" s="3478"/>
      <c r="U189" s="3399"/>
      <c r="V189" s="1244" t="s">
        <v>2113</v>
      </c>
      <c r="W189" s="1323">
        <v>1000000</v>
      </c>
      <c r="X189" s="1913">
        <v>0</v>
      </c>
      <c r="Y189" s="1323">
        <v>0</v>
      </c>
      <c r="Z189" s="2028">
        <v>20</v>
      </c>
      <c r="AA189" s="1910" t="s">
        <v>86</v>
      </c>
      <c r="AB189" s="3491"/>
      <c r="AC189" s="3486"/>
      <c r="AD189" s="3483"/>
      <c r="AE189" s="3486"/>
      <c r="AF189" s="3396"/>
      <c r="AG189" s="3489"/>
      <c r="AH189" s="3396"/>
      <c r="AI189" s="3489"/>
      <c r="AJ189" s="3396"/>
      <c r="AK189" s="3489"/>
      <c r="AL189" s="3396"/>
      <c r="AM189" s="3489"/>
      <c r="AN189" s="3396"/>
      <c r="AO189" s="3489"/>
      <c r="AP189" s="3396"/>
      <c r="AQ189" s="3489"/>
      <c r="AR189" s="3396"/>
      <c r="AS189" s="3489"/>
      <c r="AT189" s="3396"/>
      <c r="AU189" s="3489"/>
      <c r="AV189" s="3396"/>
      <c r="AW189" s="3489"/>
      <c r="AX189" s="3396"/>
      <c r="AY189" s="3489"/>
      <c r="AZ189" s="3396"/>
      <c r="BA189" s="3489"/>
      <c r="BB189" s="3396"/>
      <c r="BC189" s="3489"/>
      <c r="BD189" s="3396"/>
      <c r="BE189" s="3489"/>
      <c r="BF189" s="3489"/>
      <c r="BG189" s="3396"/>
      <c r="BH189" s="3396"/>
      <c r="BI189" s="3124"/>
      <c r="BJ189" s="3124"/>
      <c r="BK189" s="3354"/>
      <c r="BL189" s="3338"/>
      <c r="BM189" s="3338"/>
      <c r="BN189" s="3383"/>
      <c r="BO189" s="3170"/>
      <c r="BP189" s="3170"/>
      <c r="BQ189" s="3383"/>
      <c r="BR189" s="3396"/>
      <c r="BS189" s="656"/>
      <c r="BT189" s="656"/>
    </row>
    <row r="190" spans="1:72" s="1848" customFormat="1" ht="31.5" customHeight="1" x14ac:dyDescent="0.25">
      <c r="A190" s="2084"/>
      <c r="B190" s="2085"/>
      <c r="C190" s="2085"/>
      <c r="D190" s="2086"/>
      <c r="E190" s="2086"/>
      <c r="F190" s="2086"/>
      <c r="G190" s="2087"/>
      <c r="H190" s="2087"/>
      <c r="I190" s="2087"/>
      <c r="J190" s="2088"/>
      <c r="K190" s="2089"/>
      <c r="L190" s="2089"/>
      <c r="M190" s="2090"/>
      <c r="N190" s="2090"/>
      <c r="O190" s="2091"/>
      <c r="P190" s="2092"/>
      <c r="Q190" s="2089"/>
      <c r="R190" s="2090"/>
      <c r="S190" s="1498">
        <f>SUM(S13:S189)</f>
        <v>9821583583</v>
      </c>
      <c r="T190" s="2089"/>
      <c r="U190" s="2089"/>
      <c r="V190" s="2093"/>
      <c r="W190" s="1498">
        <f>SUM(W13:W189)</f>
        <v>9821583583</v>
      </c>
      <c r="X190" s="1498">
        <f>SUM(X13:X189)</f>
        <v>3051448283</v>
      </c>
      <c r="Y190" s="1498">
        <f>SUM(Y13:Y189)</f>
        <v>1113756937</v>
      </c>
      <c r="Z190" s="2094"/>
      <c r="AA190" s="2090"/>
      <c r="AB190" s="2095"/>
      <c r="AC190" s="2095"/>
      <c r="AD190" s="2095"/>
      <c r="AE190" s="2095"/>
      <c r="AF190" s="2096"/>
      <c r="AG190" s="2096"/>
      <c r="AH190" s="2096"/>
      <c r="AI190" s="2096"/>
      <c r="AJ190" s="2096"/>
      <c r="AK190" s="2096"/>
      <c r="AL190" s="2096"/>
      <c r="AM190" s="2096"/>
      <c r="AN190" s="2096"/>
      <c r="AO190" s="2096"/>
      <c r="AP190" s="2096"/>
      <c r="AQ190" s="2096"/>
      <c r="AR190" s="2096"/>
      <c r="AS190" s="2096"/>
      <c r="AT190" s="2096"/>
      <c r="AU190" s="2096"/>
      <c r="AV190" s="2096"/>
      <c r="AW190" s="2096"/>
      <c r="AX190" s="2096"/>
      <c r="AY190" s="2096"/>
      <c r="AZ190" s="2096"/>
      <c r="BA190" s="2096"/>
      <c r="BB190" s="2096"/>
      <c r="BC190" s="2096"/>
      <c r="BD190" s="2096"/>
      <c r="BE190" s="2096"/>
      <c r="BF190" s="2096"/>
      <c r="BG190" s="2096"/>
      <c r="BH190" s="2096"/>
      <c r="BI190" s="2097">
        <f>SUM(BI13:BI189)</f>
        <v>3051448283</v>
      </c>
      <c r="BJ190" s="2098">
        <f>SUM(BJ13:BJ189)</f>
        <v>1113756937</v>
      </c>
      <c r="BK190" s="2096"/>
      <c r="BL190" s="2096"/>
      <c r="BM190" s="2096"/>
      <c r="BN190" s="2099"/>
      <c r="BO190" s="2099"/>
      <c r="BP190" s="2099"/>
      <c r="BQ190" s="2099"/>
      <c r="BR190" s="2100"/>
      <c r="BS190" s="2101"/>
      <c r="BT190" s="2101"/>
    </row>
    <row r="191" spans="1:72" ht="27" customHeight="1" x14ac:dyDescent="0.2">
      <c r="BS191" s="52"/>
      <c r="BT191" s="52"/>
    </row>
    <row r="192" spans="1:72" ht="27" customHeight="1" x14ac:dyDescent="0.25">
      <c r="S192" s="133" t="s">
        <v>2114</v>
      </c>
      <c r="BS192" s="52"/>
      <c r="BT192" s="52"/>
    </row>
    <row r="193" spans="19:72" ht="27" customHeight="1" x14ac:dyDescent="0.25">
      <c r="S193" s="134" t="s">
        <v>2115</v>
      </c>
      <c r="BS193" s="52"/>
      <c r="BT193" s="52"/>
    </row>
    <row r="196" spans="19:72" ht="27" customHeight="1" x14ac:dyDescent="0.2">
      <c r="X196" s="2103"/>
      <c r="Y196" s="2103"/>
    </row>
  </sheetData>
  <sheetProtection password="CBEB" sheet="1" objects="1" scenarios="1"/>
  <mergeCells count="724">
    <mergeCell ref="BN185:BN189"/>
    <mergeCell ref="BO185:BO189"/>
    <mergeCell ref="BP185:BP189"/>
    <mergeCell ref="BQ185:BQ189"/>
    <mergeCell ref="BR185:BR189"/>
    <mergeCell ref="BH185:BH189"/>
    <mergeCell ref="BI185:BI189"/>
    <mergeCell ref="BJ185:BJ189"/>
    <mergeCell ref="BK185:BK189"/>
    <mergeCell ref="BL185:BL189"/>
    <mergeCell ref="BM185:BM189"/>
    <mergeCell ref="BB185:BB189"/>
    <mergeCell ref="BC185:BC189"/>
    <mergeCell ref="BD185:BD189"/>
    <mergeCell ref="BE185:BE189"/>
    <mergeCell ref="BF185:BF189"/>
    <mergeCell ref="BG185:BG189"/>
    <mergeCell ref="AV185:AV189"/>
    <mergeCell ref="AW185:AW189"/>
    <mergeCell ref="AX185:AX189"/>
    <mergeCell ref="AY185:AY189"/>
    <mergeCell ref="AZ185:AZ189"/>
    <mergeCell ref="BA185:BA189"/>
    <mergeCell ref="AP185:AP189"/>
    <mergeCell ref="AQ185:AQ189"/>
    <mergeCell ref="AR185:AR189"/>
    <mergeCell ref="AS185:AS189"/>
    <mergeCell ref="AT185:AT189"/>
    <mergeCell ref="AU185:AU189"/>
    <mergeCell ref="AJ185:AJ189"/>
    <mergeCell ref="AK185:AK189"/>
    <mergeCell ref="AL185:AL189"/>
    <mergeCell ref="AM185:AM189"/>
    <mergeCell ref="AN185:AN189"/>
    <mergeCell ref="AO185:AO189"/>
    <mergeCell ref="AD185:AD189"/>
    <mergeCell ref="AE185:AE189"/>
    <mergeCell ref="AF185:AF189"/>
    <mergeCell ref="AG185:AG189"/>
    <mergeCell ref="AH185:AH189"/>
    <mergeCell ref="AI185:AI189"/>
    <mergeCell ref="R185:R189"/>
    <mergeCell ref="S185:S189"/>
    <mergeCell ref="T185:T189"/>
    <mergeCell ref="U185:U189"/>
    <mergeCell ref="AB185:AB189"/>
    <mergeCell ref="AC185:AC189"/>
    <mergeCell ref="BR178:BR181"/>
    <mergeCell ref="BH179:BH180"/>
    <mergeCell ref="J185:J189"/>
    <mergeCell ref="K185:K189"/>
    <mergeCell ref="L185:L189"/>
    <mergeCell ref="M185:M189"/>
    <mergeCell ref="N185:N189"/>
    <mergeCell ref="O185:O189"/>
    <mergeCell ref="P185:P189"/>
    <mergeCell ref="Q185:Q189"/>
    <mergeCell ref="BL178:BL181"/>
    <mergeCell ref="BM178:BM181"/>
    <mergeCell ref="BN178:BN181"/>
    <mergeCell ref="BO178:BO181"/>
    <mergeCell ref="BP178:BP181"/>
    <mergeCell ref="BQ178:BQ181"/>
    <mergeCell ref="BE178:BE181"/>
    <mergeCell ref="BF178:BF181"/>
    <mergeCell ref="BG178:BG181"/>
    <mergeCell ref="BI178:BI181"/>
    <mergeCell ref="BJ178:BJ181"/>
    <mergeCell ref="BK178:BK181"/>
    <mergeCell ref="AY178:AY181"/>
    <mergeCell ref="AZ178:AZ181"/>
    <mergeCell ref="BA178:BA181"/>
    <mergeCell ref="BB178:BB181"/>
    <mergeCell ref="BC178:BC181"/>
    <mergeCell ref="BD178:BD181"/>
    <mergeCell ref="AS178:AS181"/>
    <mergeCell ref="AT178:AT181"/>
    <mergeCell ref="AU178:AU181"/>
    <mergeCell ref="AV178:AV181"/>
    <mergeCell ref="AW178:AW181"/>
    <mergeCell ref="AX178:AX181"/>
    <mergeCell ref="AM178:AM181"/>
    <mergeCell ref="AN178:AN181"/>
    <mergeCell ref="AO178:AO181"/>
    <mergeCell ref="AP178:AP181"/>
    <mergeCell ref="AQ178:AQ181"/>
    <mergeCell ref="AR178:AR181"/>
    <mergeCell ref="AG178:AG181"/>
    <mergeCell ref="AH178:AH181"/>
    <mergeCell ref="AI178:AI181"/>
    <mergeCell ref="AJ178:AJ181"/>
    <mergeCell ref="AK178:AK181"/>
    <mergeCell ref="AL178:AL181"/>
    <mergeCell ref="U178:U181"/>
    <mergeCell ref="AB178:AB181"/>
    <mergeCell ref="AC178:AC181"/>
    <mergeCell ref="AD178:AD181"/>
    <mergeCell ref="AE178:AE181"/>
    <mergeCell ref="AF178:AF181"/>
    <mergeCell ref="O178:O181"/>
    <mergeCell ref="P178:P181"/>
    <mergeCell ref="Q178:Q181"/>
    <mergeCell ref="R178:R181"/>
    <mergeCell ref="S178:S181"/>
    <mergeCell ref="T178:T181"/>
    <mergeCell ref="R149:R162"/>
    <mergeCell ref="D177:F189"/>
    <mergeCell ref="J178:J181"/>
    <mergeCell ref="K178:K181"/>
    <mergeCell ref="L178:L181"/>
    <mergeCell ref="M178:M181"/>
    <mergeCell ref="N178:N181"/>
    <mergeCell ref="J172:J175"/>
    <mergeCell ref="K172:K175"/>
    <mergeCell ref="L172:L175"/>
    <mergeCell ref="M172:M175"/>
    <mergeCell ref="N172:N175"/>
    <mergeCell ref="BR149:BR175"/>
    <mergeCell ref="V151:V152"/>
    <mergeCell ref="BS151:BS158"/>
    <mergeCell ref="V153:V154"/>
    <mergeCell ref="V155:V156"/>
    <mergeCell ref="V159:V160"/>
    <mergeCell ref="V161:V162"/>
    <mergeCell ref="V169:V170"/>
    <mergeCell ref="BJ149:BJ175"/>
    <mergeCell ref="BK149:BK175"/>
    <mergeCell ref="BN149:BN175"/>
    <mergeCell ref="BO149:BO175"/>
    <mergeCell ref="BP149:BP175"/>
    <mergeCell ref="BQ149:BQ175"/>
    <mergeCell ref="BD149:BD175"/>
    <mergeCell ref="BE149:BE175"/>
    <mergeCell ref="BF149:BF175"/>
    <mergeCell ref="BG149:BG175"/>
    <mergeCell ref="BH149:BH175"/>
    <mergeCell ref="BI149:BI175"/>
    <mergeCell ref="AX149:AX175"/>
    <mergeCell ref="AY149:AY175"/>
    <mergeCell ref="AZ149:AZ175"/>
    <mergeCell ref="BA149:BA175"/>
    <mergeCell ref="BB149:BB175"/>
    <mergeCell ref="BC149:BC175"/>
    <mergeCell ref="AR149:AR175"/>
    <mergeCell ref="AS149:AS175"/>
    <mergeCell ref="AT149:AT175"/>
    <mergeCell ref="AU149:AU175"/>
    <mergeCell ref="AV149:AV175"/>
    <mergeCell ref="AW149:AW175"/>
    <mergeCell ref="AL149:AL175"/>
    <mergeCell ref="AM149:AM175"/>
    <mergeCell ref="AN149:AN175"/>
    <mergeCell ref="AO149:AO175"/>
    <mergeCell ref="AP149:AP175"/>
    <mergeCell ref="AQ149:AQ175"/>
    <mergeCell ref="AF149:AF175"/>
    <mergeCell ref="AG149:AG175"/>
    <mergeCell ref="AH149:AH175"/>
    <mergeCell ref="AI149:AI175"/>
    <mergeCell ref="AJ149:AJ175"/>
    <mergeCell ref="AK149:AK175"/>
    <mergeCell ref="U149:U175"/>
    <mergeCell ref="V149:V150"/>
    <mergeCell ref="AB149:AB175"/>
    <mergeCell ref="AC149:AC175"/>
    <mergeCell ref="AD149:AD175"/>
    <mergeCell ref="AE149:AE175"/>
    <mergeCell ref="S149:S175"/>
    <mergeCell ref="T149:T175"/>
    <mergeCell ref="D148:F175"/>
    <mergeCell ref="J149:J162"/>
    <mergeCell ref="K149:K162"/>
    <mergeCell ref="L149:L162"/>
    <mergeCell ref="M149:M162"/>
    <mergeCell ref="N149:N162"/>
    <mergeCell ref="J163:J167"/>
    <mergeCell ref="K163:K167"/>
    <mergeCell ref="L163:L167"/>
    <mergeCell ref="M163:M167"/>
    <mergeCell ref="R172:R175"/>
    <mergeCell ref="N163:N167"/>
    <mergeCell ref="R163:R167"/>
    <mergeCell ref="J169:J171"/>
    <mergeCell ref="K169:K171"/>
    <mergeCell ref="L169:L171"/>
    <mergeCell ref="M169:M171"/>
    <mergeCell ref="N169:N171"/>
    <mergeCell ref="R169:R171"/>
    <mergeCell ref="O149:O175"/>
    <mergeCell ref="P149:P175"/>
    <mergeCell ref="Q149:Q175"/>
    <mergeCell ref="BR143:BR146"/>
    <mergeCell ref="BS144:BS146"/>
    <mergeCell ref="J145:J146"/>
    <mergeCell ref="K145:K146"/>
    <mergeCell ref="L145:L146"/>
    <mergeCell ref="M145:M146"/>
    <mergeCell ref="N145:N146"/>
    <mergeCell ref="R145:R146"/>
    <mergeCell ref="BL143:BL146"/>
    <mergeCell ref="BM143:BM146"/>
    <mergeCell ref="BN143:BN146"/>
    <mergeCell ref="BO143:BO146"/>
    <mergeCell ref="BP143:BP146"/>
    <mergeCell ref="BQ143:BQ146"/>
    <mergeCell ref="BF143:BF146"/>
    <mergeCell ref="BG143:BG146"/>
    <mergeCell ref="BH143:BH146"/>
    <mergeCell ref="BI143:BI146"/>
    <mergeCell ref="BJ143:BJ146"/>
    <mergeCell ref="BK143:BK146"/>
    <mergeCell ref="AZ143:AZ146"/>
    <mergeCell ref="BA143:BA146"/>
    <mergeCell ref="BB143:BB146"/>
    <mergeCell ref="BC143:BC146"/>
    <mergeCell ref="BD143:BD146"/>
    <mergeCell ref="BE143:BE146"/>
    <mergeCell ref="AT143:AT146"/>
    <mergeCell ref="AU143:AU146"/>
    <mergeCell ref="AV143:AV146"/>
    <mergeCell ref="AW143:AW146"/>
    <mergeCell ref="AX143:AX146"/>
    <mergeCell ref="AY143:AY146"/>
    <mergeCell ref="AN143:AN146"/>
    <mergeCell ref="AO143:AO146"/>
    <mergeCell ref="AP143:AP146"/>
    <mergeCell ref="AQ143:AQ146"/>
    <mergeCell ref="AR143:AR146"/>
    <mergeCell ref="AS143:AS146"/>
    <mergeCell ref="AI143:AI146"/>
    <mergeCell ref="AJ143:AJ146"/>
    <mergeCell ref="AK143:AK146"/>
    <mergeCell ref="AL143:AL146"/>
    <mergeCell ref="AM143:AM146"/>
    <mergeCell ref="AB143:AB146"/>
    <mergeCell ref="AC143:AC146"/>
    <mergeCell ref="AD143:AD146"/>
    <mergeCell ref="AE143:AE146"/>
    <mergeCell ref="AF143:AF146"/>
    <mergeCell ref="AG143:AG146"/>
    <mergeCell ref="T143:T146"/>
    <mergeCell ref="U143:U146"/>
    <mergeCell ref="J143:J144"/>
    <mergeCell ref="K143:K144"/>
    <mergeCell ref="L143:L144"/>
    <mergeCell ref="M143:M144"/>
    <mergeCell ref="N143:N144"/>
    <mergeCell ref="O143:O146"/>
    <mergeCell ref="AH143:AH146"/>
    <mergeCell ref="BS119:BS121"/>
    <mergeCell ref="J121:J127"/>
    <mergeCell ref="K121:K127"/>
    <mergeCell ref="L121:L127"/>
    <mergeCell ref="M121:M127"/>
    <mergeCell ref="N121:N127"/>
    <mergeCell ref="R121:R127"/>
    <mergeCell ref="V121:V122"/>
    <mergeCell ref="V123:V124"/>
    <mergeCell ref="BO117:BO141"/>
    <mergeCell ref="BP117:BP141"/>
    <mergeCell ref="BQ117:BQ141"/>
    <mergeCell ref="BR117:BR141"/>
    <mergeCell ref="J119:J120"/>
    <mergeCell ref="K119:K120"/>
    <mergeCell ref="L119:L120"/>
    <mergeCell ref="M119:M120"/>
    <mergeCell ref="N119:N120"/>
    <mergeCell ref="R119:R120"/>
    <mergeCell ref="BI117:BI141"/>
    <mergeCell ref="BJ117:BJ141"/>
    <mergeCell ref="BK117:BK141"/>
    <mergeCell ref="BL117:BL141"/>
    <mergeCell ref="J131:J141"/>
    <mergeCell ref="BM117:BM141"/>
    <mergeCell ref="BN117:BN141"/>
    <mergeCell ref="BC117:BC141"/>
    <mergeCell ref="BD117:BD141"/>
    <mergeCell ref="BE117:BE141"/>
    <mergeCell ref="BF117:BF141"/>
    <mergeCell ref="BG117:BG141"/>
    <mergeCell ref="BH117:BH141"/>
    <mergeCell ref="AW117:AW141"/>
    <mergeCell ref="AX117:AX141"/>
    <mergeCell ref="AY117:AY141"/>
    <mergeCell ref="AZ117:AZ141"/>
    <mergeCell ref="BA117:BA141"/>
    <mergeCell ref="BB117:BB141"/>
    <mergeCell ref="AQ117:AQ141"/>
    <mergeCell ref="AR117:AR141"/>
    <mergeCell ref="AS117:AS141"/>
    <mergeCell ref="AT117:AT141"/>
    <mergeCell ref="AU117:AU141"/>
    <mergeCell ref="AV117:AV141"/>
    <mergeCell ref="AK117:AK141"/>
    <mergeCell ref="AL117:AL141"/>
    <mergeCell ref="AM117:AM141"/>
    <mergeCell ref="AN117:AN141"/>
    <mergeCell ref="AO117:AO141"/>
    <mergeCell ref="AP117:AP141"/>
    <mergeCell ref="AE117:AE141"/>
    <mergeCell ref="AF117:AF141"/>
    <mergeCell ref="AG117:AG141"/>
    <mergeCell ref="AH117:AH141"/>
    <mergeCell ref="AI117:AI141"/>
    <mergeCell ref="AJ117:AJ141"/>
    <mergeCell ref="T117:T141"/>
    <mergeCell ref="U117:U141"/>
    <mergeCell ref="V117:V118"/>
    <mergeCell ref="AB117:AB141"/>
    <mergeCell ref="AC117:AC141"/>
    <mergeCell ref="AD117:AD141"/>
    <mergeCell ref="V132:V133"/>
    <mergeCell ref="V134:V135"/>
    <mergeCell ref="V137:V138"/>
    <mergeCell ref="V139:V140"/>
    <mergeCell ref="V128:V130"/>
    <mergeCell ref="D116:F146"/>
    <mergeCell ref="J117:J118"/>
    <mergeCell ref="K117:K118"/>
    <mergeCell ref="L117:L118"/>
    <mergeCell ref="M117:M118"/>
    <mergeCell ref="N117:N118"/>
    <mergeCell ref="P117:P141"/>
    <mergeCell ref="Q117:Q141"/>
    <mergeCell ref="S117:S141"/>
    <mergeCell ref="K131:K141"/>
    <mergeCell ref="L131:L141"/>
    <mergeCell ref="M131:M141"/>
    <mergeCell ref="N131:N141"/>
    <mergeCell ref="R131:R141"/>
    <mergeCell ref="J128:J130"/>
    <mergeCell ref="K128:K130"/>
    <mergeCell ref="L128:L130"/>
    <mergeCell ref="M128:M130"/>
    <mergeCell ref="N128:N130"/>
    <mergeCell ref="P143:P146"/>
    <mergeCell ref="Q143:Q146"/>
    <mergeCell ref="R143:R144"/>
    <mergeCell ref="S143:S146"/>
    <mergeCell ref="BO102:BO114"/>
    <mergeCell ref="BP102:BP114"/>
    <mergeCell ref="BQ102:BQ114"/>
    <mergeCell ref="BR102:BR114"/>
    <mergeCell ref="BS103:BS106"/>
    <mergeCell ref="J104:J114"/>
    <mergeCell ref="K104:K114"/>
    <mergeCell ref="L104:L114"/>
    <mergeCell ref="M104:M114"/>
    <mergeCell ref="N104:N114"/>
    <mergeCell ref="BG102:BG114"/>
    <mergeCell ref="BH102:BH114"/>
    <mergeCell ref="BI102:BI114"/>
    <mergeCell ref="BJ102:BJ114"/>
    <mergeCell ref="BK102:BK114"/>
    <mergeCell ref="BN102:BN114"/>
    <mergeCell ref="BA102:BA114"/>
    <mergeCell ref="BB102:BB114"/>
    <mergeCell ref="BC102:BC114"/>
    <mergeCell ref="BD102:BD114"/>
    <mergeCell ref="BE102:BE114"/>
    <mergeCell ref="BF102:BF114"/>
    <mergeCell ref="AU102:AU114"/>
    <mergeCell ref="AV102:AV114"/>
    <mergeCell ref="AW102:AW114"/>
    <mergeCell ref="AX102:AX114"/>
    <mergeCell ref="AY102:AY114"/>
    <mergeCell ref="AZ102:AZ114"/>
    <mergeCell ref="AO102:AO114"/>
    <mergeCell ref="AP102:AP114"/>
    <mergeCell ref="AQ102:AQ114"/>
    <mergeCell ref="AR102:AR114"/>
    <mergeCell ref="AS102:AS114"/>
    <mergeCell ref="AT102:AT114"/>
    <mergeCell ref="AI102:AI114"/>
    <mergeCell ref="AJ102:AJ114"/>
    <mergeCell ref="AK102:AK114"/>
    <mergeCell ref="AL102:AL114"/>
    <mergeCell ref="AM102:AM114"/>
    <mergeCell ref="AN102:AN114"/>
    <mergeCell ref="AC102:AC114"/>
    <mergeCell ref="AD102:AD114"/>
    <mergeCell ref="AE102:AE114"/>
    <mergeCell ref="AF102:AF114"/>
    <mergeCell ref="AG102:AG114"/>
    <mergeCell ref="AH102:AH114"/>
    <mergeCell ref="AB102:AB114"/>
    <mergeCell ref="R104:R114"/>
    <mergeCell ref="V104:V105"/>
    <mergeCell ref="V107:V108"/>
    <mergeCell ref="V111:V112"/>
    <mergeCell ref="J102:J103"/>
    <mergeCell ref="K102:K103"/>
    <mergeCell ref="L102:L103"/>
    <mergeCell ref="M102:M103"/>
    <mergeCell ref="N102:N103"/>
    <mergeCell ref="P102:P114"/>
    <mergeCell ref="V113:V114"/>
    <mergeCell ref="Q102:Q114"/>
    <mergeCell ref="R102:R103"/>
    <mergeCell ref="S102:S114"/>
    <mergeCell ref="T102:T114"/>
    <mergeCell ref="U102:U114"/>
    <mergeCell ref="BS97:BS98"/>
    <mergeCell ref="J99:J100"/>
    <mergeCell ref="K99:K100"/>
    <mergeCell ref="L99:L100"/>
    <mergeCell ref="M99:M100"/>
    <mergeCell ref="N99:N100"/>
    <mergeCell ref="R99:R100"/>
    <mergeCell ref="BR93:BR100"/>
    <mergeCell ref="J95:J98"/>
    <mergeCell ref="K95:K98"/>
    <mergeCell ref="L95:L98"/>
    <mergeCell ref="M95:M98"/>
    <mergeCell ref="N95:N98"/>
    <mergeCell ref="R95:R98"/>
    <mergeCell ref="V95:V96"/>
    <mergeCell ref="BJ93:BJ100"/>
    <mergeCell ref="BK93:BK100"/>
    <mergeCell ref="BN93:BN100"/>
    <mergeCell ref="BO93:BO100"/>
    <mergeCell ref="BP93:BP100"/>
    <mergeCell ref="BQ93:BQ100"/>
    <mergeCell ref="BB93:BB100"/>
    <mergeCell ref="BD93:BD100"/>
    <mergeCell ref="BF93:BF100"/>
    <mergeCell ref="BG93:BG100"/>
    <mergeCell ref="BH93:BH100"/>
    <mergeCell ref="BI93:BI100"/>
    <mergeCell ref="AP93:AP100"/>
    <mergeCell ref="AR93:AR100"/>
    <mergeCell ref="AT93:AT100"/>
    <mergeCell ref="AV93:AV100"/>
    <mergeCell ref="AX93:AX100"/>
    <mergeCell ref="AZ93:AZ100"/>
    <mergeCell ref="AI93:AI100"/>
    <mergeCell ref="AJ93:AJ100"/>
    <mergeCell ref="AK93:AK100"/>
    <mergeCell ref="AL93:AL100"/>
    <mergeCell ref="AM93:AM100"/>
    <mergeCell ref="AN93:AN100"/>
    <mergeCell ref="AC93:AC100"/>
    <mergeCell ref="AD93:AD100"/>
    <mergeCell ref="AE93:AE100"/>
    <mergeCell ref="AF93:AF100"/>
    <mergeCell ref="AG93:AG100"/>
    <mergeCell ref="AH93:AH100"/>
    <mergeCell ref="Q93:Q100"/>
    <mergeCell ref="R93:R94"/>
    <mergeCell ref="S93:S100"/>
    <mergeCell ref="T93:T100"/>
    <mergeCell ref="U93:U100"/>
    <mergeCell ref="AB93:AB100"/>
    <mergeCell ref="J93:J94"/>
    <mergeCell ref="K93:K94"/>
    <mergeCell ref="L93:L94"/>
    <mergeCell ref="M93:M94"/>
    <mergeCell ref="N93:N94"/>
    <mergeCell ref="P93:P100"/>
    <mergeCell ref="J88:J91"/>
    <mergeCell ref="K88:K91"/>
    <mergeCell ref="L88:L91"/>
    <mergeCell ref="M88:M91"/>
    <mergeCell ref="N88:N91"/>
    <mergeCell ref="R88:R91"/>
    <mergeCell ref="J86:J87"/>
    <mergeCell ref="K86:K87"/>
    <mergeCell ref="L86:L87"/>
    <mergeCell ref="M86:M87"/>
    <mergeCell ref="N86:N87"/>
    <mergeCell ref="R86:R87"/>
    <mergeCell ref="BP68:BP91"/>
    <mergeCell ref="AI68:AI91"/>
    <mergeCell ref="AJ68:AJ91"/>
    <mergeCell ref="AK68:AK91"/>
    <mergeCell ref="AL68:AL91"/>
    <mergeCell ref="AM68:AM91"/>
    <mergeCell ref="AB68:AB91"/>
    <mergeCell ref="AC68:AC91"/>
    <mergeCell ref="AD68:AD91"/>
    <mergeCell ref="AE68:AE91"/>
    <mergeCell ref="AF68:AF91"/>
    <mergeCell ref="AG68:AG91"/>
    <mergeCell ref="BQ68:BQ91"/>
    <mergeCell ref="BR68:BR91"/>
    <mergeCell ref="V70:V71"/>
    <mergeCell ref="BS71:BS73"/>
    <mergeCell ref="V75:V76"/>
    <mergeCell ref="BH68:BH91"/>
    <mergeCell ref="BI68:BI91"/>
    <mergeCell ref="BJ68:BJ91"/>
    <mergeCell ref="BK68:BK91"/>
    <mergeCell ref="BN68:BN91"/>
    <mergeCell ref="BO68:BO91"/>
    <mergeCell ref="AZ68:AZ91"/>
    <mergeCell ref="BA68:BA91"/>
    <mergeCell ref="BB68:BB91"/>
    <mergeCell ref="BD68:BD91"/>
    <mergeCell ref="BF68:BF91"/>
    <mergeCell ref="BG68:BG91"/>
    <mergeCell ref="AN68:AN91"/>
    <mergeCell ref="AP68:AP91"/>
    <mergeCell ref="AR68:AR91"/>
    <mergeCell ref="AT68:AT91"/>
    <mergeCell ref="AV68:AV91"/>
    <mergeCell ref="AX68:AX91"/>
    <mergeCell ref="AH68:AH91"/>
    <mergeCell ref="T68:T91"/>
    <mergeCell ref="U68:U91"/>
    <mergeCell ref="D67:F114"/>
    <mergeCell ref="J68:J77"/>
    <mergeCell ref="K68:K77"/>
    <mergeCell ref="L68:L77"/>
    <mergeCell ref="M68:M77"/>
    <mergeCell ref="N68:N77"/>
    <mergeCell ref="J78:J79"/>
    <mergeCell ref="K78:K79"/>
    <mergeCell ref="L78:L79"/>
    <mergeCell ref="M78:M79"/>
    <mergeCell ref="N78:N79"/>
    <mergeCell ref="R78:R79"/>
    <mergeCell ref="J80:J85"/>
    <mergeCell ref="K80:K85"/>
    <mergeCell ref="L80:L85"/>
    <mergeCell ref="M80:M85"/>
    <mergeCell ref="N80:N85"/>
    <mergeCell ref="R80:R85"/>
    <mergeCell ref="P68:P91"/>
    <mergeCell ref="Q68:Q91"/>
    <mergeCell ref="R68:R77"/>
    <mergeCell ref="S68:S91"/>
    <mergeCell ref="BS55:BS58"/>
    <mergeCell ref="J58:J64"/>
    <mergeCell ref="K58:K64"/>
    <mergeCell ref="L58:L64"/>
    <mergeCell ref="M58:M64"/>
    <mergeCell ref="N58:N64"/>
    <mergeCell ref="R58:R64"/>
    <mergeCell ref="V58:V59"/>
    <mergeCell ref="V61:V62"/>
    <mergeCell ref="V63:V64"/>
    <mergeCell ref="BK51:BK65"/>
    <mergeCell ref="BN51:BN65"/>
    <mergeCell ref="BO51:BO65"/>
    <mergeCell ref="BP51:BP65"/>
    <mergeCell ref="BQ51:BQ65"/>
    <mergeCell ref="BR51:BR65"/>
    <mergeCell ref="BE51:BE65"/>
    <mergeCell ref="BF51:BF65"/>
    <mergeCell ref="BG51:BG65"/>
    <mergeCell ref="BH51:BH65"/>
    <mergeCell ref="BI51:BI65"/>
    <mergeCell ref="BJ51:BJ65"/>
    <mergeCell ref="AT51:AT65"/>
    <mergeCell ref="AV51:AV65"/>
    <mergeCell ref="AX51:AX65"/>
    <mergeCell ref="AZ51:AZ65"/>
    <mergeCell ref="BB51:BB65"/>
    <mergeCell ref="BD51:BD65"/>
    <mergeCell ref="AK51:AK65"/>
    <mergeCell ref="AL51:AL65"/>
    <mergeCell ref="AM51:AM65"/>
    <mergeCell ref="AN51:AN65"/>
    <mergeCell ref="AP51:AP65"/>
    <mergeCell ref="AR51:AR65"/>
    <mergeCell ref="AE51:AE65"/>
    <mergeCell ref="AF51:AF65"/>
    <mergeCell ref="AG51:AG65"/>
    <mergeCell ref="AH51:AH65"/>
    <mergeCell ref="AI51:AI65"/>
    <mergeCell ref="AJ51:AJ65"/>
    <mergeCell ref="T51:T65"/>
    <mergeCell ref="U51:U65"/>
    <mergeCell ref="V51:V52"/>
    <mergeCell ref="AB51:AB65"/>
    <mergeCell ref="AC51:AC65"/>
    <mergeCell ref="AD51:AD65"/>
    <mergeCell ref="V53:V54"/>
    <mergeCell ref="V55:V56"/>
    <mergeCell ref="J47:J49"/>
    <mergeCell ref="K47:K49"/>
    <mergeCell ref="L47:L49"/>
    <mergeCell ref="M47:M49"/>
    <mergeCell ref="N47:N49"/>
    <mergeCell ref="R47:R49"/>
    <mergeCell ref="V47:V48"/>
    <mergeCell ref="J51:J57"/>
    <mergeCell ref="K51:K57"/>
    <mergeCell ref="L51:L57"/>
    <mergeCell ref="M51:M57"/>
    <mergeCell ref="N51:N57"/>
    <mergeCell ref="P51:P65"/>
    <mergeCell ref="Q51:Q65"/>
    <mergeCell ref="R51:R57"/>
    <mergeCell ref="S51:S65"/>
    <mergeCell ref="BL27:BL29"/>
    <mergeCell ref="V29:V30"/>
    <mergeCell ref="V31:V32"/>
    <mergeCell ref="V33:V34"/>
    <mergeCell ref="V36:V37"/>
    <mergeCell ref="BR13:BR49"/>
    <mergeCell ref="BS13:BT16"/>
    <mergeCell ref="J16:J19"/>
    <mergeCell ref="K16:K19"/>
    <mergeCell ref="L16:L19"/>
    <mergeCell ref="M16:M19"/>
    <mergeCell ref="N16:N19"/>
    <mergeCell ref="R16:R19"/>
    <mergeCell ref="J20:J46"/>
    <mergeCell ref="K20:K46"/>
    <mergeCell ref="BJ13:BJ49"/>
    <mergeCell ref="BK13:BK49"/>
    <mergeCell ref="BN13:BN49"/>
    <mergeCell ref="BO13:BO49"/>
    <mergeCell ref="BP13:BP49"/>
    <mergeCell ref="BQ13:BQ49"/>
    <mergeCell ref="BC13:BC49"/>
    <mergeCell ref="BD13:BD49"/>
    <mergeCell ref="V39:V40"/>
    <mergeCell ref="BF13:BF49"/>
    <mergeCell ref="BG13:BG49"/>
    <mergeCell ref="BH13:BH49"/>
    <mergeCell ref="BI13:BI49"/>
    <mergeCell ref="AW13:AW49"/>
    <mergeCell ref="AX13:AX49"/>
    <mergeCell ref="AY13:AY49"/>
    <mergeCell ref="AZ13:AZ49"/>
    <mergeCell ref="BA13:BA49"/>
    <mergeCell ref="BB13:BB49"/>
    <mergeCell ref="AO13:AO49"/>
    <mergeCell ref="AP13:AP49"/>
    <mergeCell ref="AR13:AR49"/>
    <mergeCell ref="AT13:AT49"/>
    <mergeCell ref="AU13:AU49"/>
    <mergeCell ref="AV13:AV49"/>
    <mergeCell ref="AI13:AI49"/>
    <mergeCell ref="AJ13:AJ49"/>
    <mergeCell ref="AK13:AK49"/>
    <mergeCell ref="AL13:AL49"/>
    <mergeCell ref="AM13:AM49"/>
    <mergeCell ref="AN13:AN49"/>
    <mergeCell ref="AF13:AF49"/>
    <mergeCell ref="AG13:AG49"/>
    <mergeCell ref="AH13:AH49"/>
    <mergeCell ref="R13:R14"/>
    <mergeCell ref="S13:S49"/>
    <mergeCell ref="T13:T49"/>
    <mergeCell ref="U13:U49"/>
    <mergeCell ref="V13:V14"/>
    <mergeCell ref="AB13:AB49"/>
    <mergeCell ref="R20:R46"/>
    <mergeCell ref="V20:V21"/>
    <mergeCell ref="V22:V23"/>
    <mergeCell ref="V24:V25"/>
    <mergeCell ref="V27:V28"/>
    <mergeCell ref="V41:V42"/>
    <mergeCell ref="V43:V44"/>
    <mergeCell ref="V45:V46"/>
    <mergeCell ref="O13:O19"/>
    <mergeCell ref="P13:P49"/>
    <mergeCell ref="Q13:Q49"/>
    <mergeCell ref="L20:L46"/>
    <mergeCell ref="M20:M46"/>
    <mergeCell ref="N20:N46"/>
    <mergeCell ref="AC13:AC49"/>
    <mergeCell ref="AD13:AD49"/>
    <mergeCell ref="AE13:AE49"/>
    <mergeCell ref="BP8:BQ8"/>
    <mergeCell ref="BR8:BR9"/>
    <mergeCell ref="A11:A189"/>
    <mergeCell ref="B11:C189"/>
    <mergeCell ref="D12:F65"/>
    <mergeCell ref="J13:J14"/>
    <mergeCell ref="K13:K14"/>
    <mergeCell ref="AR8:AS8"/>
    <mergeCell ref="AT8:AU8"/>
    <mergeCell ref="AV8:AW8"/>
    <mergeCell ref="AX8:AY8"/>
    <mergeCell ref="AZ8:BA8"/>
    <mergeCell ref="BB8:BC8"/>
    <mergeCell ref="AF8:AG8"/>
    <mergeCell ref="AH8:AI8"/>
    <mergeCell ref="AJ8:AK8"/>
    <mergeCell ref="AL8:AM8"/>
    <mergeCell ref="AN8:AO8"/>
    <mergeCell ref="AP8:AQ8"/>
    <mergeCell ref="V8:V9"/>
    <mergeCell ref="W8:Y8"/>
    <mergeCell ref="L13:L14"/>
    <mergeCell ref="M13:M14"/>
    <mergeCell ref="N13:N14"/>
    <mergeCell ref="P8:P9"/>
    <mergeCell ref="Q8:Q9"/>
    <mergeCell ref="R8:R9"/>
    <mergeCell ref="S8:S9"/>
    <mergeCell ref="T8:T9"/>
    <mergeCell ref="U8:U9"/>
    <mergeCell ref="BD8:BE8"/>
    <mergeCell ref="BH8:BM8"/>
    <mergeCell ref="BN8:BO8"/>
    <mergeCell ref="AZ7:BE7"/>
    <mergeCell ref="BF7:BG8"/>
    <mergeCell ref="A8:A9"/>
    <mergeCell ref="B8:C9"/>
    <mergeCell ref="D8:D9"/>
    <mergeCell ref="E8:F9"/>
    <mergeCell ref="G8:G9"/>
    <mergeCell ref="A1:BN4"/>
    <mergeCell ref="A5:M6"/>
    <mergeCell ref="O5:BR5"/>
    <mergeCell ref="AB6:BD6"/>
    <mergeCell ref="H8:I9"/>
    <mergeCell ref="J8:J9"/>
    <mergeCell ref="K8:K9"/>
    <mergeCell ref="L8:L9"/>
    <mergeCell ref="M8:N8"/>
    <mergeCell ref="O8:O9"/>
    <mergeCell ref="AB7:AE7"/>
    <mergeCell ref="AF7:AM7"/>
    <mergeCell ref="AN7:AY7"/>
    <mergeCell ref="Z8:Z9"/>
    <mergeCell ref="AA8:AA9"/>
    <mergeCell ref="AB8:AC8"/>
    <mergeCell ref="AD8:AE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CF65"/>
  <sheetViews>
    <sheetView showGridLines="0" topLeftCell="Y1" zoomScale="80" zoomScaleNormal="80" workbookViewId="0">
      <selection activeCell="AC9" sqref="AC9:AC13"/>
    </sheetView>
  </sheetViews>
  <sheetFormatPr baseColWidth="10" defaultColWidth="26" defaultRowHeight="14.25" x14ac:dyDescent="0.2"/>
  <cols>
    <col min="1" max="22" width="26" style="657"/>
    <col min="23" max="23" width="26" style="1685"/>
    <col min="24" max="24" width="26" style="1686"/>
    <col min="25" max="25" width="26" style="657"/>
    <col min="26" max="26" width="26" style="659"/>
    <col min="27" max="27" width="26" style="657"/>
    <col min="28" max="57" width="13.140625" style="657" customWidth="1"/>
    <col min="58" max="59" width="13" style="657" customWidth="1"/>
    <col min="60" max="16384" width="26" style="657"/>
  </cols>
  <sheetData>
    <row r="1" spans="1:70" s="2" customFormat="1" ht="12" customHeight="1" x14ac:dyDescent="0.2">
      <c r="A1" s="3239" t="s">
        <v>2675</v>
      </c>
      <c r="B1" s="3240"/>
      <c r="C1" s="3240"/>
      <c r="D1" s="3240"/>
      <c r="E1" s="3240"/>
      <c r="F1" s="3240"/>
      <c r="G1" s="3240"/>
      <c r="H1" s="3240"/>
      <c r="I1" s="3240"/>
      <c r="J1" s="3240"/>
      <c r="K1" s="3240"/>
      <c r="L1" s="3240"/>
      <c r="M1" s="3240"/>
      <c r="N1" s="3240"/>
      <c r="O1" s="3240"/>
      <c r="P1" s="3240"/>
      <c r="Q1" s="3240"/>
      <c r="R1" s="3240"/>
      <c r="S1" s="3240"/>
      <c r="T1" s="3240"/>
      <c r="U1" s="3240"/>
      <c r="V1" s="3240"/>
      <c r="W1" s="3240"/>
      <c r="X1" s="3240"/>
      <c r="Y1" s="3240"/>
      <c r="Z1" s="3240"/>
      <c r="AA1" s="3240"/>
      <c r="AB1" s="3240"/>
      <c r="AC1" s="3240"/>
      <c r="AD1" s="3240"/>
      <c r="AE1" s="3240"/>
      <c r="AF1" s="3240"/>
      <c r="AG1" s="3240"/>
      <c r="AH1" s="3240"/>
      <c r="AI1" s="3240"/>
      <c r="AJ1" s="3240"/>
      <c r="AK1" s="3240"/>
      <c r="AL1" s="3240"/>
      <c r="AM1" s="3240"/>
      <c r="AN1" s="3240"/>
      <c r="AO1" s="3240"/>
      <c r="AP1" s="3240"/>
      <c r="AQ1" s="3240"/>
      <c r="AR1" s="3240"/>
      <c r="AS1" s="3240"/>
      <c r="AT1" s="3240"/>
      <c r="AU1" s="3240"/>
      <c r="AV1" s="3240"/>
      <c r="AW1" s="3240"/>
      <c r="AX1" s="3240"/>
      <c r="AY1" s="3240"/>
      <c r="AZ1" s="3240"/>
      <c r="BA1" s="3240"/>
      <c r="BB1" s="3240"/>
      <c r="BC1" s="3240"/>
      <c r="BD1" s="3240"/>
      <c r="BE1" s="3240"/>
      <c r="BF1" s="3240"/>
      <c r="BG1" s="3240"/>
      <c r="BH1" s="3240"/>
      <c r="BI1" s="3240"/>
      <c r="BJ1" s="3240"/>
      <c r="BK1" s="3240"/>
      <c r="BL1" s="3240"/>
      <c r="BM1" s="3240"/>
      <c r="BN1" s="3240"/>
      <c r="BO1" s="3240"/>
      <c r="BP1" s="3492"/>
      <c r="BQ1" s="1557" t="s">
        <v>1</v>
      </c>
      <c r="BR1" s="1558" t="s">
        <v>2</v>
      </c>
    </row>
    <row r="2" spans="1:70" s="2" customFormat="1" ht="16.5" customHeight="1" x14ac:dyDescent="0.2">
      <c r="A2" s="3241"/>
      <c r="B2" s="2745"/>
      <c r="C2" s="2745"/>
      <c r="D2" s="2745"/>
      <c r="E2" s="2745"/>
      <c r="F2" s="2745"/>
      <c r="G2" s="2745"/>
      <c r="H2" s="2745"/>
      <c r="I2" s="2745"/>
      <c r="J2" s="2745"/>
      <c r="K2" s="2745"/>
      <c r="L2" s="2745"/>
      <c r="M2" s="2745"/>
      <c r="N2" s="2745"/>
      <c r="O2" s="2745"/>
      <c r="P2" s="2745"/>
      <c r="Q2" s="2745"/>
      <c r="R2" s="2745"/>
      <c r="S2" s="2745"/>
      <c r="T2" s="2745"/>
      <c r="U2" s="2745"/>
      <c r="V2" s="2745"/>
      <c r="W2" s="2745"/>
      <c r="X2" s="2745"/>
      <c r="Y2" s="2745"/>
      <c r="Z2" s="2745"/>
      <c r="AA2" s="2745"/>
      <c r="AB2" s="2745"/>
      <c r="AC2" s="2745"/>
      <c r="AD2" s="2745"/>
      <c r="AE2" s="2745"/>
      <c r="AF2" s="2745"/>
      <c r="AG2" s="2745"/>
      <c r="AH2" s="2745"/>
      <c r="AI2" s="2745"/>
      <c r="AJ2" s="2745"/>
      <c r="AK2" s="2745"/>
      <c r="AL2" s="2745"/>
      <c r="AM2" s="2745"/>
      <c r="AN2" s="2745"/>
      <c r="AO2" s="2745"/>
      <c r="AP2" s="2745"/>
      <c r="AQ2" s="2745"/>
      <c r="AR2" s="2745"/>
      <c r="AS2" s="2745"/>
      <c r="AT2" s="2745"/>
      <c r="AU2" s="2745"/>
      <c r="AV2" s="2745"/>
      <c r="AW2" s="2745"/>
      <c r="AX2" s="2745"/>
      <c r="AY2" s="2745"/>
      <c r="AZ2" s="2745"/>
      <c r="BA2" s="2745"/>
      <c r="BB2" s="2745"/>
      <c r="BC2" s="2745"/>
      <c r="BD2" s="2745"/>
      <c r="BE2" s="2745"/>
      <c r="BF2" s="2745"/>
      <c r="BG2" s="2745"/>
      <c r="BH2" s="2745"/>
      <c r="BI2" s="2745"/>
      <c r="BJ2" s="2745"/>
      <c r="BK2" s="2745"/>
      <c r="BL2" s="2745"/>
      <c r="BM2" s="2745"/>
      <c r="BN2" s="2745"/>
      <c r="BO2" s="2745"/>
      <c r="BP2" s="3493"/>
      <c r="BQ2" s="1559" t="s">
        <v>3</v>
      </c>
      <c r="BR2" s="1560">
        <v>6</v>
      </c>
    </row>
    <row r="3" spans="1:70" s="2" customFormat="1" ht="18" customHeight="1" x14ac:dyDescent="0.2">
      <c r="A3" s="3241"/>
      <c r="B3" s="2745"/>
      <c r="C3" s="2745"/>
      <c r="D3" s="2745"/>
      <c r="E3" s="2745"/>
      <c r="F3" s="2745"/>
      <c r="G3" s="2745"/>
      <c r="H3" s="2745"/>
      <c r="I3" s="2745"/>
      <c r="J3" s="2745"/>
      <c r="K3" s="2745"/>
      <c r="L3" s="2745"/>
      <c r="M3" s="2745"/>
      <c r="N3" s="2745"/>
      <c r="O3" s="2745"/>
      <c r="P3" s="2745"/>
      <c r="Q3" s="2745"/>
      <c r="R3" s="2745"/>
      <c r="S3" s="2745"/>
      <c r="T3" s="2745"/>
      <c r="U3" s="2745"/>
      <c r="V3" s="2745"/>
      <c r="W3" s="2745"/>
      <c r="X3" s="2745"/>
      <c r="Y3" s="2745"/>
      <c r="Z3" s="2745"/>
      <c r="AA3" s="2745"/>
      <c r="AB3" s="2745"/>
      <c r="AC3" s="2745"/>
      <c r="AD3" s="2745"/>
      <c r="AE3" s="2745"/>
      <c r="AF3" s="2745"/>
      <c r="AG3" s="2745"/>
      <c r="AH3" s="2745"/>
      <c r="AI3" s="2745"/>
      <c r="AJ3" s="2745"/>
      <c r="AK3" s="2745"/>
      <c r="AL3" s="2745"/>
      <c r="AM3" s="2745"/>
      <c r="AN3" s="2745"/>
      <c r="AO3" s="2745"/>
      <c r="AP3" s="2745"/>
      <c r="AQ3" s="2745"/>
      <c r="AR3" s="2745"/>
      <c r="AS3" s="2745"/>
      <c r="AT3" s="2745"/>
      <c r="AU3" s="2745"/>
      <c r="AV3" s="2745"/>
      <c r="AW3" s="2745"/>
      <c r="AX3" s="2745"/>
      <c r="AY3" s="2745"/>
      <c r="AZ3" s="2745"/>
      <c r="BA3" s="2745"/>
      <c r="BB3" s="2745"/>
      <c r="BC3" s="2745"/>
      <c r="BD3" s="2745"/>
      <c r="BE3" s="2745"/>
      <c r="BF3" s="2745"/>
      <c r="BG3" s="2745"/>
      <c r="BH3" s="2745"/>
      <c r="BI3" s="2745"/>
      <c r="BJ3" s="2745"/>
      <c r="BK3" s="2745"/>
      <c r="BL3" s="2745"/>
      <c r="BM3" s="2745"/>
      <c r="BN3" s="2745"/>
      <c r="BO3" s="2745"/>
      <c r="BP3" s="3493"/>
      <c r="BQ3" s="1561" t="s">
        <v>4</v>
      </c>
      <c r="BR3" s="1562" t="s">
        <v>5</v>
      </c>
    </row>
    <row r="4" spans="1:70" s="9" customFormat="1" ht="13.5" customHeight="1" x14ac:dyDescent="0.2">
      <c r="A4" s="3242"/>
      <c r="B4" s="2746"/>
      <c r="C4" s="2746"/>
      <c r="D4" s="2746"/>
      <c r="E4" s="2746"/>
      <c r="F4" s="2746"/>
      <c r="G4" s="2746"/>
      <c r="H4" s="2746"/>
      <c r="I4" s="2746"/>
      <c r="J4" s="2746"/>
      <c r="K4" s="2746"/>
      <c r="L4" s="2746"/>
      <c r="M4" s="2746"/>
      <c r="N4" s="2746"/>
      <c r="O4" s="2746"/>
      <c r="P4" s="2746"/>
      <c r="Q4" s="2746"/>
      <c r="R4" s="2746"/>
      <c r="S4" s="2746"/>
      <c r="T4" s="2746"/>
      <c r="U4" s="2746"/>
      <c r="V4" s="2746"/>
      <c r="W4" s="2746"/>
      <c r="X4" s="2746"/>
      <c r="Y4" s="2746"/>
      <c r="Z4" s="2746"/>
      <c r="AA4" s="2746"/>
      <c r="AB4" s="2746"/>
      <c r="AC4" s="2746"/>
      <c r="AD4" s="2746"/>
      <c r="AE4" s="2746"/>
      <c r="AF4" s="2746"/>
      <c r="AG4" s="2746"/>
      <c r="AH4" s="2746"/>
      <c r="AI4" s="2746"/>
      <c r="AJ4" s="2746"/>
      <c r="AK4" s="2746"/>
      <c r="AL4" s="2746"/>
      <c r="AM4" s="2746"/>
      <c r="AN4" s="2746"/>
      <c r="AO4" s="2746"/>
      <c r="AP4" s="2746"/>
      <c r="AQ4" s="2746"/>
      <c r="AR4" s="2746"/>
      <c r="AS4" s="2746"/>
      <c r="AT4" s="2746"/>
      <c r="AU4" s="2746"/>
      <c r="AV4" s="2746"/>
      <c r="AW4" s="2746"/>
      <c r="AX4" s="2746"/>
      <c r="AY4" s="2746"/>
      <c r="AZ4" s="2746"/>
      <c r="BA4" s="2746"/>
      <c r="BB4" s="2746"/>
      <c r="BC4" s="2746"/>
      <c r="BD4" s="2746"/>
      <c r="BE4" s="2746"/>
      <c r="BF4" s="2746"/>
      <c r="BG4" s="2746"/>
      <c r="BH4" s="2746"/>
      <c r="BI4" s="2746"/>
      <c r="BJ4" s="2746"/>
      <c r="BK4" s="2746"/>
      <c r="BL4" s="2746"/>
      <c r="BM4" s="2746"/>
      <c r="BN4" s="2746"/>
      <c r="BO4" s="2746"/>
      <c r="BP4" s="3494"/>
      <c r="BQ4" s="3" t="s">
        <v>6</v>
      </c>
      <c r="BR4" s="1563" t="s">
        <v>7</v>
      </c>
    </row>
    <row r="5" spans="1:70" s="2" customFormat="1" ht="27" customHeight="1" x14ac:dyDescent="0.2">
      <c r="A5" s="3495" t="s">
        <v>8</v>
      </c>
      <c r="B5" s="2644"/>
      <c r="C5" s="2644"/>
      <c r="D5" s="2644"/>
      <c r="E5" s="2644"/>
      <c r="F5" s="2644"/>
      <c r="G5" s="2644"/>
      <c r="H5" s="2644"/>
      <c r="I5" s="2644"/>
      <c r="J5" s="2644"/>
      <c r="K5" s="2644"/>
      <c r="L5" s="2644"/>
      <c r="M5" s="2644"/>
      <c r="N5" s="12"/>
      <c r="O5" s="12"/>
      <c r="P5" s="12"/>
      <c r="Q5" s="2644" t="s">
        <v>9</v>
      </c>
      <c r="R5" s="2644"/>
      <c r="S5" s="2644"/>
      <c r="T5" s="2644"/>
      <c r="U5" s="2644"/>
      <c r="V5" s="2644"/>
      <c r="W5" s="2644"/>
      <c r="X5" s="2644"/>
      <c r="Y5" s="2644"/>
      <c r="Z5" s="2644"/>
      <c r="AA5" s="2644"/>
      <c r="AB5" s="2644"/>
      <c r="AC5" s="2644"/>
      <c r="AD5" s="2644"/>
      <c r="AE5" s="2644"/>
      <c r="AF5" s="2644"/>
      <c r="AG5" s="2644"/>
      <c r="AH5" s="2644"/>
      <c r="AI5" s="2644"/>
      <c r="AJ5" s="2644"/>
      <c r="AK5" s="2644"/>
      <c r="AL5" s="2644"/>
      <c r="AM5" s="2644"/>
      <c r="AN5" s="2644"/>
      <c r="AO5" s="2644"/>
      <c r="AP5" s="2644"/>
      <c r="AQ5" s="2644"/>
      <c r="AR5" s="2644"/>
      <c r="AS5" s="2644"/>
      <c r="AT5" s="2644"/>
      <c r="AU5" s="2644"/>
      <c r="AV5" s="2644"/>
      <c r="AW5" s="2644"/>
      <c r="AX5" s="2644"/>
      <c r="AY5" s="2644"/>
      <c r="AZ5" s="2644"/>
      <c r="BA5" s="2644"/>
      <c r="BB5" s="2644"/>
      <c r="BC5" s="2644"/>
      <c r="BD5" s="2644"/>
      <c r="BE5" s="2644"/>
      <c r="BF5" s="2644"/>
      <c r="BG5" s="2644"/>
      <c r="BH5" s="2644"/>
      <c r="BI5" s="2644"/>
      <c r="BJ5" s="2644"/>
      <c r="BK5" s="2644"/>
      <c r="BL5" s="2644"/>
      <c r="BM5" s="2644"/>
      <c r="BN5" s="2644"/>
      <c r="BO5" s="2644"/>
      <c r="BP5" s="2644"/>
      <c r="BQ5" s="2644"/>
      <c r="BR5" s="3245"/>
    </row>
    <row r="6" spans="1:70" s="2" customFormat="1" ht="18" customHeight="1" thickBot="1" x14ac:dyDescent="0.25">
      <c r="A6" s="3495"/>
      <c r="B6" s="2644"/>
      <c r="C6" s="2644"/>
      <c r="D6" s="2644"/>
      <c r="E6" s="2644"/>
      <c r="F6" s="2644"/>
      <c r="G6" s="2644"/>
      <c r="H6" s="2644"/>
      <c r="I6" s="2644"/>
      <c r="J6" s="2644"/>
      <c r="K6" s="2644"/>
      <c r="L6" s="2644"/>
      <c r="M6" s="2644"/>
      <c r="N6" s="12"/>
      <c r="O6" s="12"/>
      <c r="P6" s="14"/>
      <c r="Q6" s="2994"/>
      <c r="R6" s="3246"/>
      <c r="S6" s="3246"/>
      <c r="T6" s="3246"/>
      <c r="U6" s="3246"/>
      <c r="V6" s="3246"/>
      <c r="W6" s="3246"/>
      <c r="X6" s="3246"/>
      <c r="Y6" s="3246"/>
      <c r="Z6" s="3246"/>
      <c r="AA6" s="3247"/>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64"/>
      <c r="BM6" s="1564"/>
      <c r="BN6" s="2994"/>
      <c r="BO6" s="3246"/>
      <c r="BP6" s="3246"/>
      <c r="BQ6" s="3246"/>
      <c r="BR6" s="3496"/>
    </row>
    <row r="7" spans="1:70" s="1565" customFormat="1" ht="30.75" customHeight="1" x14ac:dyDescent="0.25">
      <c r="A7" s="3497" t="s">
        <v>10</v>
      </c>
      <c r="B7" s="3499" t="s">
        <v>11</v>
      </c>
      <c r="C7" s="3500"/>
      <c r="D7" s="2689" t="s">
        <v>10</v>
      </c>
      <c r="E7" s="2689" t="s">
        <v>12</v>
      </c>
      <c r="F7" s="2689"/>
      <c r="G7" s="2689" t="s">
        <v>10</v>
      </c>
      <c r="H7" s="2689" t="s">
        <v>13</v>
      </c>
      <c r="I7" s="2689"/>
      <c r="J7" s="2689" t="s">
        <v>10</v>
      </c>
      <c r="K7" s="2689" t="s">
        <v>14</v>
      </c>
      <c r="L7" s="2689" t="s">
        <v>15</v>
      </c>
      <c r="M7" s="2689" t="s">
        <v>16</v>
      </c>
      <c r="N7" s="2689"/>
      <c r="O7" s="2689" t="s">
        <v>17</v>
      </c>
      <c r="P7" s="2689" t="s">
        <v>108</v>
      </c>
      <c r="Q7" s="2689" t="s">
        <v>9</v>
      </c>
      <c r="R7" s="3503" t="s">
        <v>19</v>
      </c>
      <c r="S7" s="3504" t="s">
        <v>20</v>
      </c>
      <c r="T7" s="2689" t="s">
        <v>21</v>
      </c>
      <c r="U7" s="2689" t="s">
        <v>22</v>
      </c>
      <c r="V7" s="2689" t="s">
        <v>23</v>
      </c>
      <c r="W7" s="3505" t="s">
        <v>20</v>
      </c>
      <c r="X7" s="3505"/>
      <c r="Y7" s="3506"/>
      <c r="Z7" s="3509" t="s">
        <v>10</v>
      </c>
      <c r="AA7" s="2689" t="s">
        <v>24</v>
      </c>
      <c r="AB7" s="3510" t="s">
        <v>25</v>
      </c>
      <c r="AC7" s="3511"/>
      <c r="AD7" s="3511"/>
      <c r="AE7" s="3512"/>
      <c r="AF7" s="3513" t="s">
        <v>26</v>
      </c>
      <c r="AG7" s="3514"/>
      <c r="AH7" s="3514"/>
      <c r="AI7" s="3514"/>
      <c r="AJ7" s="3514"/>
      <c r="AK7" s="3514"/>
      <c r="AL7" s="3514"/>
      <c r="AM7" s="3515"/>
      <c r="AN7" s="3557" t="s">
        <v>27</v>
      </c>
      <c r="AO7" s="3558"/>
      <c r="AP7" s="3558"/>
      <c r="AQ7" s="3558"/>
      <c r="AR7" s="3558"/>
      <c r="AS7" s="3558"/>
      <c r="AT7" s="3558"/>
      <c r="AU7" s="3558"/>
      <c r="AV7" s="3558"/>
      <c r="AW7" s="3558"/>
      <c r="AX7" s="3558"/>
      <c r="AY7" s="3559"/>
      <c r="AZ7" s="3513" t="s">
        <v>28</v>
      </c>
      <c r="BA7" s="3514"/>
      <c r="BB7" s="3514"/>
      <c r="BC7" s="3514"/>
      <c r="BD7" s="3514"/>
      <c r="BE7" s="3515"/>
      <c r="BF7" s="3519" t="s">
        <v>29</v>
      </c>
      <c r="BG7" s="3520"/>
      <c r="BH7" s="3523" t="s">
        <v>30</v>
      </c>
      <c r="BI7" s="3524"/>
      <c r="BJ7" s="3524"/>
      <c r="BK7" s="3524"/>
      <c r="BL7" s="3524"/>
      <c r="BM7" s="3525"/>
      <c r="BN7" s="3526" t="s">
        <v>31</v>
      </c>
      <c r="BO7" s="3527"/>
      <c r="BP7" s="3526" t="s">
        <v>32</v>
      </c>
      <c r="BQ7" s="3527"/>
      <c r="BR7" s="3556" t="s">
        <v>33</v>
      </c>
    </row>
    <row r="8" spans="1:70" s="1565" customFormat="1" ht="107.25" customHeight="1" x14ac:dyDescent="0.25">
      <c r="A8" s="3498"/>
      <c r="B8" s="3501"/>
      <c r="C8" s="3502"/>
      <c r="D8" s="2689"/>
      <c r="E8" s="2689"/>
      <c r="F8" s="2689"/>
      <c r="G8" s="2689"/>
      <c r="H8" s="2689"/>
      <c r="I8" s="2689"/>
      <c r="J8" s="2689"/>
      <c r="K8" s="2689"/>
      <c r="L8" s="2689"/>
      <c r="M8" s="2689"/>
      <c r="N8" s="2689"/>
      <c r="O8" s="2689"/>
      <c r="P8" s="2689"/>
      <c r="Q8" s="2689"/>
      <c r="R8" s="3503"/>
      <c r="S8" s="3504"/>
      <c r="T8" s="2689"/>
      <c r="U8" s="2689"/>
      <c r="V8" s="2689"/>
      <c r="W8" s="3507"/>
      <c r="X8" s="3507"/>
      <c r="Y8" s="3508"/>
      <c r="Z8" s="3509"/>
      <c r="AA8" s="2689"/>
      <c r="AB8" s="3542" t="s">
        <v>37</v>
      </c>
      <c r="AC8" s="3542"/>
      <c r="AD8" s="3543" t="s">
        <v>1620</v>
      </c>
      <c r="AE8" s="3544"/>
      <c r="AF8" s="3531" t="s">
        <v>39</v>
      </c>
      <c r="AG8" s="3532"/>
      <c r="AH8" s="3531" t="s">
        <v>40</v>
      </c>
      <c r="AI8" s="3532"/>
      <c r="AJ8" s="3531" t="s">
        <v>521</v>
      </c>
      <c r="AK8" s="3532"/>
      <c r="AL8" s="3531" t="s">
        <v>42</v>
      </c>
      <c r="AM8" s="3532"/>
      <c r="AN8" s="3516" t="s">
        <v>43</v>
      </c>
      <c r="AO8" s="3517"/>
      <c r="AP8" s="3518" t="s">
        <v>44</v>
      </c>
      <c r="AQ8" s="3518"/>
      <c r="AR8" s="3516" t="s">
        <v>45</v>
      </c>
      <c r="AS8" s="3517"/>
      <c r="AT8" s="3518" t="s">
        <v>46</v>
      </c>
      <c r="AU8" s="3518"/>
      <c r="AV8" s="3516" t="s">
        <v>1621</v>
      </c>
      <c r="AW8" s="3530"/>
      <c r="AX8" s="3516" t="s">
        <v>48</v>
      </c>
      <c r="AY8" s="3530"/>
      <c r="AZ8" s="3531" t="s">
        <v>49</v>
      </c>
      <c r="BA8" s="3532"/>
      <c r="BB8" s="3531" t="s">
        <v>50</v>
      </c>
      <c r="BC8" s="3532"/>
      <c r="BD8" s="3531" t="s">
        <v>1622</v>
      </c>
      <c r="BE8" s="3532"/>
      <c r="BF8" s="3521"/>
      <c r="BG8" s="3522"/>
      <c r="BH8" s="3548" t="s">
        <v>52</v>
      </c>
      <c r="BI8" s="3550" t="s">
        <v>53</v>
      </c>
      <c r="BJ8" s="3550" t="s">
        <v>54</v>
      </c>
      <c r="BK8" s="3553" t="s">
        <v>55</v>
      </c>
      <c r="BL8" s="2698" t="s">
        <v>56</v>
      </c>
      <c r="BM8" s="2698" t="s">
        <v>57</v>
      </c>
      <c r="BN8" s="3528"/>
      <c r="BO8" s="3529"/>
      <c r="BP8" s="3528"/>
      <c r="BQ8" s="3529"/>
      <c r="BR8" s="3556"/>
    </row>
    <row r="9" spans="1:70" s="1565" customFormat="1" ht="26.25" customHeight="1" x14ac:dyDescent="0.25">
      <c r="A9" s="3498"/>
      <c r="B9" s="3501"/>
      <c r="C9" s="3502"/>
      <c r="D9" s="2689"/>
      <c r="E9" s="2689"/>
      <c r="F9" s="2689"/>
      <c r="G9" s="2689"/>
      <c r="H9" s="2689"/>
      <c r="I9" s="2689"/>
      <c r="J9" s="2689"/>
      <c r="K9" s="2689"/>
      <c r="L9" s="2689"/>
      <c r="M9" s="2689"/>
      <c r="N9" s="2689"/>
      <c r="O9" s="2689"/>
      <c r="P9" s="2689"/>
      <c r="Q9" s="2689"/>
      <c r="R9" s="3503"/>
      <c r="S9" s="3504"/>
      <c r="T9" s="2689"/>
      <c r="U9" s="2689"/>
      <c r="V9" s="2689"/>
      <c r="W9" s="3533" t="s">
        <v>1623</v>
      </c>
      <c r="X9" s="3536" t="s">
        <v>35</v>
      </c>
      <c r="Y9" s="3539" t="s">
        <v>36</v>
      </c>
      <c r="Z9" s="3509"/>
      <c r="AA9" s="2689"/>
      <c r="AB9" s="2701" t="s">
        <v>1624</v>
      </c>
      <c r="AC9" s="2701" t="s">
        <v>59</v>
      </c>
      <c r="AD9" s="2701" t="s">
        <v>1624</v>
      </c>
      <c r="AE9" s="2701" t="s">
        <v>59</v>
      </c>
      <c r="AF9" s="2701" t="s">
        <v>1624</v>
      </c>
      <c r="AG9" s="2701" t="s">
        <v>59</v>
      </c>
      <c r="AH9" s="2701" t="s">
        <v>1624</v>
      </c>
      <c r="AI9" s="2701" t="s">
        <v>59</v>
      </c>
      <c r="AJ9" s="2701" t="s">
        <v>1624</v>
      </c>
      <c r="AK9" s="2701" t="s">
        <v>59</v>
      </c>
      <c r="AL9" s="2701" t="s">
        <v>1624</v>
      </c>
      <c r="AM9" s="2701" t="s">
        <v>59</v>
      </c>
      <c r="AN9" s="2701" t="s">
        <v>1624</v>
      </c>
      <c r="AO9" s="2701" t="s">
        <v>59</v>
      </c>
      <c r="AP9" s="2701" t="s">
        <v>1624</v>
      </c>
      <c r="AQ9" s="2701" t="s">
        <v>59</v>
      </c>
      <c r="AR9" s="2701" t="s">
        <v>1624</v>
      </c>
      <c r="AS9" s="2701" t="s">
        <v>59</v>
      </c>
      <c r="AT9" s="2701" t="s">
        <v>1624</v>
      </c>
      <c r="AU9" s="2701" t="s">
        <v>59</v>
      </c>
      <c r="AV9" s="2701" t="s">
        <v>1624</v>
      </c>
      <c r="AW9" s="2701" t="s">
        <v>59</v>
      </c>
      <c r="AX9" s="2701" t="s">
        <v>1624</v>
      </c>
      <c r="AY9" s="2701" t="s">
        <v>59</v>
      </c>
      <c r="AZ9" s="2701" t="s">
        <v>1624</v>
      </c>
      <c r="BA9" s="2701" t="s">
        <v>59</v>
      </c>
      <c r="BB9" s="2701" t="s">
        <v>1624</v>
      </c>
      <c r="BC9" s="2701" t="s">
        <v>59</v>
      </c>
      <c r="BD9" s="2701" t="s">
        <v>1624</v>
      </c>
      <c r="BE9" s="2701" t="s">
        <v>59</v>
      </c>
      <c r="BF9" s="2701" t="s">
        <v>1624</v>
      </c>
      <c r="BG9" s="2701" t="s">
        <v>59</v>
      </c>
      <c r="BH9" s="3549"/>
      <c r="BI9" s="3551"/>
      <c r="BJ9" s="3551"/>
      <c r="BK9" s="3554"/>
      <c r="BL9" s="3547"/>
      <c r="BM9" s="3547"/>
      <c r="BN9" s="2680" t="s">
        <v>58</v>
      </c>
      <c r="BO9" s="2680" t="s">
        <v>59</v>
      </c>
      <c r="BP9" s="2680" t="s">
        <v>58</v>
      </c>
      <c r="BQ9" s="2680" t="s">
        <v>59</v>
      </c>
      <c r="BR9" s="3556"/>
    </row>
    <row r="10" spans="1:70" s="1565" customFormat="1" ht="16.5" customHeight="1" x14ac:dyDescent="0.25">
      <c r="A10" s="3498"/>
      <c r="B10" s="3501"/>
      <c r="C10" s="3502"/>
      <c r="D10" s="2689"/>
      <c r="E10" s="2689"/>
      <c r="F10" s="2689"/>
      <c r="G10" s="2689"/>
      <c r="H10" s="2689"/>
      <c r="I10" s="2689"/>
      <c r="J10" s="2689"/>
      <c r="K10" s="2689"/>
      <c r="L10" s="2689"/>
      <c r="M10" s="2689"/>
      <c r="N10" s="2689"/>
      <c r="O10" s="2689"/>
      <c r="P10" s="2689"/>
      <c r="Q10" s="2689"/>
      <c r="R10" s="3503"/>
      <c r="S10" s="3504"/>
      <c r="T10" s="2689"/>
      <c r="U10" s="2689"/>
      <c r="V10" s="2689"/>
      <c r="W10" s="3534"/>
      <c r="X10" s="3537"/>
      <c r="Y10" s="3540"/>
      <c r="Z10" s="3509"/>
      <c r="AA10" s="2689"/>
      <c r="AB10" s="2701"/>
      <c r="AC10" s="2701"/>
      <c r="AD10" s="2701"/>
      <c r="AE10" s="2701"/>
      <c r="AF10" s="2701"/>
      <c r="AG10" s="2701"/>
      <c r="AH10" s="2701"/>
      <c r="AI10" s="2701"/>
      <c r="AJ10" s="2701"/>
      <c r="AK10" s="2701"/>
      <c r="AL10" s="2701"/>
      <c r="AM10" s="2701"/>
      <c r="AN10" s="2701"/>
      <c r="AO10" s="2701"/>
      <c r="AP10" s="2701"/>
      <c r="AQ10" s="2701"/>
      <c r="AR10" s="2701"/>
      <c r="AS10" s="2701"/>
      <c r="AT10" s="2701"/>
      <c r="AU10" s="2701"/>
      <c r="AV10" s="2701"/>
      <c r="AW10" s="2701"/>
      <c r="AX10" s="2701"/>
      <c r="AY10" s="2701"/>
      <c r="AZ10" s="2701"/>
      <c r="BA10" s="2701"/>
      <c r="BB10" s="2701"/>
      <c r="BC10" s="2701"/>
      <c r="BD10" s="2701"/>
      <c r="BE10" s="2701"/>
      <c r="BF10" s="2701"/>
      <c r="BG10" s="2701"/>
      <c r="BH10" s="1566"/>
      <c r="BI10" s="3551"/>
      <c r="BJ10" s="3551"/>
      <c r="BK10" s="3554"/>
      <c r="BL10" s="3547"/>
      <c r="BM10" s="3547"/>
      <c r="BN10" s="2681"/>
      <c r="BO10" s="2681"/>
      <c r="BP10" s="2681"/>
      <c r="BQ10" s="2681"/>
      <c r="BR10" s="3556"/>
    </row>
    <row r="11" spans="1:70" s="1565" customFormat="1" ht="13.5" customHeight="1" x14ac:dyDescent="0.25">
      <c r="A11" s="3498"/>
      <c r="B11" s="3501"/>
      <c r="C11" s="3502"/>
      <c r="D11" s="2689"/>
      <c r="E11" s="2689"/>
      <c r="F11" s="2689"/>
      <c r="G11" s="2689"/>
      <c r="H11" s="2689"/>
      <c r="I11" s="2689"/>
      <c r="J11" s="2689"/>
      <c r="K11" s="2689"/>
      <c r="L11" s="2689"/>
      <c r="M11" s="2689"/>
      <c r="N11" s="2689"/>
      <c r="O11" s="2689"/>
      <c r="P11" s="2689"/>
      <c r="Q11" s="2689"/>
      <c r="R11" s="3503"/>
      <c r="S11" s="3504"/>
      <c r="T11" s="2689"/>
      <c r="U11" s="2689"/>
      <c r="V11" s="2689"/>
      <c r="W11" s="3534"/>
      <c r="X11" s="3537"/>
      <c r="Y11" s="3540"/>
      <c r="Z11" s="3509"/>
      <c r="AA11" s="2689"/>
      <c r="AB11" s="2701"/>
      <c r="AC11" s="2701"/>
      <c r="AD11" s="2701"/>
      <c r="AE11" s="2701"/>
      <c r="AF11" s="2701"/>
      <c r="AG11" s="2701"/>
      <c r="AH11" s="2701"/>
      <c r="AI11" s="2701"/>
      <c r="AJ11" s="2701"/>
      <c r="AK11" s="2701"/>
      <c r="AL11" s="2701"/>
      <c r="AM11" s="2701"/>
      <c r="AN11" s="2701"/>
      <c r="AO11" s="2701"/>
      <c r="AP11" s="2701"/>
      <c r="AQ11" s="2701"/>
      <c r="AR11" s="2701"/>
      <c r="AS11" s="2701"/>
      <c r="AT11" s="2701"/>
      <c r="AU11" s="2701"/>
      <c r="AV11" s="2701"/>
      <c r="AW11" s="2701"/>
      <c r="AX11" s="2701"/>
      <c r="AY11" s="2701"/>
      <c r="AZ11" s="2701"/>
      <c r="BA11" s="2701"/>
      <c r="BB11" s="2701"/>
      <c r="BC11" s="2701"/>
      <c r="BD11" s="2701"/>
      <c r="BE11" s="2701"/>
      <c r="BF11" s="2701"/>
      <c r="BG11" s="2701"/>
      <c r="BH11" s="1566"/>
      <c r="BI11" s="3551"/>
      <c r="BJ11" s="3551"/>
      <c r="BK11" s="3554"/>
      <c r="BL11" s="3547"/>
      <c r="BM11" s="3547"/>
      <c r="BN11" s="2681"/>
      <c r="BO11" s="2681"/>
      <c r="BP11" s="2681"/>
      <c r="BQ11" s="2681"/>
      <c r="BR11" s="3556"/>
    </row>
    <row r="12" spans="1:70" s="1565" customFormat="1" ht="18" customHeight="1" x14ac:dyDescent="0.25">
      <c r="A12" s="3498"/>
      <c r="B12" s="3501"/>
      <c r="C12" s="3502"/>
      <c r="D12" s="2689"/>
      <c r="E12" s="2689"/>
      <c r="F12" s="2689"/>
      <c r="G12" s="2689"/>
      <c r="H12" s="2689"/>
      <c r="I12" s="2689"/>
      <c r="J12" s="2689"/>
      <c r="K12" s="2689"/>
      <c r="L12" s="2689"/>
      <c r="M12" s="2689"/>
      <c r="N12" s="2689"/>
      <c r="O12" s="2689"/>
      <c r="P12" s="2689"/>
      <c r="Q12" s="2689"/>
      <c r="R12" s="3503"/>
      <c r="S12" s="3504"/>
      <c r="T12" s="2689"/>
      <c r="U12" s="2689"/>
      <c r="V12" s="2689"/>
      <c r="W12" s="3534"/>
      <c r="X12" s="3537"/>
      <c r="Y12" s="3540"/>
      <c r="Z12" s="3509"/>
      <c r="AA12" s="2689"/>
      <c r="AB12" s="2701"/>
      <c r="AC12" s="2701"/>
      <c r="AD12" s="2701"/>
      <c r="AE12" s="2701"/>
      <c r="AF12" s="2701"/>
      <c r="AG12" s="2701"/>
      <c r="AH12" s="2701"/>
      <c r="AI12" s="2701"/>
      <c r="AJ12" s="2701"/>
      <c r="AK12" s="2701"/>
      <c r="AL12" s="2701"/>
      <c r="AM12" s="2701"/>
      <c r="AN12" s="2701"/>
      <c r="AO12" s="2701"/>
      <c r="AP12" s="2701"/>
      <c r="AQ12" s="2701"/>
      <c r="AR12" s="2701"/>
      <c r="AS12" s="2701"/>
      <c r="AT12" s="2701"/>
      <c r="AU12" s="2701"/>
      <c r="AV12" s="2701"/>
      <c r="AW12" s="2701"/>
      <c r="AX12" s="2701"/>
      <c r="AY12" s="2701"/>
      <c r="AZ12" s="2701"/>
      <c r="BA12" s="2701"/>
      <c r="BB12" s="2701"/>
      <c r="BC12" s="2701"/>
      <c r="BD12" s="2701"/>
      <c r="BE12" s="2701"/>
      <c r="BF12" s="2701"/>
      <c r="BG12" s="2701"/>
      <c r="BH12" s="1566"/>
      <c r="BI12" s="3551"/>
      <c r="BJ12" s="3551"/>
      <c r="BK12" s="3554"/>
      <c r="BL12" s="3547"/>
      <c r="BM12" s="3547"/>
      <c r="BN12" s="2681"/>
      <c r="BO12" s="2681"/>
      <c r="BP12" s="2681"/>
      <c r="BQ12" s="2681"/>
      <c r="BR12" s="3556"/>
    </row>
    <row r="13" spans="1:70" s="1565" customFormat="1" ht="17.25" customHeight="1" x14ac:dyDescent="0.25">
      <c r="A13" s="3498"/>
      <c r="B13" s="3501"/>
      <c r="C13" s="3502"/>
      <c r="D13" s="2689"/>
      <c r="E13" s="2689"/>
      <c r="F13" s="2689"/>
      <c r="G13" s="2689"/>
      <c r="H13" s="2689"/>
      <c r="I13" s="2689"/>
      <c r="J13" s="2689"/>
      <c r="K13" s="2689"/>
      <c r="L13" s="2689"/>
      <c r="M13" s="2689"/>
      <c r="N13" s="2689"/>
      <c r="O13" s="2689"/>
      <c r="P13" s="2689"/>
      <c r="Q13" s="2689"/>
      <c r="R13" s="3503"/>
      <c r="S13" s="3504"/>
      <c r="T13" s="2689"/>
      <c r="U13" s="2689"/>
      <c r="V13" s="2689"/>
      <c r="W13" s="3535"/>
      <c r="X13" s="3538"/>
      <c r="Y13" s="3541"/>
      <c r="Z13" s="3509"/>
      <c r="AA13" s="2689"/>
      <c r="AB13" s="2701"/>
      <c r="AC13" s="2701"/>
      <c r="AD13" s="2701"/>
      <c r="AE13" s="2701"/>
      <c r="AF13" s="2701"/>
      <c r="AG13" s="2701"/>
      <c r="AH13" s="2701"/>
      <c r="AI13" s="2701"/>
      <c r="AJ13" s="2701"/>
      <c r="AK13" s="2701"/>
      <c r="AL13" s="2701"/>
      <c r="AM13" s="2701"/>
      <c r="AN13" s="2701"/>
      <c r="AO13" s="2701"/>
      <c r="AP13" s="2701"/>
      <c r="AQ13" s="2701"/>
      <c r="AR13" s="2701"/>
      <c r="AS13" s="2701"/>
      <c r="AT13" s="2701"/>
      <c r="AU13" s="2701"/>
      <c r="AV13" s="2701"/>
      <c r="AW13" s="2701"/>
      <c r="AX13" s="2701"/>
      <c r="AY13" s="2701"/>
      <c r="AZ13" s="2701"/>
      <c r="BA13" s="2701"/>
      <c r="BB13" s="2701"/>
      <c r="BC13" s="2701"/>
      <c r="BD13" s="2701"/>
      <c r="BE13" s="2701"/>
      <c r="BF13" s="2701"/>
      <c r="BG13" s="2701"/>
      <c r="BH13" s="1567"/>
      <c r="BI13" s="3552"/>
      <c r="BJ13" s="3552"/>
      <c r="BK13" s="3555"/>
      <c r="BL13" s="2699"/>
      <c r="BM13" s="2699"/>
      <c r="BN13" s="2682"/>
      <c r="BO13" s="2682"/>
      <c r="BP13" s="2682"/>
      <c r="BQ13" s="2682"/>
      <c r="BR13" s="3556"/>
    </row>
    <row r="14" spans="1:70" s="924" customFormat="1" ht="18" customHeight="1" x14ac:dyDescent="0.25">
      <c r="A14" s="3498"/>
      <c r="B14" s="3501"/>
      <c r="C14" s="3502"/>
      <c r="D14" s="2689"/>
      <c r="E14" s="2689"/>
      <c r="F14" s="2689"/>
      <c r="G14" s="2689"/>
      <c r="H14" s="2689"/>
      <c r="I14" s="2689"/>
      <c r="J14" s="2689"/>
      <c r="K14" s="2689"/>
      <c r="L14" s="2689"/>
      <c r="M14" s="660" t="s">
        <v>58</v>
      </c>
      <c r="N14" s="660" t="s">
        <v>59</v>
      </c>
      <c r="O14" s="2689"/>
      <c r="P14" s="2689"/>
      <c r="Q14" s="2689"/>
      <c r="R14" s="3503"/>
      <c r="S14" s="3504"/>
      <c r="T14" s="2689"/>
      <c r="U14" s="2689"/>
      <c r="V14" s="2689"/>
      <c r="W14" s="1568"/>
      <c r="X14" s="1569"/>
      <c r="Y14" s="1570"/>
      <c r="Z14" s="3509"/>
      <c r="AA14" s="2689"/>
      <c r="AB14" s="1571"/>
      <c r="AC14" s="1572"/>
      <c r="AD14" s="1573"/>
      <c r="AE14" s="1574"/>
      <c r="AF14" s="1575"/>
      <c r="AG14" s="1575"/>
      <c r="AH14" s="1575"/>
      <c r="AI14" s="1575"/>
      <c r="AJ14" s="1575"/>
      <c r="AK14" s="1575"/>
      <c r="AL14" s="1575"/>
      <c r="AM14" s="1575"/>
      <c r="AN14" s="1575"/>
      <c r="AO14" s="1575"/>
      <c r="AP14" s="1575"/>
      <c r="AQ14" s="1575"/>
      <c r="AR14" s="1575"/>
      <c r="AS14" s="1575"/>
      <c r="AT14" s="1575"/>
      <c r="AU14" s="1575"/>
      <c r="AV14" s="1575"/>
      <c r="AW14" s="1575"/>
      <c r="AX14" s="1575"/>
      <c r="AY14" s="1575"/>
      <c r="AZ14" s="1575"/>
      <c r="BA14" s="1575"/>
      <c r="BB14" s="1575"/>
      <c r="BC14" s="1575"/>
      <c r="BD14" s="1575"/>
      <c r="BE14" s="1575"/>
      <c r="BF14" s="1575"/>
      <c r="BG14" s="1575"/>
      <c r="BH14" s="1576"/>
      <c r="BI14" s="1577"/>
      <c r="BJ14" s="1577"/>
      <c r="BK14" s="1578"/>
      <c r="BL14" s="1579"/>
      <c r="BM14" s="1579"/>
      <c r="BN14" s="1580"/>
      <c r="BO14" s="1581"/>
      <c r="BP14" s="1580"/>
      <c r="BQ14" s="1581"/>
      <c r="BR14" s="3556"/>
    </row>
    <row r="15" spans="1:70" s="134" customFormat="1" ht="15" customHeight="1" x14ac:dyDescent="0.25">
      <c r="A15" s="1582">
        <v>3</v>
      </c>
      <c r="B15" s="1583" t="s">
        <v>1625</v>
      </c>
      <c r="C15" s="1524"/>
      <c r="D15" s="1584"/>
      <c r="E15" s="1524"/>
      <c r="F15" s="1524"/>
      <c r="G15" s="1524"/>
      <c r="H15" s="1524"/>
      <c r="I15" s="1524"/>
      <c r="J15" s="1524"/>
      <c r="K15" s="1585"/>
      <c r="L15" s="1585"/>
      <c r="M15" s="1524"/>
      <c r="N15" s="1524"/>
      <c r="O15" s="1524"/>
      <c r="P15" s="1524"/>
      <c r="Q15" s="1585"/>
      <c r="R15" s="1524"/>
      <c r="S15" s="1586"/>
      <c r="T15" s="1585"/>
      <c r="U15" s="1585"/>
      <c r="V15" s="1585"/>
      <c r="W15" s="1587"/>
      <c r="X15" s="1588"/>
      <c r="Y15" s="1589"/>
      <c r="Z15" s="1590"/>
      <c r="AA15" s="1591"/>
      <c r="AB15" s="1524"/>
      <c r="AC15" s="1524"/>
      <c r="AD15" s="1524"/>
      <c r="AE15" s="1524"/>
      <c r="AF15" s="1524"/>
      <c r="AG15" s="1524"/>
      <c r="AH15" s="1524"/>
      <c r="AI15" s="1524"/>
      <c r="AJ15" s="1524"/>
      <c r="AK15" s="1524"/>
      <c r="AL15" s="1524"/>
      <c r="AM15" s="1524"/>
      <c r="AN15" s="1524"/>
      <c r="AO15" s="1524"/>
      <c r="AP15" s="1524"/>
      <c r="AQ15" s="1524"/>
      <c r="AR15" s="1524"/>
      <c r="AS15" s="1524"/>
      <c r="AT15" s="1524"/>
      <c r="AU15" s="1524"/>
      <c r="AV15" s="1524"/>
      <c r="AW15" s="1524"/>
      <c r="AX15" s="1524"/>
      <c r="AY15" s="1524"/>
      <c r="AZ15" s="1524"/>
      <c r="BA15" s="1524"/>
      <c r="BB15" s="1524"/>
      <c r="BC15" s="1524"/>
      <c r="BD15" s="1524"/>
      <c r="BE15" s="1524"/>
      <c r="BF15" s="1524"/>
      <c r="BG15" s="1524"/>
      <c r="BH15" s="3545"/>
      <c r="BI15" s="3545"/>
      <c r="BJ15" s="3545"/>
      <c r="BK15" s="3545"/>
      <c r="BL15" s="3545"/>
      <c r="BM15" s="3545"/>
      <c r="BN15" s="3545"/>
      <c r="BO15" s="3545"/>
      <c r="BP15" s="3545"/>
      <c r="BQ15" s="3545"/>
      <c r="BR15" s="3546"/>
    </row>
    <row r="16" spans="1:70" s="134" customFormat="1" ht="15" customHeight="1" x14ac:dyDescent="0.25">
      <c r="A16" s="1592"/>
      <c r="B16" s="1593"/>
      <c r="C16" s="1594"/>
      <c r="D16" s="1595">
        <v>9</v>
      </c>
      <c r="E16" s="3560" t="s">
        <v>1626</v>
      </c>
      <c r="F16" s="3561"/>
      <c r="G16" s="3561"/>
      <c r="H16" s="3561"/>
      <c r="I16" s="3561"/>
      <c r="J16" s="3561"/>
      <c r="K16" s="3561"/>
      <c r="L16" s="1596"/>
      <c r="M16" s="1525"/>
      <c r="N16" s="1525"/>
      <c r="O16" s="1525"/>
      <c r="P16" s="1525"/>
      <c r="Q16" s="1596"/>
      <c r="R16" s="1525"/>
      <c r="S16" s="1597"/>
      <c r="T16" s="1596"/>
      <c r="U16" s="1596"/>
      <c r="V16" s="1596"/>
      <c r="W16" s="1598"/>
      <c r="X16" s="1599"/>
      <c r="Y16" s="1600"/>
      <c r="Z16" s="1601"/>
      <c r="AA16" s="1602"/>
      <c r="AB16" s="1525"/>
      <c r="AC16" s="1525"/>
      <c r="AD16" s="1525"/>
      <c r="AE16" s="1525"/>
      <c r="AF16" s="1525"/>
      <c r="AG16" s="1525"/>
      <c r="AH16" s="1525"/>
      <c r="AI16" s="1525"/>
      <c r="AJ16" s="1525"/>
      <c r="AK16" s="1525"/>
      <c r="AL16" s="1525"/>
      <c r="AM16" s="1525"/>
      <c r="AN16" s="1525"/>
      <c r="AO16" s="1525"/>
      <c r="AP16" s="1525"/>
      <c r="AQ16" s="1525"/>
      <c r="AR16" s="1525"/>
      <c r="AS16" s="1525"/>
      <c r="AT16" s="1525"/>
      <c r="AU16" s="1525"/>
      <c r="AV16" s="1525"/>
      <c r="AW16" s="1525"/>
      <c r="AX16" s="1525"/>
      <c r="AY16" s="1525"/>
      <c r="AZ16" s="1525"/>
      <c r="BA16" s="1525"/>
      <c r="BB16" s="1525"/>
      <c r="BC16" s="1525"/>
      <c r="BD16" s="1525"/>
      <c r="BE16" s="1525"/>
      <c r="BF16" s="1525"/>
      <c r="BG16" s="3562"/>
      <c r="BH16" s="3562"/>
      <c r="BI16" s="3562"/>
      <c r="BJ16" s="3562"/>
      <c r="BK16" s="3562"/>
      <c r="BL16" s="3562"/>
      <c r="BM16" s="3562"/>
      <c r="BN16" s="3562"/>
      <c r="BO16" s="3562"/>
      <c r="BP16" s="3562"/>
      <c r="BQ16" s="3562"/>
      <c r="BR16" s="3563"/>
    </row>
    <row r="17" spans="1:70" s="2" customFormat="1" ht="15" customHeight="1" x14ac:dyDescent="0.2">
      <c r="A17" s="1603"/>
      <c r="B17" s="90"/>
      <c r="C17" s="1604"/>
      <c r="D17" s="559"/>
      <c r="E17" s="1605"/>
      <c r="F17" s="1606"/>
      <c r="G17" s="1607">
        <v>29</v>
      </c>
      <c r="H17" s="3564" t="s">
        <v>1627</v>
      </c>
      <c r="I17" s="3565"/>
      <c r="J17" s="3565"/>
      <c r="K17" s="3565"/>
      <c r="L17" s="721"/>
      <c r="M17" s="1526"/>
      <c r="N17" s="1526"/>
      <c r="O17" s="1526"/>
      <c r="P17" s="1526"/>
      <c r="Q17" s="721"/>
      <c r="R17" s="1526"/>
      <c r="S17" s="1608"/>
      <c r="T17" s="721"/>
      <c r="U17" s="721"/>
      <c r="V17" s="721"/>
      <c r="W17" s="1609"/>
      <c r="X17" s="1610"/>
      <c r="Y17" s="1611"/>
      <c r="Z17" s="1612"/>
      <c r="AA17" s="1613"/>
      <c r="AB17" s="1526"/>
      <c r="AC17" s="1526"/>
      <c r="AD17" s="1526"/>
      <c r="AE17" s="1526"/>
      <c r="AF17" s="1526"/>
      <c r="AG17" s="1526"/>
      <c r="AH17" s="1526"/>
      <c r="AI17" s="1526"/>
      <c r="AJ17" s="1526"/>
      <c r="AK17" s="1526"/>
      <c r="AL17" s="1526"/>
      <c r="AM17" s="1526"/>
      <c r="AN17" s="1526"/>
      <c r="AO17" s="1526"/>
      <c r="AP17" s="1526"/>
      <c r="AQ17" s="1526"/>
      <c r="AR17" s="1526"/>
      <c r="AS17" s="1526"/>
      <c r="AT17" s="1526"/>
      <c r="AU17" s="1526"/>
      <c r="AV17" s="1526"/>
      <c r="AW17" s="1526"/>
      <c r="AX17" s="1526"/>
      <c r="AY17" s="1526"/>
      <c r="AZ17" s="1526"/>
      <c r="BA17" s="1526"/>
      <c r="BB17" s="1526"/>
      <c r="BC17" s="1526"/>
      <c r="BD17" s="1526"/>
      <c r="BE17" s="1526"/>
      <c r="BF17" s="1526"/>
      <c r="BG17" s="1526"/>
      <c r="BH17" s="3566"/>
      <c r="BI17" s="3566"/>
      <c r="BJ17" s="3566"/>
      <c r="BK17" s="3566"/>
      <c r="BL17" s="3566"/>
      <c r="BM17" s="3566"/>
      <c r="BN17" s="3566"/>
      <c r="BO17" s="3566"/>
      <c r="BP17" s="3566"/>
      <c r="BQ17" s="3566"/>
      <c r="BR17" s="3567"/>
    </row>
    <row r="18" spans="1:70" s="1619" customFormat="1" ht="80.25" customHeight="1" x14ac:dyDescent="0.2">
      <c r="A18" s="1614"/>
      <c r="B18" s="1615"/>
      <c r="C18" s="1616"/>
      <c r="D18" s="1617"/>
      <c r="E18" s="1615"/>
      <c r="F18" s="1616"/>
      <c r="G18" s="3568"/>
      <c r="H18" s="3571"/>
      <c r="I18" s="3572"/>
      <c r="J18" s="3577">
        <v>114</v>
      </c>
      <c r="K18" s="3580" t="s">
        <v>1628</v>
      </c>
      <c r="L18" s="3580" t="s">
        <v>1629</v>
      </c>
      <c r="M18" s="3577">
        <v>30</v>
      </c>
      <c r="N18" s="3577"/>
      <c r="O18" s="3587" t="s">
        <v>1630</v>
      </c>
      <c r="P18" s="3568" t="s">
        <v>1631</v>
      </c>
      <c r="Q18" s="3580" t="s">
        <v>1632</v>
      </c>
      <c r="R18" s="3590">
        <f>(+W18+W19+W20)/S18</f>
        <v>1</v>
      </c>
      <c r="S18" s="3593">
        <f>W18+W19+W20</f>
        <v>1249277717</v>
      </c>
      <c r="T18" s="3580" t="s">
        <v>1633</v>
      </c>
      <c r="U18" s="3580" t="s">
        <v>1634</v>
      </c>
      <c r="V18" s="3583" t="s">
        <v>1635</v>
      </c>
      <c r="W18" s="1692">
        <v>172896381</v>
      </c>
      <c r="X18" s="1692"/>
      <c r="Y18" s="1692"/>
      <c r="Z18" s="1618">
        <v>33</v>
      </c>
      <c r="AA18" s="1544" t="s">
        <v>1636</v>
      </c>
      <c r="AB18" s="3584">
        <v>26</v>
      </c>
      <c r="AC18" s="3568"/>
      <c r="AD18" s="3584">
        <v>26</v>
      </c>
      <c r="AE18" s="3568"/>
      <c r="AF18" s="3568"/>
      <c r="AG18" s="3568"/>
      <c r="AH18" s="3568"/>
      <c r="AI18" s="3568"/>
      <c r="AJ18" s="3584">
        <v>52</v>
      </c>
      <c r="AK18" s="3584"/>
      <c r="AL18" s="3584"/>
      <c r="AM18" s="1545"/>
      <c r="AN18" s="3584"/>
      <c r="AO18" s="3584"/>
      <c r="AP18" s="3584"/>
      <c r="AQ18" s="3584"/>
      <c r="AR18" s="3584"/>
      <c r="AS18" s="3584"/>
      <c r="AT18" s="3584"/>
      <c r="AU18" s="3584"/>
      <c r="AV18" s="3584"/>
      <c r="AW18" s="3584"/>
      <c r="AX18" s="3584"/>
      <c r="AY18" s="3584"/>
      <c r="AZ18" s="3584"/>
      <c r="BA18" s="3584"/>
      <c r="BB18" s="3584"/>
      <c r="BC18" s="3584"/>
      <c r="BD18" s="3584"/>
      <c r="BE18" s="3584"/>
      <c r="BF18" s="3584">
        <f>+AB18+AD18</f>
        <v>52</v>
      </c>
      <c r="BG18" s="3584"/>
      <c r="BH18" s="3611"/>
      <c r="BI18" s="3605"/>
      <c r="BJ18" s="3605"/>
      <c r="BK18" s="3608"/>
      <c r="BL18" s="3580"/>
      <c r="BM18" s="3580"/>
      <c r="BN18" s="3596">
        <v>43466</v>
      </c>
      <c r="BO18" s="3599"/>
      <c r="BP18" s="3596">
        <v>43830</v>
      </c>
      <c r="BQ18" s="3599"/>
      <c r="BR18" s="3602" t="s">
        <v>1637</v>
      </c>
    </row>
    <row r="19" spans="1:70" s="1619" customFormat="1" ht="80.25" customHeight="1" x14ac:dyDescent="0.2">
      <c r="A19" s="1614"/>
      <c r="B19" s="1615"/>
      <c r="C19" s="1616"/>
      <c r="D19" s="1617"/>
      <c r="E19" s="1615"/>
      <c r="F19" s="1616"/>
      <c r="G19" s="3569"/>
      <c r="H19" s="3573"/>
      <c r="I19" s="3574"/>
      <c r="J19" s="3578"/>
      <c r="K19" s="3581"/>
      <c r="L19" s="3581"/>
      <c r="M19" s="3578"/>
      <c r="N19" s="3578"/>
      <c r="O19" s="3588"/>
      <c r="P19" s="3569"/>
      <c r="Q19" s="3581"/>
      <c r="R19" s="3591"/>
      <c r="S19" s="3594"/>
      <c r="T19" s="3581"/>
      <c r="U19" s="3581"/>
      <c r="V19" s="3583"/>
      <c r="W19" s="1692">
        <v>1075686973</v>
      </c>
      <c r="X19" s="1692"/>
      <c r="Y19" s="1692"/>
      <c r="Z19" s="1618">
        <v>83</v>
      </c>
      <c r="AA19" s="1544" t="s">
        <v>1638</v>
      </c>
      <c r="AB19" s="3585"/>
      <c r="AC19" s="3569"/>
      <c r="AD19" s="3585"/>
      <c r="AE19" s="3569"/>
      <c r="AF19" s="3569"/>
      <c r="AG19" s="3569"/>
      <c r="AH19" s="3569"/>
      <c r="AI19" s="3569"/>
      <c r="AJ19" s="3585"/>
      <c r="AK19" s="3585"/>
      <c r="AL19" s="3585"/>
      <c r="AM19" s="1546"/>
      <c r="AN19" s="3585"/>
      <c r="AO19" s="3585"/>
      <c r="AP19" s="3585"/>
      <c r="AQ19" s="3585"/>
      <c r="AR19" s="3585"/>
      <c r="AS19" s="3585"/>
      <c r="AT19" s="3585"/>
      <c r="AU19" s="3585"/>
      <c r="AV19" s="3585"/>
      <c r="AW19" s="3585"/>
      <c r="AX19" s="3585"/>
      <c r="AY19" s="3585"/>
      <c r="AZ19" s="3585"/>
      <c r="BA19" s="3585"/>
      <c r="BB19" s="3585"/>
      <c r="BC19" s="3585"/>
      <c r="BD19" s="3585"/>
      <c r="BE19" s="3585"/>
      <c r="BF19" s="3585"/>
      <c r="BG19" s="3585"/>
      <c r="BH19" s="3612"/>
      <c r="BI19" s="3606"/>
      <c r="BJ19" s="3606"/>
      <c r="BK19" s="3609"/>
      <c r="BL19" s="3581"/>
      <c r="BM19" s="3581"/>
      <c r="BN19" s="3597"/>
      <c r="BO19" s="3600"/>
      <c r="BP19" s="3597"/>
      <c r="BQ19" s="3600"/>
      <c r="BR19" s="3603"/>
    </row>
    <row r="20" spans="1:70" s="1619" customFormat="1" ht="86.25" customHeight="1" x14ac:dyDescent="0.2">
      <c r="A20" s="1614"/>
      <c r="B20" s="1615"/>
      <c r="C20" s="1616"/>
      <c r="D20" s="1617"/>
      <c r="E20" s="1615"/>
      <c r="F20" s="1616"/>
      <c r="G20" s="3569"/>
      <c r="H20" s="3573"/>
      <c r="I20" s="3574"/>
      <c r="J20" s="3579"/>
      <c r="K20" s="3582"/>
      <c r="L20" s="3582"/>
      <c r="M20" s="3579"/>
      <c r="N20" s="3579"/>
      <c r="O20" s="3589"/>
      <c r="P20" s="3570"/>
      <c r="Q20" s="3582"/>
      <c r="R20" s="3592"/>
      <c r="S20" s="3595"/>
      <c r="T20" s="3582"/>
      <c r="U20" s="3582"/>
      <c r="V20" s="1544" t="s">
        <v>1639</v>
      </c>
      <c r="W20" s="1692">
        <f>694363</f>
        <v>694363</v>
      </c>
      <c r="X20" s="1692"/>
      <c r="Y20" s="1692"/>
      <c r="Z20" s="1618">
        <v>33</v>
      </c>
      <c r="AA20" s="1544" t="s">
        <v>1636</v>
      </c>
      <c r="AB20" s="3586"/>
      <c r="AC20" s="3570"/>
      <c r="AD20" s="3586"/>
      <c r="AE20" s="3570"/>
      <c r="AF20" s="3570"/>
      <c r="AG20" s="3570"/>
      <c r="AH20" s="3570"/>
      <c r="AI20" s="3570"/>
      <c r="AJ20" s="3586"/>
      <c r="AK20" s="3586"/>
      <c r="AL20" s="3586"/>
      <c r="AM20" s="1550"/>
      <c r="AN20" s="3586"/>
      <c r="AO20" s="3586"/>
      <c r="AP20" s="3586"/>
      <c r="AQ20" s="3586"/>
      <c r="AR20" s="3586"/>
      <c r="AS20" s="3586"/>
      <c r="AT20" s="3586"/>
      <c r="AU20" s="3586"/>
      <c r="AV20" s="3586"/>
      <c r="AW20" s="3586"/>
      <c r="AX20" s="3586"/>
      <c r="AY20" s="3586"/>
      <c r="AZ20" s="3586"/>
      <c r="BA20" s="3586"/>
      <c r="BB20" s="3586"/>
      <c r="BC20" s="3586"/>
      <c r="BD20" s="3586"/>
      <c r="BE20" s="3586"/>
      <c r="BF20" s="3586"/>
      <c r="BG20" s="3586"/>
      <c r="BH20" s="3613"/>
      <c r="BI20" s="3607"/>
      <c r="BJ20" s="3607"/>
      <c r="BK20" s="3610"/>
      <c r="BL20" s="3582"/>
      <c r="BM20" s="3582"/>
      <c r="BN20" s="3598"/>
      <c r="BO20" s="3601"/>
      <c r="BP20" s="3598"/>
      <c r="BQ20" s="3601"/>
      <c r="BR20" s="3604"/>
    </row>
    <row r="21" spans="1:70" s="1619" customFormat="1" ht="39" customHeight="1" x14ac:dyDescent="0.2">
      <c r="A21" s="1614"/>
      <c r="B21" s="1615"/>
      <c r="C21" s="1616"/>
      <c r="D21" s="1617"/>
      <c r="E21" s="1615"/>
      <c r="F21" s="1616"/>
      <c r="G21" s="3569"/>
      <c r="H21" s="3573"/>
      <c r="I21" s="3574"/>
      <c r="J21" s="3577">
        <v>114</v>
      </c>
      <c r="K21" s="3580" t="s">
        <v>1640</v>
      </c>
      <c r="L21" s="3580" t="s">
        <v>1641</v>
      </c>
      <c r="M21" s="3577">
        <v>30</v>
      </c>
      <c r="N21" s="3577">
        <v>26</v>
      </c>
      <c r="O21" s="3587" t="s">
        <v>1642</v>
      </c>
      <c r="P21" s="3568" t="s">
        <v>1643</v>
      </c>
      <c r="Q21" s="3580" t="s">
        <v>1644</v>
      </c>
      <c r="R21" s="3614">
        <f>(W21+W22+W24+W23)/S21</f>
        <v>0.46737569540763191</v>
      </c>
      <c r="S21" s="3617">
        <f>W21+W22+W24+W25+W26+W27+W29+W30+W32+W23+W28+W31</f>
        <v>3213783215</v>
      </c>
      <c r="T21" s="3580" t="s">
        <v>1645</v>
      </c>
      <c r="U21" s="3620" t="s">
        <v>1646</v>
      </c>
      <c r="V21" s="1620" t="s">
        <v>1647</v>
      </c>
      <c r="W21" s="1695">
        <f>543106000-185044900</f>
        <v>358061100</v>
      </c>
      <c r="X21" s="1695">
        <v>144569900</v>
      </c>
      <c r="Y21" s="1695">
        <f>39407000-14332000+1791000+2798000+2798000+1791000+1791000+1791000+1791000+1671600+1569000+1791000+1791000+1791000+2798000+2798000+1791000+1791000+1791000+1791000+1791000+36828000+51541500</f>
        <v>151160100</v>
      </c>
      <c r="Z21" s="1527">
        <v>20</v>
      </c>
      <c r="AA21" s="1552" t="s">
        <v>86</v>
      </c>
      <c r="AB21" s="3568">
        <v>85275</v>
      </c>
      <c r="AC21" s="3568">
        <f>1417+610</f>
        <v>2027</v>
      </c>
      <c r="AD21" s="3568">
        <v>85275</v>
      </c>
      <c r="AE21" s="3568">
        <f>1497+479</f>
        <v>1976</v>
      </c>
      <c r="AF21" s="3584">
        <v>25580</v>
      </c>
      <c r="AG21" s="3584">
        <f>755+2512</f>
        <v>3267</v>
      </c>
      <c r="AH21" s="3568">
        <v>42638</v>
      </c>
      <c r="AI21" s="3584">
        <v>688</v>
      </c>
      <c r="AJ21" s="3568">
        <v>68221</v>
      </c>
      <c r="AK21" s="3584">
        <v>39</v>
      </c>
      <c r="AL21" s="3568">
        <v>17055</v>
      </c>
      <c r="AM21" s="3584">
        <v>9</v>
      </c>
      <c r="AN21" s="3568">
        <v>8528</v>
      </c>
      <c r="AO21" s="3584">
        <f>2+21</f>
        <v>23</v>
      </c>
      <c r="AP21" s="3568">
        <v>8527.5</v>
      </c>
      <c r="AQ21" s="3584">
        <v>21</v>
      </c>
      <c r="AR21" s="3584"/>
      <c r="AS21" s="3584"/>
      <c r="AT21" s="3584"/>
      <c r="AU21" s="3584"/>
      <c r="AV21" s="3584"/>
      <c r="AW21" s="3584"/>
      <c r="AX21" s="3584"/>
      <c r="AY21" s="3584"/>
      <c r="AZ21" s="3584"/>
      <c r="BA21" s="3584">
        <f>6+36+5+16+3+4+1+4+2</f>
        <v>77</v>
      </c>
      <c r="BB21" s="3630"/>
      <c r="BC21" s="3584">
        <f>1+16+7+8+19+7+2+2+38+10+10</f>
        <v>120</v>
      </c>
      <c r="BD21" s="3584"/>
      <c r="BE21" s="3584"/>
      <c r="BF21" s="3568">
        <f>AB21+AD21</f>
        <v>170550</v>
      </c>
      <c r="BG21" s="3584">
        <f>AG21+AI21+AK21+AM21</f>
        <v>4003</v>
      </c>
      <c r="BH21" s="3611">
        <f>28+1+3+6+1+5</f>
        <v>44</v>
      </c>
      <c r="BI21" s="3605">
        <f>SUM(X21:X32)</f>
        <v>1776372751.8600001</v>
      </c>
      <c r="BJ21" s="3605">
        <f>Y21+Y22+Y24+Y25+Y26+Y27+Y29+Y30+Y32</f>
        <v>297189433.35000002</v>
      </c>
      <c r="BK21" s="3627">
        <f>+BJ21/BI21</f>
        <v>0.16730127899047068</v>
      </c>
      <c r="BL21" s="1527">
        <v>20</v>
      </c>
      <c r="BM21" s="3580" t="s">
        <v>1648</v>
      </c>
      <c r="BN21" s="3596">
        <v>43466</v>
      </c>
      <c r="BO21" s="3596">
        <v>43482</v>
      </c>
      <c r="BP21" s="3596">
        <v>43830</v>
      </c>
      <c r="BQ21" s="3596">
        <v>43809</v>
      </c>
      <c r="BR21" s="3602" t="s">
        <v>1637</v>
      </c>
    </row>
    <row r="22" spans="1:70" s="1619" customFormat="1" ht="39.75" customHeight="1" x14ac:dyDescent="0.2">
      <c r="A22" s="1614"/>
      <c r="B22" s="1615"/>
      <c r="C22" s="1616"/>
      <c r="D22" s="1617"/>
      <c r="E22" s="1615"/>
      <c r="F22" s="1616"/>
      <c r="G22" s="3569"/>
      <c r="H22" s="3573"/>
      <c r="I22" s="3574"/>
      <c r="J22" s="3578"/>
      <c r="K22" s="3581"/>
      <c r="L22" s="3581"/>
      <c r="M22" s="3578"/>
      <c r="N22" s="3578"/>
      <c r="O22" s="3588"/>
      <c r="P22" s="3569"/>
      <c r="Q22" s="3581"/>
      <c r="R22" s="3615"/>
      <c r="S22" s="3618"/>
      <c r="T22" s="3581"/>
      <c r="U22" s="3621"/>
      <c r="V22" s="3587" t="s">
        <v>1649</v>
      </c>
      <c r="W22" s="1691">
        <f>457100000+195470065</f>
        <v>652570065</v>
      </c>
      <c r="X22" s="1691">
        <f>646605933</f>
        <v>646605933</v>
      </c>
      <c r="Y22" s="1691">
        <f>7166000+3583000+3583000+3583000</f>
        <v>17915000</v>
      </c>
      <c r="Z22" s="1528">
        <v>20</v>
      </c>
      <c r="AA22" s="1553" t="s">
        <v>71</v>
      </c>
      <c r="AB22" s="3569"/>
      <c r="AC22" s="3569"/>
      <c r="AD22" s="3569"/>
      <c r="AE22" s="3569"/>
      <c r="AF22" s="3585"/>
      <c r="AG22" s="3585"/>
      <c r="AH22" s="3569"/>
      <c r="AI22" s="3585"/>
      <c r="AJ22" s="3569"/>
      <c r="AK22" s="3585"/>
      <c r="AL22" s="3569"/>
      <c r="AM22" s="3585"/>
      <c r="AN22" s="3569"/>
      <c r="AO22" s="3585"/>
      <c r="AP22" s="3569"/>
      <c r="AQ22" s="3585"/>
      <c r="AR22" s="3585"/>
      <c r="AS22" s="3585"/>
      <c r="AT22" s="3585"/>
      <c r="AU22" s="3585"/>
      <c r="AV22" s="3585"/>
      <c r="AW22" s="3585"/>
      <c r="AX22" s="3585"/>
      <c r="AY22" s="3585"/>
      <c r="AZ22" s="3585"/>
      <c r="BA22" s="3585"/>
      <c r="BB22" s="3631"/>
      <c r="BC22" s="3585"/>
      <c r="BD22" s="3585"/>
      <c r="BE22" s="3585"/>
      <c r="BF22" s="3569"/>
      <c r="BG22" s="3569"/>
      <c r="BH22" s="3612"/>
      <c r="BI22" s="3606"/>
      <c r="BJ22" s="3606"/>
      <c r="BK22" s="3628"/>
      <c r="BL22" s="1528">
        <v>20</v>
      </c>
      <c r="BM22" s="3581"/>
      <c r="BN22" s="3597"/>
      <c r="BO22" s="3600"/>
      <c r="BP22" s="3597"/>
      <c r="BQ22" s="3597"/>
      <c r="BR22" s="3603"/>
    </row>
    <row r="23" spans="1:70" s="1619" customFormat="1" ht="39.75" customHeight="1" x14ac:dyDescent="0.2">
      <c r="A23" s="1614"/>
      <c r="B23" s="1615"/>
      <c r="C23" s="1616"/>
      <c r="D23" s="1617"/>
      <c r="E23" s="1615"/>
      <c r="F23" s="1616"/>
      <c r="G23" s="3569"/>
      <c r="H23" s="3573"/>
      <c r="I23" s="3574"/>
      <c r="J23" s="3578"/>
      <c r="K23" s="3581"/>
      <c r="L23" s="3581"/>
      <c r="M23" s="3578"/>
      <c r="N23" s="3578"/>
      <c r="O23" s="3588"/>
      <c r="P23" s="3569"/>
      <c r="Q23" s="3581"/>
      <c r="R23" s="3615"/>
      <c r="S23" s="3618"/>
      <c r="T23" s="3581"/>
      <c r="U23" s="3621"/>
      <c r="V23" s="3589"/>
      <c r="W23" s="1691">
        <v>400000000</v>
      </c>
      <c r="X23" s="1691">
        <v>400000000</v>
      </c>
      <c r="Y23" s="1691"/>
      <c r="Z23" s="1528">
        <v>88</v>
      </c>
      <c r="AA23" s="1553" t="s">
        <v>75</v>
      </c>
      <c r="AB23" s="3569"/>
      <c r="AC23" s="3569"/>
      <c r="AD23" s="3569"/>
      <c r="AE23" s="3569"/>
      <c r="AF23" s="3585"/>
      <c r="AG23" s="3585"/>
      <c r="AH23" s="3569"/>
      <c r="AI23" s="3585"/>
      <c r="AJ23" s="3569"/>
      <c r="AK23" s="3585"/>
      <c r="AL23" s="3569"/>
      <c r="AM23" s="3585"/>
      <c r="AN23" s="3569"/>
      <c r="AO23" s="3585"/>
      <c r="AP23" s="3569"/>
      <c r="AQ23" s="3585"/>
      <c r="AR23" s="3585"/>
      <c r="AS23" s="3585"/>
      <c r="AT23" s="3585"/>
      <c r="AU23" s="3585"/>
      <c r="AV23" s="3585"/>
      <c r="AW23" s="3585"/>
      <c r="AX23" s="3585"/>
      <c r="AY23" s="3585"/>
      <c r="AZ23" s="3585"/>
      <c r="BA23" s="3585"/>
      <c r="BB23" s="3631"/>
      <c r="BC23" s="3585"/>
      <c r="BD23" s="3585"/>
      <c r="BE23" s="3585"/>
      <c r="BF23" s="3569"/>
      <c r="BG23" s="3569"/>
      <c r="BH23" s="3612"/>
      <c r="BI23" s="3606"/>
      <c r="BJ23" s="3606"/>
      <c r="BK23" s="3628"/>
      <c r="BL23" s="1528">
        <v>88</v>
      </c>
      <c r="BM23" s="3581"/>
      <c r="BN23" s="3597"/>
      <c r="BO23" s="3600"/>
      <c r="BP23" s="3597"/>
      <c r="BQ23" s="3597"/>
      <c r="BR23" s="3603"/>
    </row>
    <row r="24" spans="1:70" s="1619" customFormat="1" ht="38.25" customHeight="1" x14ac:dyDescent="0.2">
      <c r="A24" s="1614"/>
      <c r="B24" s="1615"/>
      <c r="C24" s="1616"/>
      <c r="D24" s="1617"/>
      <c r="E24" s="1615"/>
      <c r="F24" s="1616"/>
      <c r="G24" s="3569"/>
      <c r="H24" s="3573"/>
      <c r="I24" s="3574"/>
      <c r="J24" s="3579"/>
      <c r="K24" s="3582"/>
      <c r="L24" s="3582"/>
      <c r="M24" s="3579"/>
      <c r="N24" s="3579"/>
      <c r="O24" s="3588"/>
      <c r="P24" s="3569"/>
      <c r="Q24" s="3581"/>
      <c r="R24" s="3616"/>
      <c r="S24" s="3618"/>
      <c r="T24" s="3581"/>
      <c r="U24" s="3622"/>
      <c r="V24" s="1621" t="s">
        <v>1650</v>
      </c>
      <c r="W24" s="1691">
        <f>101838165-10425165</f>
        <v>91413000</v>
      </c>
      <c r="X24" s="1692">
        <v>88087100</v>
      </c>
      <c r="Y24" s="1691">
        <f>7166000+3583000+3583000+3583000+3583000+3583000+3583000</f>
        <v>28664000</v>
      </c>
      <c r="Z24" s="1528">
        <v>20</v>
      </c>
      <c r="AA24" s="1553" t="s">
        <v>697</v>
      </c>
      <c r="AB24" s="3569"/>
      <c r="AC24" s="3569"/>
      <c r="AD24" s="3569"/>
      <c r="AE24" s="3569"/>
      <c r="AF24" s="3585"/>
      <c r="AG24" s="3585"/>
      <c r="AH24" s="3569"/>
      <c r="AI24" s="3585"/>
      <c r="AJ24" s="3569"/>
      <c r="AK24" s="3585"/>
      <c r="AL24" s="3569"/>
      <c r="AM24" s="3585"/>
      <c r="AN24" s="3569"/>
      <c r="AO24" s="3585"/>
      <c r="AP24" s="3569"/>
      <c r="AQ24" s="3585"/>
      <c r="AR24" s="3585"/>
      <c r="AS24" s="3585"/>
      <c r="AT24" s="3585"/>
      <c r="AU24" s="3585"/>
      <c r="AV24" s="3585"/>
      <c r="AW24" s="3585"/>
      <c r="AX24" s="3585"/>
      <c r="AY24" s="3585"/>
      <c r="AZ24" s="3585"/>
      <c r="BA24" s="3585"/>
      <c r="BB24" s="3631"/>
      <c r="BC24" s="3585"/>
      <c r="BD24" s="3585"/>
      <c r="BE24" s="3585"/>
      <c r="BF24" s="3569"/>
      <c r="BG24" s="3569"/>
      <c r="BH24" s="3612"/>
      <c r="BI24" s="3606"/>
      <c r="BJ24" s="3606"/>
      <c r="BK24" s="3628"/>
      <c r="BL24" s="1528">
        <v>20</v>
      </c>
      <c r="BM24" s="3581"/>
      <c r="BN24" s="3597"/>
      <c r="BO24" s="3600"/>
      <c r="BP24" s="3597"/>
      <c r="BQ24" s="3597"/>
      <c r="BR24" s="3603"/>
    </row>
    <row r="25" spans="1:70" s="1619" customFormat="1" ht="49.5" customHeight="1" x14ac:dyDescent="0.2">
      <c r="A25" s="1614"/>
      <c r="B25" s="1615"/>
      <c r="C25" s="1616"/>
      <c r="D25" s="1617"/>
      <c r="E25" s="1615"/>
      <c r="F25" s="1616"/>
      <c r="G25" s="3569"/>
      <c r="H25" s="3573"/>
      <c r="I25" s="3574"/>
      <c r="J25" s="3577">
        <v>115</v>
      </c>
      <c r="K25" s="3623" t="s">
        <v>1651</v>
      </c>
      <c r="L25" s="3580" t="s">
        <v>1641</v>
      </c>
      <c r="M25" s="3577">
        <v>34</v>
      </c>
      <c r="N25" s="3577">
        <v>29</v>
      </c>
      <c r="O25" s="3588"/>
      <c r="P25" s="3569"/>
      <c r="Q25" s="3581"/>
      <c r="R25" s="3590">
        <f>(W25+W26+W27+W28)/S21</f>
        <v>0.45757094508939988</v>
      </c>
      <c r="S25" s="3618"/>
      <c r="T25" s="3581"/>
      <c r="U25" s="3623" t="s">
        <v>1652</v>
      </c>
      <c r="V25" s="1622" t="s">
        <v>1653</v>
      </c>
      <c r="W25" s="1695">
        <f>867953723*11%-33504910</f>
        <v>61969999.530000001</v>
      </c>
      <c r="X25" s="1695">
        <v>13990000</v>
      </c>
      <c r="Y25" s="1695">
        <f>2798000+2798000+2798000+2798000</f>
        <v>11192000</v>
      </c>
      <c r="Z25" s="1528">
        <v>39</v>
      </c>
      <c r="AA25" s="1553" t="s">
        <v>1654</v>
      </c>
      <c r="AB25" s="3569"/>
      <c r="AC25" s="3569"/>
      <c r="AD25" s="3569"/>
      <c r="AE25" s="3569"/>
      <c r="AF25" s="3585"/>
      <c r="AG25" s="3585"/>
      <c r="AH25" s="3569"/>
      <c r="AI25" s="3585"/>
      <c r="AJ25" s="3569"/>
      <c r="AK25" s="3585"/>
      <c r="AL25" s="3569"/>
      <c r="AM25" s="3585"/>
      <c r="AN25" s="3569"/>
      <c r="AO25" s="3585"/>
      <c r="AP25" s="3569"/>
      <c r="AQ25" s="3585"/>
      <c r="AR25" s="3585"/>
      <c r="AS25" s="3585"/>
      <c r="AT25" s="3585"/>
      <c r="AU25" s="3585"/>
      <c r="AV25" s="3585"/>
      <c r="AW25" s="3585"/>
      <c r="AX25" s="3585"/>
      <c r="AY25" s="3585"/>
      <c r="AZ25" s="3585"/>
      <c r="BA25" s="3585"/>
      <c r="BB25" s="3631"/>
      <c r="BC25" s="3585"/>
      <c r="BD25" s="3585"/>
      <c r="BE25" s="3585"/>
      <c r="BF25" s="3569"/>
      <c r="BG25" s="3569"/>
      <c r="BH25" s="3612"/>
      <c r="BI25" s="3606"/>
      <c r="BJ25" s="3606"/>
      <c r="BK25" s="3628"/>
      <c r="BL25" s="1528">
        <v>39</v>
      </c>
      <c r="BM25" s="3581"/>
      <c r="BN25" s="3597"/>
      <c r="BO25" s="3600"/>
      <c r="BP25" s="3597"/>
      <c r="BQ25" s="3597"/>
      <c r="BR25" s="3603"/>
    </row>
    <row r="26" spans="1:70" s="1619" customFormat="1" ht="63" customHeight="1" x14ac:dyDescent="0.2">
      <c r="A26" s="1614"/>
      <c r="B26" s="1615"/>
      <c r="C26" s="1616"/>
      <c r="D26" s="1617"/>
      <c r="E26" s="1615"/>
      <c r="F26" s="1616"/>
      <c r="G26" s="3569"/>
      <c r="H26" s="3573"/>
      <c r="I26" s="3574"/>
      <c r="J26" s="3578"/>
      <c r="K26" s="3624"/>
      <c r="L26" s="3581"/>
      <c r="M26" s="3578"/>
      <c r="N26" s="3578"/>
      <c r="O26" s="3588"/>
      <c r="P26" s="3569"/>
      <c r="Q26" s="3581"/>
      <c r="R26" s="3591"/>
      <c r="S26" s="3618"/>
      <c r="T26" s="3581"/>
      <c r="U26" s="3624"/>
      <c r="V26" s="1623" t="s">
        <v>1655</v>
      </c>
      <c r="W26" s="1691">
        <f>867953723*4%+33504910+56122942</f>
        <v>124346000.92</v>
      </c>
      <c r="X26" s="1692">
        <v>98745566</v>
      </c>
      <c r="Y26" s="1692">
        <f>6381000+3583000+2798000+2798000+3583000+3583000+3583000+1621000</f>
        <v>27930000</v>
      </c>
      <c r="Z26" s="1528">
        <v>39</v>
      </c>
      <c r="AA26" s="1553" t="s">
        <v>1654</v>
      </c>
      <c r="AB26" s="3569"/>
      <c r="AC26" s="3569"/>
      <c r="AD26" s="3569"/>
      <c r="AE26" s="3569"/>
      <c r="AF26" s="3585"/>
      <c r="AG26" s="3585"/>
      <c r="AH26" s="3569"/>
      <c r="AI26" s="3585"/>
      <c r="AJ26" s="3569"/>
      <c r="AK26" s="3585"/>
      <c r="AL26" s="3569"/>
      <c r="AM26" s="3585"/>
      <c r="AN26" s="3569"/>
      <c r="AO26" s="3585"/>
      <c r="AP26" s="3569"/>
      <c r="AQ26" s="3585"/>
      <c r="AR26" s="3585"/>
      <c r="AS26" s="3585"/>
      <c r="AT26" s="3585"/>
      <c r="AU26" s="3585"/>
      <c r="AV26" s="3585"/>
      <c r="AW26" s="3585"/>
      <c r="AX26" s="3585"/>
      <c r="AY26" s="3585"/>
      <c r="AZ26" s="3585"/>
      <c r="BA26" s="3585"/>
      <c r="BB26" s="3631"/>
      <c r="BC26" s="3585"/>
      <c r="BD26" s="3585"/>
      <c r="BE26" s="3585"/>
      <c r="BF26" s="3569"/>
      <c r="BG26" s="3569"/>
      <c r="BH26" s="3612"/>
      <c r="BI26" s="3606"/>
      <c r="BJ26" s="3606"/>
      <c r="BK26" s="3628"/>
      <c r="BL26" s="1528">
        <v>39</v>
      </c>
      <c r="BM26" s="3581"/>
      <c r="BN26" s="3597"/>
      <c r="BO26" s="3600"/>
      <c r="BP26" s="3597"/>
      <c r="BQ26" s="3597"/>
      <c r="BR26" s="3603"/>
    </row>
    <row r="27" spans="1:70" s="1619" customFormat="1" ht="48" customHeight="1" x14ac:dyDescent="0.2">
      <c r="A27" s="1614"/>
      <c r="B27" s="1615"/>
      <c r="C27" s="1616"/>
      <c r="D27" s="1617"/>
      <c r="E27" s="1615"/>
      <c r="F27" s="1616"/>
      <c r="G27" s="3569"/>
      <c r="H27" s="3573"/>
      <c r="I27" s="3574"/>
      <c r="J27" s="3578"/>
      <c r="K27" s="3624"/>
      <c r="L27" s="3581"/>
      <c r="M27" s="3578"/>
      <c r="N27" s="3578"/>
      <c r="O27" s="3588"/>
      <c r="P27" s="3569"/>
      <c r="Q27" s="3581"/>
      <c r="R27" s="3591"/>
      <c r="S27" s="3618"/>
      <c r="T27" s="3581"/>
      <c r="U27" s="3624"/>
      <c r="V27" s="3587" t="s">
        <v>1656</v>
      </c>
      <c r="W27" s="1691">
        <f>867953723*85%-56122942</f>
        <v>681637722.54999995</v>
      </c>
      <c r="X27" s="1696">
        <v>154273877.25</v>
      </c>
      <c r="Y27" s="1696">
        <f>4787037.04+28671296.31</f>
        <v>33458333.349999998</v>
      </c>
      <c r="Z27" s="1528">
        <v>39</v>
      </c>
      <c r="AA27" s="1553" t="s">
        <v>1654</v>
      </c>
      <c r="AB27" s="3569"/>
      <c r="AC27" s="3569"/>
      <c r="AD27" s="3569"/>
      <c r="AE27" s="3569"/>
      <c r="AF27" s="3585"/>
      <c r="AG27" s="3585"/>
      <c r="AH27" s="3569"/>
      <c r="AI27" s="3585"/>
      <c r="AJ27" s="3569"/>
      <c r="AK27" s="3585"/>
      <c r="AL27" s="3569"/>
      <c r="AM27" s="3585"/>
      <c r="AN27" s="3569"/>
      <c r="AO27" s="3585"/>
      <c r="AP27" s="3569"/>
      <c r="AQ27" s="3585"/>
      <c r="AR27" s="3585"/>
      <c r="AS27" s="3585"/>
      <c r="AT27" s="3585"/>
      <c r="AU27" s="3585"/>
      <c r="AV27" s="3585"/>
      <c r="AW27" s="3585"/>
      <c r="AX27" s="3585"/>
      <c r="AY27" s="3585"/>
      <c r="AZ27" s="3585"/>
      <c r="BA27" s="3585"/>
      <c r="BB27" s="3631"/>
      <c r="BC27" s="3585"/>
      <c r="BD27" s="3585"/>
      <c r="BE27" s="3585"/>
      <c r="BF27" s="3569"/>
      <c r="BG27" s="3569"/>
      <c r="BH27" s="3612"/>
      <c r="BI27" s="3606"/>
      <c r="BJ27" s="3606"/>
      <c r="BK27" s="3628"/>
      <c r="BL27" s="1528">
        <v>39</v>
      </c>
      <c r="BM27" s="3581"/>
      <c r="BN27" s="3597"/>
      <c r="BO27" s="3600"/>
      <c r="BP27" s="3597"/>
      <c r="BQ27" s="3597"/>
      <c r="BR27" s="3603"/>
    </row>
    <row r="28" spans="1:70" s="1619" customFormat="1" ht="48" customHeight="1" x14ac:dyDescent="0.2">
      <c r="A28" s="1614"/>
      <c r="B28" s="1615"/>
      <c r="C28" s="1616"/>
      <c r="D28" s="1617"/>
      <c r="E28" s="1615"/>
      <c r="F28" s="1616"/>
      <c r="G28" s="3569"/>
      <c r="H28" s="3573"/>
      <c r="I28" s="3574"/>
      <c r="J28" s="3579"/>
      <c r="K28" s="3625"/>
      <c r="L28" s="1624"/>
      <c r="M28" s="3579"/>
      <c r="N28" s="3579"/>
      <c r="O28" s="3588"/>
      <c r="P28" s="3569"/>
      <c r="Q28" s="3581"/>
      <c r="R28" s="3592"/>
      <c r="S28" s="3618"/>
      <c r="T28" s="3581"/>
      <c r="U28" s="3625"/>
      <c r="V28" s="3589"/>
      <c r="W28" s="1691">
        <f>0+602580100</f>
        <v>602580100</v>
      </c>
      <c r="X28" s="1693">
        <v>181703703.61000001</v>
      </c>
      <c r="Y28" s="1693"/>
      <c r="Z28" s="1528">
        <v>83</v>
      </c>
      <c r="AA28" s="1553" t="s">
        <v>1657</v>
      </c>
      <c r="AB28" s="3569"/>
      <c r="AC28" s="3569"/>
      <c r="AD28" s="3569"/>
      <c r="AE28" s="3569"/>
      <c r="AF28" s="3585"/>
      <c r="AG28" s="3585"/>
      <c r="AH28" s="3569"/>
      <c r="AI28" s="3585"/>
      <c r="AJ28" s="3569"/>
      <c r="AK28" s="3585"/>
      <c r="AL28" s="3569"/>
      <c r="AM28" s="3585"/>
      <c r="AN28" s="3569"/>
      <c r="AO28" s="3585"/>
      <c r="AP28" s="3569"/>
      <c r="AQ28" s="3585"/>
      <c r="AR28" s="3585"/>
      <c r="AS28" s="3585"/>
      <c r="AT28" s="3585"/>
      <c r="AU28" s="3585"/>
      <c r="AV28" s="3585"/>
      <c r="AW28" s="3585"/>
      <c r="AX28" s="3585"/>
      <c r="AY28" s="3585"/>
      <c r="AZ28" s="3585"/>
      <c r="BA28" s="3585"/>
      <c r="BB28" s="3631"/>
      <c r="BC28" s="3585"/>
      <c r="BD28" s="3585"/>
      <c r="BE28" s="3585"/>
      <c r="BF28" s="3569"/>
      <c r="BG28" s="3569"/>
      <c r="BH28" s="3612"/>
      <c r="BI28" s="3606"/>
      <c r="BJ28" s="3606"/>
      <c r="BK28" s="3628"/>
      <c r="BL28" s="1528">
        <v>83</v>
      </c>
      <c r="BM28" s="3581"/>
      <c r="BN28" s="3597"/>
      <c r="BO28" s="3600"/>
      <c r="BP28" s="3597"/>
      <c r="BQ28" s="3597"/>
      <c r="BR28" s="3603"/>
    </row>
    <row r="29" spans="1:70" s="1619" customFormat="1" ht="30.75" customHeight="1" x14ac:dyDescent="0.2">
      <c r="A29" s="1614"/>
      <c r="B29" s="1615"/>
      <c r="C29" s="1616"/>
      <c r="D29" s="1617"/>
      <c r="E29" s="1615"/>
      <c r="F29" s="1616"/>
      <c r="G29" s="3569"/>
      <c r="H29" s="3573"/>
      <c r="I29" s="3574"/>
      <c r="J29" s="3577">
        <v>116</v>
      </c>
      <c r="K29" s="3620" t="s">
        <v>1658</v>
      </c>
      <c r="L29" s="3633" t="s">
        <v>1641</v>
      </c>
      <c r="M29" s="3577">
        <v>10</v>
      </c>
      <c r="N29" s="3577">
        <v>0</v>
      </c>
      <c r="O29" s="3588"/>
      <c r="P29" s="3569"/>
      <c r="Q29" s="3581"/>
      <c r="R29" s="3590">
        <f>(W29+W30+W32+W31)/S21</f>
        <v>7.5053359502968223E-2</v>
      </c>
      <c r="S29" s="3618"/>
      <c r="T29" s="3581"/>
      <c r="U29" s="3620" t="s">
        <v>1659</v>
      </c>
      <c r="V29" s="1625" t="s">
        <v>1653</v>
      </c>
      <c r="W29" s="1695">
        <f>13887260+34480740</f>
        <v>48368000</v>
      </c>
      <c r="X29" s="1695">
        <v>47293100</v>
      </c>
      <c r="Y29" s="1695">
        <f>10748000+5374000+5374000+5374000</f>
        <v>26870000</v>
      </c>
      <c r="Z29" s="1528">
        <v>41</v>
      </c>
      <c r="AA29" s="1553" t="s">
        <v>1660</v>
      </c>
      <c r="AB29" s="3569"/>
      <c r="AC29" s="3569"/>
      <c r="AD29" s="3569"/>
      <c r="AE29" s="3569"/>
      <c r="AF29" s="3585"/>
      <c r="AG29" s="3585"/>
      <c r="AH29" s="3569"/>
      <c r="AI29" s="3585"/>
      <c r="AJ29" s="3569"/>
      <c r="AK29" s="3585"/>
      <c r="AL29" s="3569"/>
      <c r="AM29" s="3585"/>
      <c r="AN29" s="3569"/>
      <c r="AO29" s="3585"/>
      <c r="AP29" s="3569"/>
      <c r="AQ29" s="3585"/>
      <c r="AR29" s="3585"/>
      <c r="AS29" s="3585"/>
      <c r="AT29" s="3585"/>
      <c r="AU29" s="3585"/>
      <c r="AV29" s="3585"/>
      <c r="AW29" s="3585"/>
      <c r="AX29" s="3585"/>
      <c r="AY29" s="3585"/>
      <c r="AZ29" s="3585"/>
      <c r="BA29" s="3585"/>
      <c r="BB29" s="3631"/>
      <c r="BC29" s="3585"/>
      <c r="BD29" s="3585"/>
      <c r="BE29" s="3585"/>
      <c r="BF29" s="3569"/>
      <c r="BG29" s="3569"/>
      <c r="BH29" s="3612"/>
      <c r="BI29" s="3606"/>
      <c r="BJ29" s="3606"/>
      <c r="BK29" s="3628"/>
      <c r="BL29" s="1528">
        <v>41</v>
      </c>
      <c r="BM29" s="3581"/>
      <c r="BN29" s="3597"/>
      <c r="BO29" s="3600"/>
      <c r="BP29" s="3597"/>
      <c r="BQ29" s="3597"/>
      <c r="BR29" s="3603"/>
    </row>
    <row r="30" spans="1:70" s="1619" customFormat="1" ht="32.25" customHeight="1" x14ac:dyDescent="0.2">
      <c r="A30" s="1614"/>
      <c r="B30" s="1615"/>
      <c r="C30" s="1616"/>
      <c r="D30" s="1617"/>
      <c r="E30" s="1615"/>
      <c r="F30" s="1616"/>
      <c r="G30" s="3569"/>
      <c r="H30" s="3573"/>
      <c r="I30" s="3574"/>
      <c r="J30" s="3578"/>
      <c r="K30" s="3621"/>
      <c r="L30" s="3633"/>
      <c r="M30" s="3578"/>
      <c r="N30" s="3578"/>
      <c r="O30" s="3588"/>
      <c r="P30" s="3569"/>
      <c r="Q30" s="3581"/>
      <c r="R30" s="3591"/>
      <c r="S30" s="3618"/>
      <c r="T30" s="3581"/>
      <c r="U30" s="3621"/>
      <c r="V30" s="1626" t="s">
        <v>1661</v>
      </c>
      <c r="W30" s="1691">
        <f>36454056-19454056</f>
        <v>17000000</v>
      </c>
      <c r="X30" s="1692">
        <v>1103572</v>
      </c>
      <c r="Y30" s="1692"/>
      <c r="Z30" s="1528">
        <v>41</v>
      </c>
      <c r="AA30" s="1553" t="s">
        <v>1660</v>
      </c>
      <c r="AB30" s="3569"/>
      <c r="AC30" s="3569"/>
      <c r="AD30" s="3569"/>
      <c r="AE30" s="3569"/>
      <c r="AF30" s="3585"/>
      <c r="AG30" s="3585"/>
      <c r="AH30" s="3569"/>
      <c r="AI30" s="3585"/>
      <c r="AJ30" s="3569"/>
      <c r="AK30" s="3585"/>
      <c r="AL30" s="3569"/>
      <c r="AM30" s="3585"/>
      <c r="AN30" s="3569"/>
      <c r="AO30" s="3585"/>
      <c r="AP30" s="3569"/>
      <c r="AQ30" s="3585"/>
      <c r="AR30" s="3585"/>
      <c r="AS30" s="3585"/>
      <c r="AT30" s="3585"/>
      <c r="AU30" s="3585"/>
      <c r="AV30" s="3585"/>
      <c r="AW30" s="3585"/>
      <c r="AX30" s="3585"/>
      <c r="AY30" s="3585"/>
      <c r="AZ30" s="3585"/>
      <c r="BA30" s="3585"/>
      <c r="BB30" s="3631"/>
      <c r="BC30" s="3585"/>
      <c r="BD30" s="3585"/>
      <c r="BE30" s="3585"/>
      <c r="BF30" s="3569"/>
      <c r="BG30" s="3569"/>
      <c r="BH30" s="3612"/>
      <c r="BI30" s="3606"/>
      <c r="BJ30" s="3606"/>
      <c r="BK30" s="3628"/>
      <c r="BL30" s="1528">
        <v>41</v>
      </c>
      <c r="BM30" s="3581"/>
      <c r="BN30" s="3597"/>
      <c r="BO30" s="3600"/>
      <c r="BP30" s="3597"/>
      <c r="BQ30" s="3597"/>
      <c r="BR30" s="3603"/>
    </row>
    <row r="31" spans="1:70" s="1619" customFormat="1" ht="32.25" customHeight="1" x14ac:dyDescent="0.2">
      <c r="A31" s="1614"/>
      <c r="B31" s="1615"/>
      <c r="C31" s="1616"/>
      <c r="D31" s="1617"/>
      <c r="E31" s="1615"/>
      <c r="F31" s="1616"/>
      <c r="G31" s="3569"/>
      <c r="H31" s="3573"/>
      <c r="I31" s="3574"/>
      <c r="J31" s="3578"/>
      <c r="K31" s="3621"/>
      <c r="L31" s="3633"/>
      <c r="M31" s="3578"/>
      <c r="N31" s="3578"/>
      <c r="O31" s="3588"/>
      <c r="P31" s="3569"/>
      <c r="Q31" s="3581"/>
      <c r="R31" s="3591"/>
      <c r="S31" s="3618"/>
      <c r="T31" s="3581"/>
      <c r="U31" s="3621"/>
      <c r="V31" s="3587" t="s">
        <v>1656</v>
      </c>
      <c r="W31" s="1691">
        <f>123249428-15026684</f>
        <v>108222744</v>
      </c>
      <c r="X31" s="1696"/>
      <c r="Y31" s="1696"/>
      <c r="Z31" s="1528">
        <v>41</v>
      </c>
      <c r="AA31" s="1553" t="s">
        <v>1662</v>
      </c>
      <c r="AB31" s="3569"/>
      <c r="AC31" s="3569"/>
      <c r="AD31" s="3569"/>
      <c r="AE31" s="3569"/>
      <c r="AF31" s="3585"/>
      <c r="AG31" s="3585"/>
      <c r="AH31" s="3569"/>
      <c r="AI31" s="3585"/>
      <c r="AJ31" s="3569"/>
      <c r="AK31" s="3585"/>
      <c r="AL31" s="3569"/>
      <c r="AM31" s="3585"/>
      <c r="AN31" s="3569"/>
      <c r="AO31" s="3585"/>
      <c r="AP31" s="3569"/>
      <c r="AQ31" s="3585"/>
      <c r="AR31" s="3585"/>
      <c r="AS31" s="3585"/>
      <c r="AT31" s="3585"/>
      <c r="AU31" s="3585"/>
      <c r="AV31" s="3585"/>
      <c r="AW31" s="3585"/>
      <c r="AX31" s="3585"/>
      <c r="AY31" s="3585"/>
      <c r="AZ31" s="3585"/>
      <c r="BA31" s="3585"/>
      <c r="BB31" s="3631"/>
      <c r="BC31" s="3585"/>
      <c r="BD31" s="3585"/>
      <c r="BE31" s="3585"/>
      <c r="BF31" s="3569"/>
      <c r="BG31" s="3569"/>
      <c r="BH31" s="3612"/>
      <c r="BI31" s="3606"/>
      <c r="BJ31" s="3606"/>
      <c r="BK31" s="3628"/>
      <c r="BL31" s="1528">
        <v>41</v>
      </c>
      <c r="BM31" s="3581"/>
      <c r="BN31" s="3597"/>
      <c r="BO31" s="3600"/>
      <c r="BP31" s="3597"/>
      <c r="BQ31" s="3597"/>
      <c r="BR31" s="3603"/>
    </row>
    <row r="32" spans="1:70" s="1619" customFormat="1" ht="40.5" customHeight="1" x14ac:dyDescent="0.2">
      <c r="A32" s="1614"/>
      <c r="B32" s="1615"/>
      <c r="C32" s="1616"/>
      <c r="D32" s="1617"/>
      <c r="E32" s="1615"/>
      <c r="F32" s="1616"/>
      <c r="G32" s="3570"/>
      <c r="H32" s="3575"/>
      <c r="I32" s="3576"/>
      <c r="J32" s="3579"/>
      <c r="K32" s="3622"/>
      <c r="L32" s="3633"/>
      <c r="M32" s="3579"/>
      <c r="N32" s="3579"/>
      <c r="O32" s="3589"/>
      <c r="P32" s="3570"/>
      <c r="Q32" s="3582"/>
      <c r="R32" s="3592"/>
      <c r="S32" s="3619"/>
      <c r="T32" s="3582"/>
      <c r="U32" s="3622"/>
      <c r="V32" s="3589"/>
      <c r="W32" s="1691">
        <f>0+67614483</f>
        <v>67614483</v>
      </c>
      <c r="X32" s="1696"/>
      <c r="Y32" s="1696"/>
      <c r="Z32" s="1529">
        <v>83</v>
      </c>
      <c r="AA32" s="1627" t="s">
        <v>1657</v>
      </c>
      <c r="AB32" s="3570"/>
      <c r="AC32" s="3570"/>
      <c r="AD32" s="3570"/>
      <c r="AE32" s="3570"/>
      <c r="AF32" s="3586"/>
      <c r="AG32" s="3586"/>
      <c r="AH32" s="3570"/>
      <c r="AI32" s="3586"/>
      <c r="AJ32" s="3570"/>
      <c r="AK32" s="3586"/>
      <c r="AL32" s="3570"/>
      <c r="AM32" s="3586"/>
      <c r="AN32" s="3570"/>
      <c r="AO32" s="3586"/>
      <c r="AP32" s="3570"/>
      <c r="AQ32" s="3586"/>
      <c r="AR32" s="3586"/>
      <c r="AS32" s="3586"/>
      <c r="AT32" s="3586"/>
      <c r="AU32" s="3586"/>
      <c r="AV32" s="3586"/>
      <c r="AW32" s="3586"/>
      <c r="AX32" s="3586"/>
      <c r="AY32" s="3586"/>
      <c r="AZ32" s="3586"/>
      <c r="BA32" s="3586"/>
      <c r="BB32" s="3632"/>
      <c r="BC32" s="3586"/>
      <c r="BD32" s="3586"/>
      <c r="BE32" s="3586"/>
      <c r="BF32" s="3570"/>
      <c r="BG32" s="3570"/>
      <c r="BH32" s="3613"/>
      <c r="BI32" s="3607"/>
      <c r="BJ32" s="3607"/>
      <c r="BK32" s="3629"/>
      <c r="BL32" s="1529">
        <v>83</v>
      </c>
      <c r="BM32" s="3582"/>
      <c r="BN32" s="3598"/>
      <c r="BO32" s="3601"/>
      <c r="BP32" s="3598"/>
      <c r="BQ32" s="3598"/>
      <c r="BR32" s="3626"/>
    </row>
    <row r="33" spans="1:70" s="1630" customFormat="1" ht="15" customHeight="1" x14ac:dyDescent="0.2">
      <c r="A33" s="1614"/>
      <c r="B33" s="1615"/>
      <c r="C33" s="1616"/>
      <c r="D33" s="1617"/>
      <c r="E33" s="1615"/>
      <c r="F33" s="1616"/>
      <c r="G33" s="1628">
        <v>30</v>
      </c>
      <c r="H33" s="3634" t="s">
        <v>1663</v>
      </c>
      <c r="I33" s="3635"/>
      <c r="J33" s="3635"/>
      <c r="K33" s="3635"/>
      <c r="L33" s="1629"/>
      <c r="M33" s="1530"/>
      <c r="N33" s="1530"/>
      <c r="O33" s="1530"/>
      <c r="P33" s="1530"/>
      <c r="Q33" s="1629"/>
      <c r="R33" s="1530"/>
      <c r="S33" s="1532"/>
      <c r="T33" s="1629"/>
      <c r="U33" s="1629"/>
      <c r="V33" s="1629"/>
      <c r="W33" s="1697"/>
      <c r="X33" s="1698"/>
      <c r="Y33" s="1697"/>
      <c r="Z33" s="1531"/>
      <c r="AA33" s="1551"/>
      <c r="AB33" s="1530"/>
      <c r="AC33" s="1530"/>
      <c r="AD33" s="1530"/>
      <c r="AE33" s="1530"/>
      <c r="AF33" s="1530"/>
      <c r="AG33" s="1530"/>
      <c r="AH33" s="1530"/>
      <c r="AI33" s="1530"/>
      <c r="AJ33" s="1530"/>
      <c r="AK33" s="1530"/>
      <c r="AL33" s="1530"/>
      <c r="AM33" s="1530"/>
      <c r="AN33" s="1530"/>
      <c r="AO33" s="1530"/>
      <c r="AP33" s="1530"/>
      <c r="AQ33" s="1530"/>
      <c r="AR33" s="1530"/>
      <c r="AS33" s="1530"/>
      <c r="AT33" s="1530"/>
      <c r="AU33" s="1530"/>
      <c r="AV33" s="1530"/>
      <c r="AW33" s="1530"/>
      <c r="AX33" s="1530"/>
      <c r="AY33" s="1530"/>
      <c r="AZ33" s="1530"/>
      <c r="BA33" s="1530"/>
      <c r="BB33" s="1530"/>
      <c r="BC33" s="1530"/>
      <c r="BD33" s="1530"/>
      <c r="BE33" s="1530"/>
      <c r="BF33" s="1530"/>
      <c r="BG33" s="1530"/>
      <c r="BH33" s="1531"/>
      <c r="BI33" s="1532"/>
      <c r="BJ33" s="1533"/>
      <c r="BK33" s="1530"/>
      <c r="BL33" s="1530"/>
      <c r="BM33" s="1530"/>
      <c r="BN33" s="1530"/>
      <c r="BO33" s="1530"/>
      <c r="BP33" s="1530"/>
      <c r="BQ33" s="1530"/>
      <c r="BR33" s="1534"/>
    </row>
    <row r="34" spans="1:70" s="1619" customFormat="1" ht="63.75" customHeight="1" x14ac:dyDescent="0.2">
      <c r="A34" s="1614"/>
      <c r="B34" s="1615"/>
      <c r="C34" s="1616"/>
      <c r="D34" s="1617"/>
      <c r="E34" s="1615"/>
      <c r="F34" s="1616"/>
      <c r="G34" s="1631"/>
      <c r="H34" s="3571"/>
      <c r="I34" s="3572"/>
      <c r="J34" s="3577">
        <v>117</v>
      </c>
      <c r="K34" s="3580" t="s">
        <v>1664</v>
      </c>
      <c r="L34" s="3580" t="s">
        <v>1641</v>
      </c>
      <c r="M34" s="3577">
        <v>1</v>
      </c>
      <c r="N34" s="3577">
        <v>0</v>
      </c>
      <c r="O34" s="3587" t="s">
        <v>1665</v>
      </c>
      <c r="P34" s="3568" t="s">
        <v>1666</v>
      </c>
      <c r="Q34" s="3580" t="s">
        <v>1667</v>
      </c>
      <c r="R34" s="3614">
        <f>(W34+W35)/S34</f>
        <v>1</v>
      </c>
      <c r="S34" s="3605">
        <f>+W34+W35</f>
        <v>79500000</v>
      </c>
      <c r="T34" s="3580" t="s">
        <v>1668</v>
      </c>
      <c r="U34" s="3580" t="s">
        <v>1669</v>
      </c>
      <c r="V34" s="1620" t="s">
        <v>1670</v>
      </c>
      <c r="W34" s="1691">
        <v>75525000</v>
      </c>
      <c r="X34" s="1699"/>
      <c r="Y34" s="1699"/>
      <c r="Z34" s="1535">
        <v>20</v>
      </c>
      <c r="AA34" s="1549" t="s">
        <v>697</v>
      </c>
      <c r="AB34" s="3568">
        <v>75</v>
      </c>
      <c r="AC34" s="3568"/>
      <c r="AD34" s="3568">
        <v>75</v>
      </c>
      <c r="AE34" s="3568"/>
      <c r="AF34" s="3584"/>
      <c r="AG34" s="3584"/>
      <c r="AH34" s="3584"/>
      <c r="AI34" s="3584"/>
      <c r="AJ34" s="3584">
        <v>150</v>
      </c>
      <c r="AK34" s="3584"/>
      <c r="AL34" s="3584"/>
      <c r="AM34" s="3584"/>
      <c r="AN34" s="3584"/>
      <c r="AO34" s="3584"/>
      <c r="AP34" s="3584"/>
      <c r="AQ34" s="3584"/>
      <c r="AR34" s="3584"/>
      <c r="AS34" s="3584"/>
      <c r="AT34" s="3584"/>
      <c r="AU34" s="3584"/>
      <c r="AV34" s="3584"/>
      <c r="AW34" s="3584"/>
      <c r="AX34" s="3584"/>
      <c r="AY34" s="3584"/>
      <c r="AZ34" s="3584"/>
      <c r="BA34" s="3584"/>
      <c r="BB34" s="3584"/>
      <c r="BC34" s="3584"/>
      <c r="BD34" s="3584"/>
      <c r="BE34" s="3584"/>
      <c r="BF34" s="3584">
        <v>150</v>
      </c>
      <c r="BG34" s="3584"/>
      <c r="BH34" s="3611">
        <v>1</v>
      </c>
      <c r="BI34" s="3605">
        <f>SUM(X34:X35)</f>
        <v>3975000</v>
      </c>
      <c r="BJ34" s="3605">
        <f>Y34+Y35</f>
        <v>3975000</v>
      </c>
      <c r="BK34" s="3627">
        <f>BJ34/BI34</f>
        <v>1</v>
      </c>
      <c r="BL34" s="3568">
        <v>20</v>
      </c>
      <c r="BM34" s="3580" t="s">
        <v>1671</v>
      </c>
      <c r="BN34" s="3596">
        <v>43466</v>
      </c>
      <c r="BO34" s="3596">
        <v>43488</v>
      </c>
      <c r="BP34" s="3596">
        <v>43830</v>
      </c>
      <c r="BQ34" s="3596">
        <v>43638</v>
      </c>
      <c r="BR34" s="3602" t="s">
        <v>1637</v>
      </c>
    </row>
    <row r="35" spans="1:70" s="1619" customFormat="1" ht="67.5" customHeight="1" x14ac:dyDescent="0.2">
      <c r="A35" s="1614"/>
      <c r="B35" s="1615"/>
      <c r="C35" s="1616"/>
      <c r="D35" s="1617"/>
      <c r="E35" s="1615"/>
      <c r="F35" s="1616"/>
      <c r="G35" s="1631"/>
      <c r="H35" s="3575"/>
      <c r="I35" s="3576"/>
      <c r="J35" s="3579"/>
      <c r="K35" s="3582"/>
      <c r="L35" s="3582"/>
      <c r="M35" s="3579"/>
      <c r="N35" s="3579"/>
      <c r="O35" s="3589"/>
      <c r="P35" s="3570"/>
      <c r="Q35" s="3582"/>
      <c r="R35" s="3616"/>
      <c r="S35" s="3607"/>
      <c r="T35" s="3582"/>
      <c r="U35" s="3582"/>
      <c r="V35" s="1632" t="s">
        <v>1672</v>
      </c>
      <c r="W35" s="1691">
        <v>3975000</v>
      </c>
      <c r="X35" s="1692">
        <v>3975000</v>
      </c>
      <c r="Y35" s="1692">
        <f>2798000+1177000</f>
        <v>3975000</v>
      </c>
      <c r="Z35" s="1535">
        <v>20</v>
      </c>
      <c r="AA35" s="1549" t="s">
        <v>697</v>
      </c>
      <c r="AB35" s="3570"/>
      <c r="AC35" s="3570"/>
      <c r="AD35" s="3570"/>
      <c r="AE35" s="3570"/>
      <c r="AF35" s="3586"/>
      <c r="AG35" s="3586"/>
      <c r="AH35" s="3586"/>
      <c r="AI35" s="3586"/>
      <c r="AJ35" s="3586"/>
      <c r="AK35" s="3586"/>
      <c r="AL35" s="3586"/>
      <c r="AM35" s="3586"/>
      <c r="AN35" s="3586"/>
      <c r="AO35" s="3586"/>
      <c r="AP35" s="3586"/>
      <c r="AQ35" s="3586"/>
      <c r="AR35" s="3586"/>
      <c r="AS35" s="3586"/>
      <c r="AT35" s="3586"/>
      <c r="AU35" s="3586"/>
      <c r="AV35" s="3586"/>
      <c r="AW35" s="3586"/>
      <c r="AX35" s="3586"/>
      <c r="AY35" s="3586"/>
      <c r="AZ35" s="3586"/>
      <c r="BA35" s="3586"/>
      <c r="BB35" s="3586"/>
      <c r="BC35" s="3586"/>
      <c r="BD35" s="3586"/>
      <c r="BE35" s="3586"/>
      <c r="BF35" s="3586"/>
      <c r="BG35" s="3586"/>
      <c r="BH35" s="3613"/>
      <c r="BI35" s="3607"/>
      <c r="BJ35" s="3607"/>
      <c r="BK35" s="3629"/>
      <c r="BL35" s="3570"/>
      <c r="BM35" s="3582"/>
      <c r="BN35" s="3598"/>
      <c r="BO35" s="3601"/>
      <c r="BP35" s="3598"/>
      <c r="BQ35" s="3601"/>
      <c r="BR35" s="3626"/>
    </row>
    <row r="36" spans="1:70" s="1630" customFormat="1" ht="22.5" customHeight="1" x14ac:dyDescent="0.2">
      <c r="A36" s="1614"/>
      <c r="B36" s="1615"/>
      <c r="C36" s="1616"/>
      <c r="D36" s="1617"/>
      <c r="E36" s="1615"/>
      <c r="F36" s="1616"/>
      <c r="G36" s="1628">
        <v>31</v>
      </c>
      <c r="H36" s="3634" t="s">
        <v>1673</v>
      </c>
      <c r="I36" s="3635"/>
      <c r="J36" s="3635"/>
      <c r="K36" s="3635"/>
      <c r="L36" s="1629"/>
      <c r="M36" s="1530"/>
      <c r="N36" s="1530"/>
      <c r="O36" s="1530"/>
      <c r="P36" s="1530"/>
      <c r="Q36" s="1629"/>
      <c r="R36" s="1530"/>
      <c r="S36" s="1532"/>
      <c r="T36" s="1629"/>
      <c r="U36" s="1629"/>
      <c r="V36" s="1629"/>
      <c r="W36" s="1697"/>
      <c r="X36" s="1698"/>
      <c r="Y36" s="1697"/>
      <c r="Z36" s="1531"/>
      <c r="AA36" s="1551"/>
      <c r="AB36" s="1530"/>
      <c r="AC36" s="1530"/>
      <c r="AD36" s="1530"/>
      <c r="AE36" s="1530"/>
      <c r="AF36" s="1530"/>
      <c r="AG36" s="1530"/>
      <c r="AH36" s="1530"/>
      <c r="AI36" s="1530"/>
      <c r="AJ36" s="1530"/>
      <c r="AK36" s="1530"/>
      <c r="AL36" s="1530"/>
      <c r="AM36" s="1530"/>
      <c r="AN36" s="1530"/>
      <c r="AO36" s="1530"/>
      <c r="AP36" s="1530"/>
      <c r="AQ36" s="1530"/>
      <c r="AR36" s="1530"/>
      <c r="AS36" s="1530"/>
      <c r="AT36" s="1530"/>
      <c r="AU36" s="1530"/>
      <c r="AV36" s="1530"/>
      <c r="AW36" s="1530"/>
      <c r="AX36" s="1530"/>
      <c r="AY36" s="1530"/>
      <c r="AZ36" s="1530"/>
      <c r="BA36" s="1530"/>
      <c r="BB36" s="1530"/>
      <c r="BC36" s="1530"/>
      <c r="BD36" s="1530"/>
      <c r="BE36" s="1530"/>
      <c r="BF36" s="1530"/>
      <c r="BG36" s="1530"/>
      <c r="BH36" s="1530"/>
      <c r="BI36" s="1532"/>
      <c r="BJ36" s="1532"/>
      <c r="BK36" s="1530"/>
      <c r="BL36" s="1530"/>
      <c r="BM36" s="1530"/>
      <c r="BN36" s="1530"/>
      <c r="BO36" s="1530"/>
      <c r="BP36" s="1530"/>
      <c r="BQ36" s="1530"/>
      <c r="BR36" s="1534"/>
    </row>
    <row r="37" spans="1:70" s="1619" customFormat="1" ht="34.5" customHeight="1" x14ac:dyDescent="0.2">
      <c r="A37" s="1614"/>
      <c r="B37" s="1615"/>
      <c r="C37" s="1616"/>
      <c r="D37" s="1617"/>
      <c r="E37" s="1615"/>
      <c r="F37" s="1616"/>
      <c r="G37" s="1631"/>
      <c r="H37" s="3571"/>
      <c r="I37" s="3572"/>
      <c r="J37" s="3577">
        <v>118</v>
      </c>
      <c r="K37" s="3620" t="s">
        <v>1674</v>
      </c>
      <c r="L37" s="3580" t="s">
        <v>1641</v>
      </c>
      <c r="M37" s="3577">
        <v>4</v>
      </c>
      <c r="N37" s="3577">
        <v>5</v>
      </c>
      <c r="O37" s="3587" t="s">
        <v>1675</v>
      </c>
      <c r="P37" s="3568" t="s">
        <v>1676</v>
      </c>
      <c r="Q37" s="3620" t="s">
        <v>1677</v>
      </c>
      <c r="R37" s="3614">
        <f>S37/S37</f>
        <v>1</v>
      </c>
      <c r="S37" s="3605">
        <f>SUM(W37:W44)</f>
        <v>245423575</v>
      </c>
      <c r="T37" s="3580" t="s">
        <v>1678</v>
      </c>
      <c r="U37" s="3620" t="s">
        <v>1679</v>
      </c>
      <c r="V37" s="1625" t="s">
        <v>1680</v>
      </c>
      <c r="W37" s="1700">
        <f>21698843-2698843</f>
        <v>19000000</v>
      </c>
      <c r="X37" s="1691">
        <v>12000000</v>
      </c>
      <c r="Y37" s="1691"/>
      <c r="Z37" s="1535">
        <v>34</v>
      </c>
      <c r="AA37" s="1544" t="s">
        <v>1681</v>
      </c>
      <c r="AB37" s="3584">
        <v>50476</v>
      </c>
      <c r="AC37" s="3568">
        <v>424</v>
      </c>
      <c r="AD37" s="3584">
        <v>50476</v>
      </c>
      <c r="AE37" s="3568">
        <v>340</v>
      </c>
      <c r="AF37" s="3584">
        <v>42400</v>
      </c>
      <c r="AG37" s="3584">
        <f>39+266</f>
        <v>305</v>
      </c>
      <c r="AH37" s="3584">
        <v>30286</v>
      </c>
      <c r="AI37" s="3584"/>
      <c r="AJ37" s="3584">
        <v>18171</v>
      </c>
      <c r="AK37" s="3584">
        <f>429</f>
        <v>429</v>
      </c>
      <c r="AL37" s="3584">
        <v>10095</v>
      </c>
      <c r="AM37" s="3584">
        <v>30</v>
      </c>
      <c r="AN37" s="3584"/>
      <c r="AO37" s="3584"/>
      <c r="AP37" s="3630"/>
      <c r="AQ37" s="3630"/>
      <c r="AR37" s="3584"/>
      <c r="AS37" s="3584"/>
      <c r="AT37" s="3584"/>
      <c r="AU37" s="3584"/>
      <c r="AV37" s="3584"/>
      <c r="AW37" s="3584"/>
      <c r="AX37" s="3584"/>
      <c r="AY37" s="3584"/>
      <c r="AZ37" s="3630"/>
      <c r="BA37" s="3630"/>
      <c r="BB37" s="3630"/>
      <c r="BC37" s="3630">
        <f>1+5</f>
        <v>6</v>
      </c>
      <c r="BD37" s="3584"/>
      <c r="BE37" s="3584"/>
      <c r="BF37" s="3584">
        <f>+AB37+AD37</f>
        <v>100952</v>
      </c>
      <c r="BG37" s="3584">
        <f>AG37+AI37+AK37+AM37</f>
        <v>764</v>
      </c>
      <c r="BH37" s="3611">
        <f>4+1</f>
        <v>5</v>
      </c>
      <c r="BI37" s="3605">
        <f>SUM(X37:X44)</f>
        <v>86780000</v>
      </c>
      <c r="BJ37" s="3605">
        <f>SUM(Y37:Y44)</f>
        <v>37615000</v>
      </c>
      <c r="BK37" s="3627">
        <f>BJ37/BI37</f>
        <v>0.43345240838902971</v>
      </c>
      <c r="BL37" s="1535">
        <v>34</v>
      </c>
      <c r="BM37" s="3568" t="s">
        <v>1682</v>
      </c>
      <c r="BN37" s="3596">
        <v>43466</v>
      </c>
      <c r="BO37" s="3596">
        <v>43493</v>
      </c>
      <c r="BP37" s="3596">
        <v>43830</v>
      </c>
      <c r="BQ37" s="3596">
        <v>43812</v>
      </c>
      <c r="BR37" s="3568" t="s">
        <v>1637</v>
      </c>
    </row>
    <row r="38" spans="1:70" s="1619" customFormat="1" ht="60" customHeight="1" x14ac:dyDescent="0.2">
      <c r="A38" s="1614"/>
      <c r="B38" s="1615"/>
      <c r="C38" s="1616"/>
      <c r="D38" s="1617"/>
      <c r="E38" s="1615"/>
      <c r="F38" s="1616"/>
      <c r="G38" s="1631"/>
      <c r="H38" s="3573"/>
      <c r="I38" s="3574"/>
      <c r="J38" s="3578"/>
      <c r="K38" s="3621"/>
      <c r="L38" s="3581"/>
      <c r="M38" s="3578"/>
      <c r="N38" s="3578"/>
      <c r="O38" s="3588"/>
      <c r="P38" s="3569"/>
      <c r="Q38" s="3621"/>
      <c r="R38" s="3615"/>
      <c r="S38" s="3606"/>
      <c r="T38" s="3581"/>
      <c r="U38" s="3621"/>
      <c r="V38" s="1625" t="s">
        <v>1683</v>
      </c>
      <c r="W38" s="1700">
        <f>11283398-1283398</f>
        <v>10000000</v>
      </c>
      <c r="X38" s="1692">
        <v>10000000</v>
      </c>
      <c r="Y38" s="1692"/>
      <c r="Z38" s="1535">
        <v>34</v>
      </c>
      <c r="AA38" s="1544" t="s">
        <v>1681</v>
      </c>
      <c r="AB38" s="3585"/>
      <c r="AC38" s="3569"/>
      <c r="AD38" s="3585"/>
      <c r="AE38" s="3569"/>
      <c r="AF38" s="3585"/>
      <c r="AG38" s="3585"/>
      <c r="AH38" s="3585"/>
      <c r="AI38" s="3585"/>
      <c r="AJ38" s="3585"/>
      <c r="AK38" s="3585"/>
      <c r="AL38" s="3585"/>
      <c r="AM38" s="3585"/>
      <c r="AN38" s="3585"/>
      <c r="AO38" s="3585"/>
      <c r="AP38" s="3631"/>
      <c r="AQ38" s="3631"/>
      <c r="AR38" s="3585"/>
      <c r="AS38" s="3585"/>
      <c r="AT38" s="3585"/>
      <c r="AU38" s="3585"/>
      <c r="AV38" s="3585"/>
      <c r="AW38" s="3585"/>
      <c r="AX38" s="3585"/>
      <c r="AY38" s="3585"/>
      <c r="AZ38" s="3631"/>
      <c r="BA38" s="3631"/>
      <c r="BB38" s="3631"/>
      <c r="BC38" s="3631"/>
      <c r="BD38" s="3585"/>
      <c r="BE38" s="3585"/>
      <c r="BF38" s="3585"/>
      <c r="BG38" s="3585"/>
      <c r="BH38" s="3612"/>
      <c r="BI38" s="3606"/>
      <c r="BJ38" s="3606"/>
      <c r="BK38" s="3628"/>
      <c r="BL38" s="1535">
        <v>34</v>
      </c>
      <c r="BM38" s="3569"/>
      <c r="BN38" s="3597"/>
      <c r="BO38" s="3600"/>
      <c r="BP38" s="3597"/>
      <c r="BQ38" s="3600"/>
      <c r="BR38" s="3569"/>
    </row>
    <row r="39" spans="1:70" s="1619" customFormat="1" ht="42.75" customHeight="1" x14ac:dyDescent="0.2">
      <c r="A39" s="1614"/>
      <c r="B39" s="1615"/>
      <c r="C39" s="1616"/>
      <c r="D39" s="1617"/>
      <c r="E39" s="1615"/>
      <c r="F39" s="1616"/>
      <c r="G39" s="1631"/>
      <c r="H39" s="3573"/>
      <c r="I39" s="3574"/>
      <c r="J39" s="3578"/>
      <c r="K39" s="3621"/>
      <c r="L39" s="3581"/>
      <c r="M39" s="3578"/>
      <c r="N39" s="3578"/>
      <c r="O39" s="3588"/>
      <c r="P39" s="3569"/>
      <c r="Q39" s="3621"/>
      <c r="R39" s="3615"/>
      <c r="S39" s="3606"/>
      <c r="T39" s="3581"/>
      <c r="U39" s="3621"/>
      <c r="V39" s="1625" t="s">
        <v>1684</v>
      </c>
      <c r="W39" s="1700">
        <f>26906565-26906565</f>
        <v>0</v>
      </c>
      <c r="X39" s="1692"/>
      <c r="Y39" s="1692"/>
      <c r="Z39" s="1535">
        <v>34</v>
      </c>
      <c r="AA39" s="1544" t="s">
        <v>1681</v>
      </c>
      <c r="AB39" s="3585"/>
      <c r="AC39" s="3569"/>
      <c r="AD39" s="3585"/>
      <c r="AE39" s="3569"/>
      <c r="AF39" s="3585"/>
      <c r="AG39" s="3585"/>
      <c r="AH39" s="3585"/>
      <c r="AI39" s="3585"/>
      <c r="AJ39" s="3585"/>
      <c r="AK39" s="3585"/>
      <c r="AL39" s="3585"/>
      <c r="AM39" s="3585"/>
      <c r="AN39" s="3585"/>
      <c r="AO39" s="3585"/>
      <c r="AP39" s="3631"/>
      <c r="AQ39" s="3631"/>
      <c r="AR39" s="3585"/>
      <c r="AS39" s="3585"/>
      <c r="AT39" s="3585"/>
      <c r="AU39" s="3585"/>
      <c r="AV39" s="3585"/>
      <c r="AW39" s="3585"/>
      <c r="AX39" s="3585"/>
      <c r="AY39" s="3585"/>
      <c r="AZ39" s="3631"/>
      <c r="BA39" s="3631"/>
      <c r="BB39" s="3631"/>
      <c r="BC39" s="3631"/>
      <c r="BD39" s="3585"/>
      <c r="BE39" s="3585"/>
      <c r="BF39" s="3585"/>
      <c r="BG39" s="3585"/>
      <c r="BH39" s="3612"/>
      <c r="BI39" s="3606"/>
      <c r="BJ39" s="3606"/>
      <c r="BK39" s="3628"/>
      <c r="BL39" s="1535">
        <v>34</v>
      </c>
      <c r="BM39" s="3569"/>
      <c r="BN39" s="3597"/>
      <c r="BO39" s="3600"/>
      <c r="BP39" s="3597"/>
      <c r="BQ39" s="3600"/>
      <c r="BR39" s="3569"/>
    </row>
    <row r="40" spans="1:70" s="1619" customFormat="1" ht="54.75" customHeight="1" x14ac:dyDescent="0.2">
      <c r="A40" s="1614"/>
      <c r="B40" s="1615"/>
      <c r="C40" s="1616"/>
      <c r="D40" s="1617"/>
      <c r="E40" s="1615"/>
      <c r="F40" s="1616"/>
      <c r="G40" s="1631"/>
      <c r="H40" s="3573"/>
      <c r="I40" s="3574"/>
      <c r="J40" s="3578"/>
      <c r="K40" s="3621"/>
      <c r="L40" s="3581"/>
      <c r="M40" s="3578"/>
      <c r="N40" s="3578"/>
      <c r="O40" s="3588"/>
      <c r="P40" s="3569"/>
      <c r="Q40" s="3621"/>
      <c r="R40" s="3615"/>
      <c r="S40" s="3606"/>
      <c r="T40" s="3581"/>
      <c r="U40" s="3621"/>
      <c r="V40" s="1625" t="s">
        <v>1685</v>
      </c>
      <c r="W40" s="1700">
        <f>21698843-7698843</f>
        <v>14000000</v>
      </c>
      <c r="X40" s="1692"/>
      <c r="Y40" s="1691"/>
      <c r="Z40" s="1535">
        <v>34</v>
      </c>
      <c r="AA40" s="1544" t="s">
        <v>1681</v>
      </c>
      <c r="AB40" s="3585"/>
      <c r="AC40" s="3569"/>
      <c r="AD40" s="3585"/>
      <c r="AE40" s="3569"/>
      <c r="AF40" s="3585"/>
      <c r="AG40" s="3585"/>
      <c r="AH40" s="3585"/>
      <c r="AI40" s="3585"/>
      <c r="AJ40" s="3585"/>
      <c r="AK40" s="3585"/>
      <c r="AL40" s="3585"/>
      <c r="AM40" s="3585"/>
      <c r="AN40" s="3585"/>
      <c r="AO40" s="3585"/>
      <c r="AP40" s="3631"/>
      <c r="AQ40" s="3631"/>
      <c r="AR40" s="3585"/>
      <c r="AS40" s="3585"/>
      <c r="AT40" s="3585"/>
      <c r="AU40" s="3585"/>
      <c r="AV40" s="3585"/>
      <c r="AW40" s="3585"/>
      <c r="AX40" s="3585"/>
      <c r="AY40" s="3585"/>
      <c r="AZ40" s="3631"/>
      <c r="BA40" s="3631"/>
      <c r="BB40" s="3631"/>
      <c r="BC40" s="3631"/>
      <c r="BD40" s="3585"/>
      <c r="BE40" s="3585"/>
      <c r="BF40" s="3585"/>
      <c r="BG40" s="3585"/>
      <c r="BH40" s="3612"/>
      <c r="BI40" s="3606"/>
      <c r="BJ40" s="3606"/>
      <c r="BK40" s="3628"/>
      <c r="BL40" s="1535">
        <v>34</v>
      </c>
      <c r="BM40" s="3569"/>
      <c r="BN40" s="3597"/>
      <c r="BO40" s="3600"/>
      <c r="BP40" s="3597"/>
      <c r="BQ40" s="3600"/>
      <c r="BR40" s="3569"/>
    </row>
    <row r="41" spans="1:70" s="1619" customFormat="1" ht="59.25" customHeight="1" x14ac:dyDescent="0.2">
      <c r="A41" s="1614"/>
      <c r="B41" s="1615"/>
      <c r="C41" s="1616"/>
      <c r="D41" s="1617"/>
      <c r="E41" s="1615"/>
      <c r="F41" s="1616"/>
      <c r="G41" s="1631"/>
      <c r="H41" s="3573"/>
      <c r="I41" s="3574"/>
      <c r="J41" s="3578"/>
      <c r="K41" s="3621"/>
      <c r="L41" s="3581"/>
      <c r="M41" s="3578"/>
      <c r="N41" s="3578"/>
      <c r="O41" s="3588"/>
      <c r="P41" s="3569"/>
      <c r="Q41" s="3621"/>
      <c r="R41" s="3615"/>
      <c r="S41" s="3606"/>
      <c r="T41" s="3581"/>
      <c r="U41" s="3622"/>
      <c r="V41" s="1625" t="s">
        <v>1686</v>
      </c>
      <c r="W41" s="1700">
        <f>0+28350000</f>
        <v>28350000</v>
      </c>
      <c r="X41" s="1692"/>
      <c r="Y41" s="1691"/>
      <c r="Z41" s="1535">
        <v>159</v>
      </c>
      <c r="AA41" s="1544" t="s">
        <v>1687</v>
      </c>
      <c r="AB41" s="3585"/>
      <c r="AC41" s="3569"/>
      <c r="AD41" s="3585"/>
      <c r="AE41" s="3569"/>
      <c r="AF41" s="3585"/>
      <c r="AG41" s="3585"/>
      <c r="AH41" s="3585"/>
      <c r="AI41" s="3585"/>
      <c r="AJ41" s="3585"/>
      <c r="AK41" s="3585"/>
      <c r="AL41" s="3585"/>
      <c r="AM41" s="3585"/>
      <c r="AN41" s="3585"/>
      <c r="AO41" s="3585"/>
      <c r="AP41" s="3631"/>
      <c r="AQ41" s="3631"/>
      <c r="AR41" s="3585"/>
      <c r="AS41" s="3585"/>
      <c r="AT41" s="3585"/>
      <c r="AU41" s="3585"/>
      <c r="AV41" s="3585"/>
      <c r="AW41" s="3585"/>
      <c r="AX41" s="3585"/>
      <c r="AY41" s="3585"/>
      <c r="AZ41" s="3631"/>
      <c r="BA41" s="3631"/>
      <c r="BB41" s="3631"/>
      <c r="BC41" s="3631"/>
      <c r="BD41" s="3585"/>
      <c r="BE41" s="3585"/>
      <c r="BF41" s="3585"/>
      <c r="BG41" s="3585"/>
      <c r="BH41" s="3612"/>
      <c r="BI41" s="3606"/>
      <c r="BJ41" s="3606"/>
      <c r="BK41" s="3628"/>
      <c r="BL41" s="1535">
        <v>159</v>
      </c>
      <c r="BM41" s="3569"/>
      <c r="BN41" s="3597"/>
      <c r="BO41" s="3600"/>
      <c r="BP41" s="3597"/>
      <c r="BQ41" s="3600"/>
      <c r="BR41" s="3569"/>
    </row>
    <row r="42" spans="1:70" s="1619" customFormat="1" ht="58.5" customHeight="1" x14ac:dyDescent="0.2">
      <c r="A42" s="1614"/>
      <c r="B42" s="1615"/>
      <c r="C42" s="1616"/>
      <c r="D42" s="1617"/>
      <c r="E42" s="1615"/>
      <c r="F42" s="1616"/>
      <c r="G42" s="1631"/>
      <c r="H42" s="3573"/>
      <c r="I42" s="3574"/>
      <c r="J42" s="3578"/>
      <c r="K42" s="3621"/>
      <c r="L42" s="3581"/>
      <c r="M42" s="3578"/>
      <c r="N42" s="3578"/>
      <c r="O42" s="3588"/>
      <c r="P42" s="3569"/>
      <c r="Q42" s="3621"/>
      <c r="R42" s="3615"/>
      <c r="S42" s="3606"/>
      <c r="T42" s="3581"/>
      <c r="U42" s="3620" t="s">
        <v>1688</v>
      </c>
      <c r="V42" s="3583" t="s">
        <v>1689</v>
      </c>
      <c r="W42" s="1700">
        <f>26038612-8482831</f>
        <v>17555781</v>
      </c>
      <c r="X42" s="1701"/>
      <c r="Y42" s="1691"/>
      <c r="Z42" s="1535">
        <v>34</v>
      </c>
      <c r="AA42" s="1544" t="s">
        <v>1690</v>
      </c>
      <c r="AB42" s="3585"/>
      <c r="AC42" s="3569"/>
      <c r="AD42" s="3585"/>
      <c r="AE42" s="3569"/>
      <c r="AF42" s="3585"/>
      <c r="AG42" s="3585"/>
      <c r="AH42" s="3585"/>
      <c r="AI42" s="3585"/>
      <c r="AJ42" s="3585"/>
      <c r="AK42" s="3585"/>
      <c r="AL42" s="3585"/>
      <c r="AM42" s="3585"/>
      <c r="AN42" s="3585"/>
      <c r="AO42" s="3585"/>
      <c r="AP42" s="3631"/>
      <c r="AQ42" s="3631"/>
      <c r="AR42" s="3585"/>
      <c r="AS42" s="3585"/>
      <c r="AT42" s="3585"/>
      <c r="AU42" s="3585"/>
      <c r="AV42" s="3585"/>
      <c r="AW42" s="3585"/>
      <c r="AX42" s="3585"/>
      <c r="AY42" s="3585"/>
      <c r="AZ42" s="3631"/>
      <c r="BA42" s="3631"/>
      <c r="BB42" s="3631"/>
      <c r="BC42" s="3631"/>
      <c r="BD42" s="3585"/>
      <c r="BE42" s="3585"/>
      <c r="BF42" s="3585"/>
      <c r="BG42" s="3585"/>
      <c r="BH42" s="3612"/>
      <c r="BI42" s="3606"/>
      <c r="BJ42" s="3606"/>
      <c r="BK42" s="3628"/>
      <c r="BL42" s="1535">
        <v>34</v>
      </c>
      <c r="BM42" s="3569"/>
      <c r="BN42" s="3597"/>
      <c r="BO42" s="3600"/>
      <c r="BP42" s="3597"/>
      <c r="BQ42" s="3600"/>
      <c r="BR42" s="3569"/>
    </row>
    <row r="43" spans="1:70" s="1619" customFormat="1" ht="58.5" customHeight="1" x14ac:dyDescent="0.2">
      <c r="A43" s="1614"/>
      <c r="B43" s="1615"/>
      <c r="C43" s="1616"/>
      <c r="D43" s="1617"/>
      <c r="E43" s="1615"/>
      <c r="F43" s="1616"/>
      <c r="G43" s="1631"/>
      <c r="H43" s="3573"/>
      <c r="I43" s="3574"/>
      <c r="J43" s="3578"/>
      <c r="K43" s="3621"/>
      <c r="L43" s="3581"/>
      <c r="M43" s="3578"/>
      <c r="N43" s="3578"/>
      <c r="O43" s="3588"/>
      <c r="P43" s="3569"/>
      <c r="Q43" s="3621"/>
      <c r="R43" s="3615"/>
      <c r="S43" s="3606"/>
      <c r="T43" s="3581"/>
      <c r="U43" s="3621"/>
      <c r="V43" s="3583"/>
      <c r="W43" s="1700">
        <f>0+43482831</f>
        <v>43482831</v>
      </c>
      <c r="X43" s="1701">
        <v>15000000</v>
      </c>
      <c r="Y43" s="1691"/>
      <c r="Z43" s="1535">
        <v>83</v>
      </c>
      <c r="AA43" s="1544" t="s">
        <v>1691</v>
      </c>
      <c r="AB43" s="3585"/>
      <c r="AC43" s="3569"/>
      <c r="AD43" s="3585"/>
      <c r="AE43" s="3569"/>
      <c r="AF43" s="3585"/>
      <c r="AG43" s="3585"/>
      <c r="AH43" s="3585"/>
      <c r="AI43" s="3585"/>
      <c r="AJ43" s="3585"/>
      <c r="AK43" s="3585"/>
      <c r="AL43" s="3585"/>
      <c r="AM43" s="3585"/>
      <c r="AN43" s="3585"/>
      <c r="AO43" s="3585"/>
      <c r="AP43" s="3631"/>
      <c r="AQ43" s="3631"/>
      <c r="AR43" s="3585"/>
      <c r="AS43" s="3585"/>
      <c r="AT43" s="3585"/>
      <c r="AU43" s="3585"/>
      <c r="AV43" s="3585"/>
      <c r="AW43" s="3585"/>
      <c r="AX43" s="3585"/>
      <c r="AY43" s="3585"/>
      <c r="AZ43" s="3631"/>
      <c r="BA43" s="3631"/>
      <c r="BB43" s="3631"/>
      <c r="BC43" s="3631"/>
      <c r="BD43" s="3585"/>
      <c r="BE43" s="3585"/>
      <c r="BF43" s="3585"/>
      <c r="BG43" s="3585"/>
      <c r="BH43" s="3612"/>
      <c r="BI43" s="3606"/>
      <c r="BJ43" s="3606"/>
      <c r="BK43" s="3628"/>
      <c r="BL43" s="1535">
        <v>83</v>
      </c>
      <c r="BM43" s="3569"/>
      <c r="BN43" s="3597"/>
      <c r="BO43" s="3600"/>
      <c r="BP43" s="3597"/>
      <c r="BQ43" s="3600"/>
      <c r="BR43" s="3569"/>
    </row>
    <row r="44" spans="1:70" s="1619" customFormat="1" ht="66.75" customHeight="1" x14ac:dyDescent="0.2">
      <c r="A44" s="1614"/>
      <c r="B44" s="1615"/>
      <c r="C44" s="1616"/>
      <c r="D44" s="1617"/>
      <c r="E44" s="1615"/>
      <c r="F44" s="1616"/>
      <c r="G44" s="1631"/>
      <c r="H44" s="3575"/>
      <c r="I44" s="3576"/>
      <c r="J44" s="3579"/>
      <c r="K44" s="3622"/>
      <c r="L44" s="3582"/>
      <c r="M44" s="3579"/>
      <c r="N44" s="3579"/>
      <c r="O44" s="3589"/>
      <c r="P44" s="3570"/>
      <c r="Q44" s="3622"/>
      <c r="R44" s="3616"/>
      <c r="S44" s="3607"/>
      <c r="T44" s="3582"/>
      <c r="U44" s="3622"/>
      <c r="V44" s="1625" t="s">
        <v>1692</v>
      </c>
      <c r="W44" s="1700">
        <f>65964483+47070480</f>
        <v>113034963</v>
      </c>
      <c r="X44" s="1692">
        <v>49780000</v>
      </c>
      <c r="Y44" s="1692">
        <f>12316000+8956000+8956000+7387000</f>
        <v>37615000</v>
      </c>
      <c r="Z44" s="1535">
        <v>34</v>
      </c>
      <c r="AA44" s="1544" t="s">
        <v>1681</v>
      </c>
      <c r="AB44" s="3586"/>
      <c r="AC44" s="3570"/>
      <c r="AD44" s="3586"/>
      <c r="AE44" s="3570"/>
      <c r="AF44" s="3586"/>
      <c r="AG44" s="3586"/>
      <c r="AH44" s="3586"/>
      <c r="AI44" s="3586"/>
      <c r="AJ44" s="3586"/>
      <c r="AK44" s="3586"/>
      <c r="AL44" s="3586"/>
      <c r="AM44" s="3586"/>
      <c r="AN44" s="3586"/>
      <c r="AO44" s="3586"/>
      <c r="AP44" s="3632"/>
      <c r="AQ44" s="3632"/>
      <c r="AR44" s="3586"/>
      <c r="AS44" s="3586"/>
      <c r="AT44" s="3586"/>
      <c r="AU44" s="3586"/>
      <c r="AV44" s="3586"/>
      <c r="AW44" s="3586"/>
      <c r="AX44" s="3586"/>
      <c r="AY44" s="3586"/>
      <c r="AZ44" s="3632"/>
      <c r="BA44" s="3632"/>
      <c r="BB44" s="3632"/>
      <c r="BC44" s="3632"/>
      <c r="BD44" s="3586"/>
      <c r="BE44" s="3586"/>
      <c r="BF44" s="3586"/>
      <c r="BG44" s="3586"/>
      <c r="BH44" s="3613"/>
      <c r="BI44" s="3607"/>
      <c r="BJ44" s="3607"/>
      <c r="BK44" s="3629"/>
      <c r="BL44" s="1535">
        <v>34</v>
      </c>
      <c r="BM44" s="3570"/>
      <c r="BN44" s="3598"/>
      <c r="BO44" s="3601"/>
      <c r="BP44" s="3598"/>
      <c r="BQ44" s="3601"/>
      <c r="BR44" s="3570"/>
    </row>
    <row r="45" spans="1:70" s="1639" customFormat="1" ht="15" customHeight="1" x14ac:dyDescent="0.2">
      <c r="A45" s="1633"/>
      <c r="B45" s="1634"/>
      <c r="C45" s="1635"/>
      <c r="D45" s="1636">
        <v>10</v>
      </c>
      <c r="E45" s="3636" t="s">
        <v>1693</v>
      </c>
      <c r="F45" s="3637"/>
      <c r="G45" s="3637"/>
      <c r="H45" s="3637"/>
      <c r="I45" s="3637"/>
      <c r="J45" s="3637"/>
      <c r="K45" s="3637"/>
      <c r="L45" s="1637"/>
      <c r="M45" s="1536"/>
      <c r="N45" s="1536"/>
      <c r="O45" s="1536"/>
      <c r="P45" s="1536"/>
      <c r="Q45" s="1637"/>
      <c r="R45" s="1536"/>
      <c r="S45" s="1538"/>
      <c r="T45" s="1637"/>
      <c r="U45" s="1637"/>
      <c r="V45" s="1637"/>
      <c r="W45" s="1702"/>
      <c r="X45" s="1703"/>
      <c r="Y45" s="1702"/>
      <c r="Z45" s="1537"/>
      <c r="AA45" s="1638"/>
      <c r="AB45" s="1536"/>
      <c r="AC45" s="1536"/>
      <c r="AD45" s="1536"/>
      <c r="AE45" s="1536"/>
      <c r="AF45" s="1536"/>
      <c r="AG45" s="1536"/>
      <c r="AH45" s="1536"/>
      <c r="AI45" s="1536"/>
      <c r="AJ45" s="1536"/>
      <c r="AK45" s="1536"/>
      <c r="AL45" s="1536"/>
      <c r="AM45" s="1536"/>
      <c r="AN45" s="1536"/>
      <c r="AO45" s="1536"/>
      <c r="AP45" s="1536"/>
      <c r="AQ45" s="1536"/>
      <c r="AR45" s="1536"/>
      <c r="AS45" s="1536"/>
      <c r="AT45" s="1536"/>
      <c r="AU45" s="1536"/>
      <c r="AV45" s="1536"/>
      <c r="AW45" s="1536"/>
      <c r="AX45" s="1536"/>
      <c r="AY45" s="1536"/>
      <c r="AZ45" s="1536"/>
      <c r="BA45" s="1536"/>
      <c r="BB45" s="1536"/>
      <c r="BC45" s="1536"/>
      <c r="BD45" s="1536"/>
      <c r="BE45" s="1536"/>
      <c r="BF45" s="1536"/>
      <c r="BG45" s="1536"/>
      <c r="BH45" s="1537"/>
      <c r="BI45" s="1538"/>
      <c r="BJ45" s="1538"/>
      <c r="BK45" s="1536"/>
      <c r="BL45" s="1536"/>
      <c r="BM45" s="1536"/>
      <c r="BN45" s="1536"/>
      <c r="BO45" s="1536"/>
      <c r="BP45" s="1536"/>
      <c r="BQ45" s="1536"/>
      <c r="BR45" s="1539"/>
    </row>
    <row r="46" spans="1:70" s="1639" customFormat="1" ht="15" customHeight="1" x14ac:dyDescent="0.2">
      <c r="A46" s="1640"/>
      <c r="B46" s="1641"/>
      <c r="C46" s="1641"/>
      <c r="D46" s="1642"/>
      <c r="E46" s="1643"/>
      <c r="F46" s="1635"/>
      <c r="G46" s="1628">
        <v>32</v>
      </c>
      <c r="H46" s="3634" t="s">
        <v>1694</v>
      </c>
      <c r="I46" s="3635"/>
      <c r="J46" s="3635"/>
      <c r="K46" s="3635"/>
      <c r="L46" s="3635"/>
      <c r="M46" s="1540"/>
      <c r="N46" s="1540"/>
      <c r="O46" s="1540"/>
      <c r="P46" s="1540"/>
      <c r="Q46" s="1644"/>
      <c r="R46" s="1540"/>
      <c r="S46" s="1542"/>
      <c r="T46" s="1644"/>
      <c r="U46" s="1644"/>
      <c r="V46" s="1644"/>
      <c r="W46" s="1697"/>
      <c r="X46" s="1698"/>
      <c r="Y46" s="1697"/>
      <c r="Z46" s="1541"/>
      <c r="AA46" s="1645"/>
      <c r="AB46" s="1540"/>
      <c r="AC46" s="1540"/>
      <c r="AD46" s="1540"/>
      <c r="AE46" s="1540"/>
      <c r="AF46" s="1540"/>
      <c r="AG46" s="1540"/>
      <c r="AH46" s="1540"/>
      <c r="AI46" s="1540"/>
      <c r="AJ46" s="1540"/>
      <c r="AK46" s="1540"/>
      <c r="AL46" s="1540"/>
      <c r="AM46" s="1540"/>
      <c r="AN46" s="1540"/>
      <c r="AO46" s="1540"/>
      <c r="AP46" s="1540"/>
      <c r="AQ46" s="1540"/>
      <c r="AR46" s="1540"/>
      <c r="AS46" s="1540"/>
      <c r="AT46" s="1540"/>
      <c r="AU46" s="1540"/>
      <c r="AV46" s="1540"/>
      <c r="AW46" s="1540"/>
      <c r="AX46" s="1540"/>
      <c r="AY46" s="1540"/>
      <c r="AZ46" s="1540"/>
      <c r="BA46" s="1540"/>
      <c r="BB46" s="1540"/>
      <c r="BC46" s="1540"/>
      <c r="BD46" s="1540"/>
      <c r="BE46" s="1540"/>
      <c r="BF46" s="1540"/>
      <c r="BG46" s="1540"/>
      <c r="BH46" s="1541"/>
      <c r="BI46" s="1542"/>
      <c r="BJ46" s="1542"/>
      <c r="BK46" s="1540"/>
      <c r="BL46" s="1540"/>
      <c r="BM46" s="1540"/>
      <c r="BN46" s="1540"/>
      <c r="BO46" s="1540"/>
      <c r="BP46" s="1540"/>
      <c r="BQ46" s="1540"/>
      <c r="BR46" s="1543"/>
    </row>
    <row r="47" spans="1:70" s="1619" customFormat="1" ht="50.25" customHeight="1" x14ac:dyDescent="0.2">
      <c r="A47" s="1614"/>
      <c r="B47" s="1615"/>
      <c r="C47" s="1615"/>
      <c r="D47" s="1617"/>
      <c r="E47" s="3573"/>
      <c r="F47" s="3574"/>
      <c r="G47" s="1631"/>
      <c r="H47" s="3571"/>
      <c r="I47" s="3572"/>
      <c r="J47" s="3577">
        <v>119</v>
      </c>
      <c r="K47" s="3580" t="s">
        <v>1695</v>
      </c>
      <c r="L47" s="3580" t="s">
        <v>1641</v>
      </c>
      <c r="M47" s="3577">
        <v>7</v>
      </c>
      <c r="N47" s="3577">
        <v>12</v>
      </c>
      <c r="O47" s="3587" t="s">
        <v>1696</v>
      </c>
      <c r="P47" s="3568" t="s">
        <v>1697</v>
      </c>
      <c r="Q47" s="3580" t="s">
        <v>1698</v>
      </c>
      <c r="R47" s="3614">
        <f>(W47+W50+W51+W53)/S47</f>
        <v>0.40200115318172119</v>
      </c>
      <c r="S47" s="3638">
        <f>SUM(W47:W53)</f>
        <v>550777027</v>
      </c>
      <c r="T47" s="3580" t="s">
        <v>1699</v>
      </c>
      <c r="U47" s="3580" t="s">
        <v>1700</v>
      </c>
      <c r="V47" s="3568" t="s">
        <v>1701</v>
      </c>
      <c r="W47" s="1701">
        <v>175000000</v>
      </c>
      <c r="X47" s="1704">
        <v>149308483</v>
      </c>
      <c r="Y47" s="1692"/>
      <c r="Z47" s="1535">
        <v>47</v>
      </c>
      <c r="AA47" s="1544" t="s">
        <v>1702</v>
      </c>
      <c r="AB47" s="3568">
        <v>85278</v>
      </c>
      <c r="AC47" s="3568"/>
      <c r="AD47" s="3568">
        <v>85277</v>
      </c>
      <c r="AE47" s="3568"/>
      <c r="AF47" s="3584">
        <v>17056</v>
      </c>
      <c r="AG47" s="1545"/>
      <c r="AH47" s="3584">
        <v>34111</v>
      </c>
      <c r="AI47" s="3584"/>
      <c r="AJ47" s="3584">
        <v>85278</v>
      </c>
      <c r="AK47" s="3584"/>
      <c r="AL47" s="3584">
        <v>25582</v>
      </c>
      <c r="AM47" s="1545"/>
      <c r="AN47" s="3584">
        <v>4263.875</v>
      </c>
      <c r="AO47" s="3584"/>
      <c r="AP47" s="3584">
        <v>4264</v>
      </c>
      <c r="AQ47" s="1545"/>
      <c r="AR47" s="3584"/>
      <c r="AS47" s="1545"/>
      <c r="AT47" s="3584"/>
      <c r="AU47" s="1545"/>
      <c r="AV47" s="3584"/>
      <c r="AW47" s="1545"/>
      <c r="AX47" s="1545"/>
      <c r="AY47" s="1545"/>
      <c r="AZ47" s="1545"/>
      <c r="BA47" s="1545"/>
      <c r="BB47" s="1545"/>
      <c r="BC47" s="3584"/>
      <c r="BD47" s="1545"/>
      <c r="BE47" s="1545"/>
      <c r="BF47" s="3584">
        <v>170555</v>
      </c>
      <c r="BG47" s="3584"/>
      <c r="BH47" s="3611">
        <f>1+10</f>
        <v>11</v>
      </c>
      <c r="BI47" s="3605">
        <f>SUM(X47:X53)</f>
        <v>418647074</v>
      </c>
      <c r="BJ47" s="3605">
        <f>Y47+Y50+Y51+Y53+Y48+Y49+Y52</f>
        <v>33687000</v>
      </c>
      <c r="BK47" s="3627">
        <f>+BJ47/BI47</f>
        <v>8.046634526340915E-2</v>
      </c>
      <c r="BL47" s="1535">
        <v>47</v>
      </c>
      <c r="BM47" s="3580" t="s">
        <v>1703</v>
      </c>
      <c r="BN47" s="3596">
        <v>43466</v>
      </c>
      <c r="BO47" s="3596">
        <v>43502</v>
      </c>
      <c r="BP47" s="3596">
        <v>43830</v>
      </c>
      <c r="BQ47" s="3596">
        <v>43812</v>
      </c>
      <c r="BR47" s="3568" t="s">
        <v>1637</v>
      </c>
    </row>
    <row r="48" spans="1:70" s="1619" customFormat="1" ht="50.25" customHeight="1" x14ac:dyDescent="0.2">
      <c r="A48" s="1614"/>
      <c r="B48" s="1615"/>
      <c r="C48" s="1615"/>
      <c r="D48" s="1617"/>
      <c r="E48" s="3573"/>
      <c r="F48" s="3574"/>
      <c r="G48" s="1631"/>
      <c r="H48" s="3573"/>
      <c r="I48" s="3574"/>
      <c r="J48" s="3578"/>
      <c r="K48" s="3581"/>
      <c r="L48" s="3581"/>
      <c r="M48" s="3578"/>
      <c r="N48" s="3578"/>
      <c r="O48" s="3588"/>
      <c r="P48" s="3569"/>
      <c r="Q48" s="3581"/>
      <c r="R48" s="3615"/>
      <c r="S48" s="3639"/>
      <c r="T48" s="3581"/>
      <c r="U48" s="3581"/>
      <c r="V48" s="3569"/>
      <c r="W48" s="1699">
        <v>61380526</v>
      </c>
      <c r="X48" s="1705">
        <v>61380000</v>
      </c>
      <c r="Y48" s="1692"/>
      <c r="Z48" s="1527">
        <v>20</v>
      </c>
      <c r="AA48" s="1646" t="s">
        <v>1704</v>
      </c>
      <c r="AB48" s="3569"/>
      <c r="AC48" s="3569"/>
      <c r="AD48" s="3569"/>
      <c r="AE48" s="3569"/>
      <c r="AF48" s="3585"/>
      <c r="AG48" s="1546"/>
      <c r="AH48" s="3585"/>
      <c r="AI48" s="3585"/>
      <c r="AJ48" s="3585"/>
      <c r="AK48" s="3585"/>
      <c r="AL48" s="3585"/>
      <c r="AM48" s="1546"/>
      <c r="AN48" s="3585"/>
      <c r="AO48" s="3585"/>
      <c r="AP48" s="3585"/>
      <c r="AQ48" s="1546"/>
      <c r="AR48" s="3585"/>
      <c r="AS48" s="1546"/>
      <c r="AT48" s="3585"/>
      <c r="AU48" s="1546"/>
      <c r="AV48" s="3585"/>
      <c r="AW48" s="1546"/>
      <c r="AX48" s="1546"/>
      <c r="AY48" s="1546"/>
      <c r="AZ48" s="1546"/>
      <c r="BA48" s="1546"/>
      <c r="BB48" s="1546"/>
      <c r="BC48" s="3585"/>
      <c r="BD48" s="1546"/>
      <c r="BE48" s="1546"/>
      <c r="BF48" s="3585"/>
      <c r="BG48" s="3585"/>
      <c r="BH48" s="3612"/>
      <c r="BI48" s="3606"/>
      <c r="BJ48" s="3606"/>
      <c r="BK48" s="3628"/>
      <c r="BL48" s="1527">
        <v>20</v>
      </c>
      <c r="BM48" s="3581"/>
      <c r="BN48" s="3597"/>
      <c r="BO48" s="3597"/>
      <c r="BP48" s="3597"/>
      <c r="BQ48" s="3597"/>
      <c r="BR48" s="3569"/>
    </row>
    <row r="49" spans="1:84" s="1619" customFormat="1" ht="50.25" customHeight="1" x14ac:dyDescent="0.2">
      <c r="A49" s="1614"/>
      <c r="B49" s="1615"/>
      <c r="C49" s="1615"/>
      <c r="D49" s="1617"/>
      <c r="E49" s="3573"/>
      <c r="F49" s="3574"/>
      <c r="G49" s="1631"/>
      <c r="H49" s="3573"/>
      <c r="I49" s="3574"/>
      <c r="J49" s="3578"/>
      <c r="K49" s="3581"/>
      <c r="L49" s="3581"/>
      <c r="M49" s="3578"/>
      <c r="N49" s="3578"/>
      <c r="O49" s="3588"/>
      <c r="P49" s="3569"/>
      <c r="Q49" s="3581"/>
      <c r="R49" s="3615"/>
      <c r="S49" s="3639"/>
      <c r="T49" s="3581"/>
      <c r="U49" s="3581"/>
      <c r="V49" s="3570"/>
      <c r="W49" s="1706">
        <f>0+219596501</f>
        <v>219596501</v>
      </c>
      <c r="X49" s="1707">
        <v>135656591</v>
      </c>
      <c r="Y49" s="1692">
        <f>19355000</f>
        <v>19355000</v>
      </c>
      <c r="Z49" s="1547">
        <v>93</v>
      </c>
      <c r="AA49" s="1627" t="s">
        <v>1705</v>
      </c>
      <c r="AB49" s="3569"/>
      <c r="AC49" s="3569"/>
      <c r="AD49" s="3569"/>
      <c r="AE49" s="3569"/>
      <c r="AF49" s="3585"/>
      <c r="AG49" s="1546"/>
      <c r="AH49" s="3585"/>
      <c r="AI49" s="3585"/>
      <c r="AJ49" s="3585"/>
      <c r="AK49" s="3585"/>
      <c r="AL49" s="3585"/>
      <c r="AM49" s="1546"/>
      <c r="AN49" s="3585"/>
      <c r="AO49" s="3585"/>
      <c r="AP49" s="3585"/>
      <c r="AQ49" s="1546"/>
      <c r="AR49" s="3585"/>
      <c r="AS49" s="1546"/>
      <c r="AT49" s="3585"/>
      <c r="AU49" s="1546"/>
      <c r="AV49" s="3585"/>
      <c r="AW49" s="1546"/>
      <c r="AX49" s="1546"/>
      <c r="AY49" s="1546"/>
      <c r="AZ49" s="1546"/>
      <c r="BA49" s="1546"/>
      <c r="BB49" s="1546"/>
      <c r="BC49" s="3585"/>
      <c r="BD49" s="1546"/>
      <c r="BE49" s="1546"/>
      <c r="BF49" s="3585"/>
      <c r="BG49" s="3585"/>
      <c r="BH49" s="3612"/>
      <c r="BI49" s="3606"/>
      <c r="BJ49" s="3606"/>
      <c r="BK49" s="3628"/>
      <c r="BL49" s="1547">
        <v>93</v>
      </c>
      <c r="BM49" s="3581"/>
      <c r="BN49" s="3597"/>
      <c r="BO49" s="3597"/>
      <c r="BP49" s="3597"/>
      <c r="BQ49" s="3597"/>
      <c r="BR49" s="3569"/>
    </row>
    <row r="50" spans="1:84" s="1619" customFormat="1" ht="36" customHeight="1" x14ac:dyDescent="0.2">
      <c r="A50" s="1614"/>
      <c r="B50" s="1615"/>
      <c r="C50" s="1615"/>
      <c r="D50" s="1617"/>
      <c r="E50" s="3573"/>
      <c r="F50" s="3574"/>
      <c r="G50" s="1631"/>
      <c r="H50" s="3573"/>
      <c r="I50" s="3574"/>
      <c r="J50" s="3578"/>
      <c r="K50" s="3581"/>
      <c r="L50" s="3581"/>
      <c r="M50" s="3578"/>
      <c r="N50" s="3578"/>
      <c r="O50" s="3588"/>
      <c r="P50" s="3569"/>
      <c r="Q50" s="3581"/>
      <c r="R50" s="3615"/>
      <c r="S50" s="3639"/>
      <c r="T50" s="3581"/>
      <c r="U50" s="3581"/>
      <c r="V50" s="1623" t="s">
        <v>1706</v>
      </c>
      <c r="W50" s="1708">
        <v>1000000</v>
      </c>
      <c r="X50" s="1709"/>
      <c r="Y50" s="1692"/>
      <c r="Z50" s="1548">
        <v>47</v>
      </c>
      <c r="AA50" s="1627" t="s">
        <v>1702</v>
      </c>
      <c r="AB50" s="3569"/>
      <c r="AC50" s="3569"/>
      <c r="AD50" s="3569"/>
      <c r="AE50" s="3569"/>
      <c r="AF50" s="3585"/>
      <c r="AG50" s="1546"/>
      <c r="AH50" s="3585"/>
      <c r="AI50" s="3585"/>
      <c r="AJ50" s="3585"/>
      <c r="AK50" s="3585"/>
      <c r="AL50" s="3585"/>
      <c r="AM50" s="1546"/>
      <c r="AN50" s="3585"/>
      <c r="AO50" s="3585"/>
      <c r="AP50" s="3585"/>
      <c r="AQ50" s="1546"/>
      <c r="AR50" s="3585"/>
      <c r="AS50" s="1546"/>
      <c r="AT50" s="3585"/>
      <c r="AU50" s="1546"/>
      <c r="AV50" s="3585"/>
      <c r="AW50" s="1546"/>
      <c r="AX50" s="1546"/>
      <c r="AY50" s="1546"/>
      <c r="AZ50" s="1546"/>
      <c r="BA50" s="1546"/>
      <c r="BB50" s="1546"/>
      <c r="BC50" s="3585"/>
      <c r="BD50" s="1546"/>
      <c r="BE50" s="1546"/>
      <c r="BF50" s="3585"/>
      <c r="BG50" s="3585"/>
      <c r="BH50" s="3612"/>
      <c r="BI50" s="3606"/>
      <c r="BJ50" s="3606"/>
      <c r="BK50" s="3628"/>
      <c r="BL50" s="1548">
        <v>47</v>
      </c>
      <c r="BM50" s="3581"/>
      <c r="BN50" s="3597"/>
      <c r="BO50" s="3600"/>
      <c r="BP50" s="3597"/>
      <c r="BQ50" s="3600"/>
      <c r="BR50" s="3569"/>
    </row>
    <row r="51" spans="1:84" s="1619" customFormat="1" ht="48.75" customHeight="1" x14ac:dyDescent="0.2">
      <c r="A51" s="1614"/>
      <c r="B51" s="1615"/>
      <c r="C51" s="1615"/>
      <c r="D51" s="1617"/>
      <c r="E51" s="3573"/>
      <c r="F51" s="3574"/>
      <c r="G51" s="1631"/>
      <c r="H51" s="3573"/>
      <c r="I51" s="3574"/>
      <c r="J51" s="3578"/>
      <c r="K51" s="3581"/>
      <c r="L51" s="3581"/>
      <c r="M51" s="3578"/>
      <c r="N51" s="3578"/>
      <c r="O51" s="3588"/>
      <c r="P51" s="3569"/>
      <c r="Q51" s="3581"/>
      <c r="R51" s="3615"/>
      <c r="S51" s="3639"/>
      <c r="T51" s="3581"/>
      <c r="U51" s="3582"/>
      <c r="V51" s="1632" t="s">
        <v>1707</v>
      </c>
      <c r="W51" s="1710">
        <f>33800000+5613000</f>
        <v>39413000</v>
      </c>
      <c r="X51" s="1704">
        <v>17915000</v>
      </c>
      <c r="Y51" s="1692">
        <f>3583000+3583000+3583000+3583000</f>
        <v>14332000</v>
      </c>
      <c r="Z51" s="1535">
        <v>20</v>
      </c>
      <c r="AA51" s="1627" t="s">
        <v>1704</v>
      </c>
      <c r="AB51" s="3569"/>
      <c r="AC51" s="3569"/>
      <c r="AD51" s="3569"/>
      <c r="AE51" s="3569"/>
      <c r="AF51" s="3585"/>
      <c r="AG51" s="1546"/>
      <c r="AH51" s="3585"/>
      <c r="AI51" s="3585"/>
      <c r="AJ51" s="3585"/>
      <c r="AK51" s="3585"/>
      <c r="AL51" s="3585"/>
      <c r="AM51" s="1546"/>
      <c r="AN51" s="3585"/>
      <c r="AO51" s="3585"/>
      <c r="AP51" s="3585"/>
      <c r="AQ51" s="1546"/>
      <c r="AR51" s="3585"/>
      <c r="AS51" s="1546"/>
      <c r="AT51" s="3585"/>
      <c r="AU51" s="1546"/>
      <c r="AV51" s="3585"/>
      <c r="AW51" s="1546"/>
      <c r="AX51" s="1546"/>
      <c r="AY51" s="1546"/>
      <c r="AZ51" s="1546"/>
      <c r="BA51" s="1546"/>
      <c r="BB51" s="1546"/>
      <c r="BC51" s="3585"/>
      <c r="BD51" s="1546"/>
      <c r="BE51" s="1546"/>
      <c r="BF51" s="3585"/>
      <c r="BG51" s="3585"/>
      <c r="BH51" s="3612"/>
      <c r="BI51" s="3606"/>
      <c r="BJ51" s="3606"/>
      <c r="BK51" s="3628"/>
      <c r="BL51" s="1535">
        <v>20</v>
      </c>
      <c r="BM51" s="3581"/>
      <c r="BN51" s="3597"/>
      <c r="BO51" s="3600"/>
      <c r="BP51" s="3597"/>
      <c r="BQ51" s="3600"/>
      <c r="BR51" s="3569"/>
    </row>
    <row r="52" spans="1:84" s="1619" customFormat="1" ht="36" customHeight="1" x14ac:dyDescent="0.2">
      <c r="A52" s="1614"/>
      <c r="B52" s="1615"/>
      <c r="C52" s="1615"/>
      <c r="D52" s="1617"/>
      <c r="E52" s="3573"/>
      <c r="F52" s="3574"/>
      <c r="G52" s="1631"/>
      <c r="H52" s="3573"/>
      <c r="I52" s="3574"/>
      <c r="J52" s="3578"/>
      <c r="K52" s="3581"/>
      <c r="L52" s="3581"/>
      <c r="M52" s="3578"/>
      <c r="N52" s="3578"/>
      <c r="O52" s="3588"/>
      <c r="P52" s="3569"/>
      <c r="Q52" s="3581"/>
      <c r="R52" s="3615"/>
      <c r="S52" s="3639"/>
      <c r="T52" s="3581"/>
      <c r="U52" s="3568" t="s">
        <v>1708</v>
      </c>
      <c r="V52" s="3587" t="s">
        <v>1709</v>
      </c>
      <c r="W52" s="1711">
        <f>54000000-5613000</f>
        <v>48387000</v>
      </c>
      <c r="X52" s="1704">
        <v>48387000</v>
      </c>
      <c r="Y52" s="1692"/>
      <c r="Z52" s="1535">
        <v>20</v>
      </c>
      <c r="AA52" s="1627" t="s">
        <v>1704</v>
      </c>
      <c r="AB52" s="3569"/>
      <c r="AC52" s="3569"/>
      <c r="AD52" s="3569"/>
      <c r="AE52" s="3569"/>
      <c r="AF52" s="3585"/>
      <c r="AG52" s="1546"/>
      <c r="AH52" s="3585"/>
      <c r="AI52" s="3585"/>
      <c r="AJ52" s="3585"/>
      <c r="AK52" s="3585"/>
      <c r="AL52" s="3585"/>
      <c r="AM52" s="1546"/>
      <c r="AN52" s="3585"/>
      <c r="AO52" s="3585"/>
      <c r="AP52" s="3585"/>
      <c r="AQ52" s="1546"/>
      <c r="AR52" s="3585"/>
      <c r="AS52" s="1546"/>
      <c r="AT52" s="3585"/>
      <c r="AU52" s="1546"/>
      <c r="AV52" s="3585"/>
      <c r="AW52" s="1546"/>
      <c r="AX52" s="1546"/>
      <c r="AY52" s="1546"/>
      <c r="AZ52" s="1546"/>
      <c r="BA52" s="1546"/>
      <c r="BB52" s="1546"/>
      <c r="BC52" s="3585"/>
      <c r="BD52" s="1546"/>
      <c r="BE52" s="1546"/>
      <c r="BF52" s="3585"/>
      <c r="BG52" s="3585"/>
      <c r="BH52" s="3612"/>
      <c r="BI52" s="3606"/>
      <c r="BJ52" s="3606"/>
      <c r="BK52" s="3628"/>
      <c r="BL52" s="1535">
        <v>20</v>
      </c>
      <c r="BM52" s="3581"/>
      <c r="BN52" s="3597"/>
      <c r="BO52" s="3600"/>
      <c r="BP52" s="3597"/>
      <c r="BQ52" s="3600"/>
      <c r="BR52" s="3569"/>
    </row>
    <row r="53" spans="1:84" s="1619" customFormat="1" ht="41.25" customHeight="1" x14ac:dyDescent="0.2">
      <c r="A53" s="1614"/>
      <c r="B53" s="1615"/>
      <c r="C53" s="1615"/>
      <c r="D53" s="1617"/>
      <c r="E53" s="3573"/>
      <c r="F53" s="3574"/>
      <c r="G53" s="1631"/>
      <c r="H53" s="3575"/>
      <c r="I53" s="3576"/>
      <c r="J53" s="3579"/>
      <c r="K53" s="3582"/>
      <c r="L53" s="3582"/>
      <c r="M53" s="3579"/>
      <c r="N53" s="3579"/>
      <c r="O53" s="3589"/>
      <c r="P53" s="3570"/>
      <c r="Q53" s="3582"/>
      <c r="R53" s="3616"/>
      <c r="S53" s="3640"/>
      <c r="T53" s="3582"/>
      <c r="U53" s="3570"/>
      <c r="V53" s="3589"/>
      <c r="W53" s="1695">
        <v>6000000</v>
      </c>
      <c r="X53" s="1704">
        <v>6000000</v>
      </c>
      <c r="Y53" s="1701"/>
      <c r="Z53" s="1535">
        <v>47</v>
      </c>
      <c r="AA53" s="1549" t="s">
        <v>1710</v>
      </c>
      <c r="AB53" s="3570"/>
      <c r="AC53" s="3570"/>
      <c r="AD53" s="3570"/>
      <c r="AE53" s="3570"/>
      <c r="AF53" s="3586"/>
      <c r="AG53" s="1550"/>
      <c r="AH53" s="3586"/>
      <c r="AI53" s="3586"/>
      <c r="AJ53" s="3586"/>
      <c r="AK53" s="3586"/>
      <c r="AL53" s="3586"/>
      <c r="AM53" s="1550"/>
      <c r="AN53" s="3586"/>
      <c r="AO53" s="3586"/>
      <c r="AP53" s="3586"/>
      <c r="AQ53" s="1550"/>
      <c r="AR53" s="3586"/>
      <c r="AS53" s="1550"/>
      <c r="AT53" s="3586"/>
      <c r="AU53" s="1550"/>
      <c r="AV53" s="3586"/>
      <c r="AW53" s="1550"/>
      <c r="AX53" s="1550"/>
      <c r="AY53" s="1550"/>
      <c r="AZ53" s="1550"/>
      <c r="BA53" s="1550"/>
      <c r="BB53" s="1550"/>
      <c r="BC53" s="3586"/>
      <c r="BD53" s="1550"/>
      <c r="BE53" s="1550"/>
      <c r="BF53" s="3586"/>
      <c r="BG53" s="3586"/>
      <c r="BH53" s="3613"/>
      <c r="BI53" s="3607"/>
      <c r="BJ53" s="3607"/>
      <c r="BK53" s="3629"/>
      <c r="BL53" s="1535">
        <v>47</v>
      </c>
      <c r="BM53" s="3582"/>
      <c r="BN53" s="3598"/>
      <c r="BO53" s="3601"/>
      <c r="BP53" s="3598"/>
      <c r="BQ53" s="3601"/>
      <c r="BR53" s="3570"/>
    </row>
    <row r="54" spans="1:84" s="1630" customFormat="1" ht="15" customHeight="1" x14ac:dyDescent="0.2">
      <c r="A54" s="1647"/>
      <c r="B54" s="1648"/>
      <c r="C54" s="1648"/>
      <c r="D54" s="1553"/>
      <c r="E54" s="3573"/>
      <c r="F54" s="3574"/>
      <c r="G54" s="1628">
        <v>32</v>
      </c>
      <c r="H54" s="3634" t="s">
        <v>1694</v>
      </c>
      <c r="I54" s="3635"/>
      <c r="J54" s="3635"/>
      <c r="K54" s="3635"/>
      <c r="L54" s="3635"/>
      <c r="M54" s="1530"/>
      <c r="N54" s="1530"/>
      <c r="O54" s="1530"/>
      <c r="P54" s="1530"/>
      <c r="Q54" s="1629"/>
      <c r="R54" s="1530"/>
      <c r="S54" s="1532"/>
      <c r="T54" s="1629"/>
      <c r="U54" s="1629"/>
      <c r="V54" s="1629"/>
      <c r="W54" s="1697"/>
      <c r="X54" s="1697"/>
      <c r="Y54" s="1697"/>
      <c r="Z54" s="1531"/>
      <c r="AA54" s="1551"/>
      <c r="AB54" s="1530"/>
      <c r="AC54" s="1530"/>
      <c r="AD54" s="1530"/>
      <c r="AE54" s="1530"/>
      <c r="AF54" s="1530"/>
      <c r="AG54" s="1530"/>
      <c r="AH54" s="1530"/>
      <c r="AI54" s="1530"/>
      <c r="AJ54" s="1530"/>
      <c r="AK54" s="1530"/>
      <c r="AL54" s="1530"/>
      <c r="AM54" s="1530"/>
      <c r="AN54" s="1530"/>
      <c r="AO54" s="1530"/>
      <c r="AP54" s="1530"/>
      <c r="AQ54" s="1530"/>
      <c r="AR54" s="1530"/>
      <c r="AS54" s="1530"/>
      <c r="AT54" s="1530"/>
      <c r="AU54" s="1530"/>
      <c r="AV54" s="1530"/>
      <c r="AW54" s="1530"/>
      <c r="AX54" s="1530"/>
      <c r="AY54" s="1530"/>
      <c r="AZ54" s="1530"/>
      <c r="BA54" s="1530"/>
      <c r="BB54" s="1530"/>
      <c r="BC54" s="1530"/>
      <c r="BD54" s="1530"/>
      <c r="BE54" s="1530"/>
      <c r="BF54" s="1530"/>
      <c r="BG54" s="1530"/>
      <c r="BH54" s="1531"/>
      <c r="BI54" s="1532"/>
      <c r="BJ54" s="1533"/>
      <c r="BK54" s="1530"/>
      <c r="BL54" s="1530"/>
      <c r="BM54" s="1530"/>
      <c r="BN54" s="1530"/>
      <c r="BO54" s="1530"/>
      <c r="BP54" s="1530"/>
      <c r="BQ54" s="1530"/>
      <c r="BR54" s="1534"/>
    </row>
    <row r="55" spans="1:84" s="1619" customFormat="1" ht="54.75" customHeight="1" x14ac:dyDescent="0.2">
      <c r="A55" s="1614"/>
      <c r="B55" s="1615"/>
      <c r="C55" s="1615"/>
      <c r="D55" s="1617"/>
      <c r="E55" s="3573"/>
      <c r="F55" s="3574"/>
      <c r="G55" s="1631"/>
      <c r="H55" s="3571"/>
      <c r="I55" s="3572"/>
      <c r="J55" s="3577">
        <v>120</v>
      </c>
      <c r="K55" s="3620" t="s">
        <v>1711</v>
      </c>
      <c r="L55" s="3580" t="s">
        <v>1641</v>
      </c>
      <c r="M55" s="3577">
        <v>2</v>
      </c>
      <c r="N55" s="3577">
        <v>1</v>
      </c>
      <c r="O55" s="3587" t="s">
        <v>1712</v>
      </c>
      <c r="P55" s="3568" t="s">
        <v>1713</v>
      </c>
      <c r="Q55" s="3580" t="s">
        <v>1714</v>
      </c>
      <c r="R55" s="3614">
        <f>(W55+W56)/S55</f>
        <v>0.19501697732997481</v>
      </c>
      <c r="S55" s="3638">
        <f>W55+W59+W56+W57+W58</f>
        <v>79400000</v>
      </c>
      <c r="T55" s="3580" t="s">
        <v>1715</v>
      </c>
      <c r="U55" s="3641" t="s">
        <v>1716</v>
      </c>
      <c r="V55" s="1632" t="s">
        <v>1717</v>
      </c>
      <c r="W55" s="1712">
        <f>20000000-7000000</f>
        <v>13000000</v>
      </c>
      <c r="X55" s="1691">
        <v>13000000</v>
      </c>
      <c r="Y55" s="1691"/>
      <c r="Z55" s="1649">
        <v>20</v>
      </c>
      <c r="AA55" s="1549" t="s">
        <v>71</v>
      </c>
      <c r="AB55" s="3568">
        <v>142127</v>
      </c>
      <c r="AC55" s="3568"/>
      <c r="AD55" s="3568">
        <v>142127</v>
      </c>
      <c r="AE55" s="1552"/>
      <c r="AF55" s="3584">
        <v>85276</v>
      </c>
      <c r="AG55" s="1545"/>
      <c r="AH55" s="3584">
        <v>85276</v>
      </c>
      <c r="AI55" s="3584"/>
      <c r="AJ55" s="3584">
        <v>99489</v>
      </c>
      <c r="AK55" s="1545"/>
      <c r="AL55" s="3584">
        <v>14213</v>
      </c>
      <c r="AM55" s="1545"/>
      <c r="AN55" s="3584"/>
      <c r="AO55" s="3584"/>
      <c r="AP55" s="3584"/>
      <c r="AQ55" s="1545"/>
      <c r="AR55" s="3584"/>
      <c r="AS55" s="1545"/>
      <c r="AT55" s="3584"/>
      <c r="AU55" s="1545"/>
      <c r="AV55" s="3584"/>
      <c r="AW55" s="1545"/>
      <c r="AX55" s="1545"/>
      <c r="AY55" s="1545"/>
      <c r="AZ55" s="1545"/>
      <c r="BA55" s="1545"/>
      <c r="BB55" s="1545"/>
      <c r="BC55" s="1545"/>
      <c r="BD55" s="1545"/>
      <c r="BE55" s="1545"/>
      <c r="BF55" s="3584">
        <f>+AB55+AD55</f>
        <v>284254</v>
      </c>
      <c r="BG55" s="3584"/>
      <c r="BH55" s="3611">
        <f>2+2</f>
        <v>4</v>
      </c>
      <c r="BI55" s="3605">
        <f>SUM(X55:X59)</f>
        <v>48256300</v>
      </c>
      <c r="BJ55" s="3605">
        <f>SUM(Y55:Y59)</f>
        <v>24388300</v>
      </c>
      <c r="BK55" s="3627">
        <f>BJ55/BI55</f>
        <v>0.50539100594119313</v>
      </c>
      <c r="BL55" s="1535">
        <v>20</v>
      </c>
      <c r="BM55" s="3580" t="s">
        <v>1718</v>
      </c>
      <c r="BN55" s="3596">
        <v>43466</v>
      </c>
      <c r="BO55" s="3596">
        <v>43489</v>
      </c>
      <c r="BP55" s="3596">
        <v>43830</v>
      </c>
      <c r="BQ55" s="3596">
        <v>43812</v>
      </c>
      <c r="BR55" s="3568" t="s">
        <v>1637</v>
      </c>
    </row>
    <row r="56" spans="1:84" s="1619" customFormat="1" ht="71.25" customHeight="1" x14ac:dyDescent="0.2">
      <c r="A56" s="1614"/>
      <c r="B56" s="1615"/>
      <c r="C56" s="1615"/>
      <c r="D56" s="1617"/>
      <c r="E56" s="3573"/>
      <c r="F56" s="3574"/>
      <c r="G56" s="1631"/>
      <c r="H56" s="3573"/>
      <c r="I56" s="3574"/>
      <c r="J56" s="3578"/>
      <c r="K56" s="3621"/>
      <c r="L56" s="3581"/>
      <c r="M56" s="3579"/>
      <c r="N56" s="3579"/>
      <c r="O56" s="3588"/>
      <c r="P56" s="3569"/>
      <c r="Q56" s="3581"/>
      <c r="R56" s="3615"/>
      <c r="S56" s="3639"/>
      <c r="T56" s="3581"/>
      <c r="U56" s="3641"/>
      <c r="V56" s="1650" t="s">
        <v>1719</v>
      </c>
      <c r="W56" s="1713">
        <v>2484348</v>
      </c>
      <c r="X56" s="1691">
        <v>2484000</v>
      </c>
      <c r="Y56" s="1691">
        <v>2484000</v>
      </c>
      <c r="Z56" s="1649">
        <v>20</v>
      </c>
      <c r="AA56" s="1549" t="s">
        <v>71</v>
      </c>
      <c r="AB56" s="3569"/>
      <c r="AC56" s="3569"/>
      <c r="AD56" s="3569"/>
      <c r="AE56" s="1553"/>
      <c r="AF56" s="3585"/>
      <c r="AG56" s="1546"/>
      <c r="AH56" s="3585"/>
      <c r="AI56" s="3585"/>
      <c r="AJ56" s="3585"/>
      <c r="AK56" s="1546"/>
      <c r="AL56" s="3585"/>
      <c r="AM56" s="1546"/>
      <c r="AN56" s="3585"/>
      <c r="AO56" s="3585"/>
      <c r="AP56" s="3585"/>
      <c r="AQ56" s="1546"/>
      <c r="AR56" s="3585"/>
      <c r="AS56" s="1546"/>
      <c r="AT56" s="3585"/>
      <c r="AU56" s="1546"/>
      <c r="AV56" s="3585"/>
      <c r="AW56" s="1546"/>
      <c r="AX56" s="1546"/>
      <c r="AY56" s="1546"/>
      <c r="AZ56" s="1546"/>
      <c r="BA56" s="1546"/>
      <c r="BB56" s="1546"/>
      <c r="BC56" s="1546"/>
      <c r="BD56" s="1546"/>
      <c r="BE56" s="1546"/>
      <c r="BF56" s="3585"/>
      <c r="BG56" s="3585"/>
      <c r="BH56" s="3612"/>
      <c r="BI56" s="3606"/>
      <c r="BJ56" s="3606"/>
      <c r="BK56" s="3628"/>
      <c r="BL56" s="1535">
        <v>20</v>
      </c>
      <c r="BM56" s="3581"/>
      <c r="BN56" s="3597"/>
      <c r="BO56" s="3600"/>
      <c r="BP56" s="3597"/>
      <c r="BQ56" s="3600"/>
      <c r="BR56" s="3569"/>
    </row>
    <row r="57" spans="1:84" s="1619" customFormat="1" ht="39.75" customHeight="1" x14ac:dyDescent="0.2">
      <c r="A57" s="1614"/>
      <c r="B57" s="1615"/>
      <c r="C57" s="1615"/>
      <c r="D57" s="1617"/>
      <c r="E57" s="3573"/>
      <c r="F57" s="3574"/>
      <c r="G57" s="1631"/>
      <c r="H57" s="3573"/>
      <c r="I57" s="3574"/>
      <c r="J57" s="3577">
        <v>121</v>
      </c>
      <c r="K57" s="3620" t="s">
        <v>1720</v>
      </c>
      <c r="L57" s="3581"/>
      <c r="M57" s="3577">
        <v>4</v>
      </c>
      <c r="N57" s="3577">
        <v>3</v>
      </c>
      <c r="O57" s="3588"/>
      <c r="P57" s="3569"/>
      <c r="Q57" s="3581"/>
      <c r="R57" s="3614">
        <f>(W57+W58+W59)/S55</f>
        <v>0.80498302267002519</v>
      </c>
      <c r="S57" s="3639"/>
      <c r="T57" s="3581"/>
      <c r="U57" s="3620" t="s">
        <v>1721</v>
      </c>
      <c r="V57" s="1650" t="s">
        <v>1722</v>
      </c>
      <c r="W57" s="1713">
        <f>5558000-5558000</f>
        <v>0</v>
      </c>
      <c r="X57" s="1691"/>
      <c r="Y57" s="1691"/>
      <c r="Z57" s="1649">
        <v>20</v>
      </c>
      <c r="AA57" s="1549" t="s">
        <v>71</v>
      </c>
      <c r="AB57" s="3569"/>
      <c r="AC57" s="3569"/>
      <c r="AD57" s="3569"/>
      <c r="AE57" s="1553"/>
      <c r="AF57" s="3585"/>
      <c r="AG57" s="1546"/>
      <c r="AH57" s="3585"/>
      <c r="AI57" s="3585"/>
      <c r="AJ57" s="3585"/>
      <c r="AK57" s="1546"/>
      <c r="AL57" s="3585"/>
      <c r="AM57" s="1546"/>
      <c r="AN57" s="3585"/>
      <c r="AO57" s="3585"/>
      <c r="AP57" s="3585"/>
      <c r="AQ57" s="1546"/>
      <c r="AR57" s="3585"/>
      <c r="AS57" s="1546"/>
      <c r="AT57" s="3585"/>
      <c r="AU57" s="1546"/>
      <c r="AV57" s="3585"/>
      <c r="AW57" s="1546"/>
      <c r="AX57" s="1546"/>
      <c r="AY57" s="1546"/>
      <c r="AZ57" s="1546"/>
      <c r="BA57" s="1546"/>
      <c r="BB57" s="1546"/>
      <c r="BC57" s="1546"/>
      <c r="BD57" s="1546"/>
      <c r="BE57" s="1546"/>
      <c r="BF57" s="3585"/>
      <c r="BG57" s="3585"/>
      <c r="BH57" s="3612"/>
      <c r="BI57" s="3606"/>
      <c r="BJ57" s="3606"/>
      <c r="BK57" s="3628"/>
      <c r="BL57" s="1535">
        <v>20</v>
      </c>
      <c r="BM57" s="3581"/>
      <c r="BN57" s="3597"/>
      <c r="BO57" s="3600"/>
      <c r="BP57" s="3597"/>
      <c r="BQ57" s="3600"/>
      <c r="BR57" s="3569"/>
    </row>
    <row r="58" spans="1:84" s="1619" customFormat="1" ht="52.5" customHeight="1" x14ac:dyDescent="0.2">
      <c r="A58" s="1614"/>
      <c r="B58" s="1615"/>
      <c r="C58" s="1615"/>
      <c r="D58" s="1617"/>
      <c r="E58" s="3573"/>
      <c r="F58" s="3574"/>
      <c r="G58" s="1631"/>
      <c r="H58" s="3573"/>
      <c r="I58" s="3574"/>
      <c r="J58" s="3578"/>
      <c r="K58" s="3621"/>
      <c r="L58" s="3581"/>
      <c r="M58" s="3578"/>
      <c r="N58" s="3578"/>
      <c r="O58" s="3588"/>
      <c r="P58" s="3569"/>
      <c r="Q58" s="3581"/>
      <c r="R58" s="3615"/>
      <c r="S58" s="3639"/>
      <c r="T58" s="3581"/>
      <c r="U58" s="3621"/>
      <c r="V58" s="1650" t="s">
        <v>1723</v>
      </c>
      <c r="W58" s="1713">
        <v>53047652</v>
      </c>
      <c r="X58" s="1692">
        <v>21904300</v>
      </c>
      <c r="Y58" s="1692">
        <f>7166000+5374000+1791000+836033+6737267</f>
        <v>21904300</v>
      </c>
      <c r="Z58" s="1649">
        <v>20</v>
      </c>
      <c r="AA58" s="1549" t="s">
        <v>71</v>
      </c>
      <c r="AB58" s="3569"/>
      <c r="AC58" s="3569"/>
      <c r="AD58" s="3569"/>
      <c r="AE58" s="1553"/>
      <c r="AF58" s="3585"/>
      <c r="AG58" s="1546"/>
      <c r="AH58" s="3585"/>
      <c r="AI58" s="3585"/>
      <c r="AJ58" s="3585"/>
      <c r="AK58" s="1546"/>
      <c r="AL58" s="3585"/>
      <c r="AM58" s="1546"/>
      <c r="AN58" s="3585"/>
      <c r="AO58" s="3585"/>
      <c r="AP58" s="3585"/>
      <c r="AQ58" s="1546"/>
      <c r="AR58" s="3585"/>
      <c r="AS58" s="1546"/>
      <c r="AT58" s="3585"/>
      <c r="AU58" s="1546"/>
      <c r="AV58" s="3585"/>
      <c r="AW58" s="1546"/>
      <c r="AX58" s="1546"/>
      <c r="AY58" s="1546"/>
      <c r="AZ58" s="1546"/>
      <c r="BA58" s="1546"/>
      <c r="BB58" s="1546"/>
      <c r="BC58" s="1546"/>
      <c r="BD58" s="1546"/>
      <c r="BE58" s="1546"/>
      <c r="BF58" s="3585"/>
      <c r="BG58" s="3585"/>
      <c r="BH58" s="3612"/>
      <c r="BI58" s="3606"/>
      <c r="BJ58" s="3606"/>
      <c r="BK58" s="3628"/>
      <c r="BL58" s="1535">
        <v>20</v>
      </c>
      <c r="BM58" s="3581"/>
      <c r="BN58" s="3597"/>
      <c r="BO58" s="3600"/>
      <c r="BP58" s="3597"/>
      <c r="BQ58" s="3600"/>
      <c r="BR58" s="3569"/>
    </row>
    <row r="59" spans="1:84" s="1630" customFormat="1" ht="32.25" customHeight="1" thickBot="1" x14ac:dyDescent="0.25">
      <c r="A59" s="1614"/>
      <c r="B59" s="1615"/>
      <c r="C59" s="1615"/>
      <c r="D59" s="1617"/>
      <c r="E59" s="3573"/>
      <c r="F59" s="3574"/>
      <c r="G59" s="1631"/>
      <c r="H59" s="3573"/>
      <c r="I59" s="3574"/>
      <c r="J59" s="3578"/>
      <c r="K59" s="3621"/>
      <c r="L59" s="3581"/>
      <c r="M59" s="3644"/>
      <c r="N59" s="3578"/>
      <c r="O59" s="3588"/>
      <c r="P59" s="3569"/>
      <c r="Q59" s="3581"/>
      <c r="R59" s="3615"/>
      <c r="S59" s="3639"/>
      <c r="T59" s="3581"/>
      <c r="U59" s="3621"/>
      <c r="V59" s="1651" t="s">
        <v>1724</v>
      </c>
      <c r="W59" s="1714">
        <f>2382000+8486000</f>
        <v>10868000</v>
      </c>
      <c r="X59" s="1693">
        <v>10868000</v>
      </c>
      <c r="Y59" s="1693"/>
      <c r="Z59" s="1688">
        <v>20</v>
      </c>
      <c r="AA59" s="1552" t="s">
        <v>71</v>
      </c>
      <c r="AB59" s="3569"/>
      <c r="AC59" s="3569"/>
      <c r="AD59" s="3569"/>
      <c r="AE59" s="1553"/>
      <c r="AF59" s="3585"/>
      <c r="AG59" s="1546"/>
      <c r="AH59" s="3585"/>
      <c r="AI59" s="3585"/>
      <c r="AJ59" s="3585"/>
      <c r="AK59" s="1546"/>
      <c r="AL59" s="3585"/>
      <c r="AM59" s="1546"/>
      <c r="AN59" s="3585"/>
      <c r="AO59" s="3585"/>
      <c r="AP59" s="3585"/>
      <c r="AQ59" s="1546"/>
      <c r="AR59" s="3585"/>
      <c r="AS59" s="1546"/>
      <c r="AT59" s="3585"/>
      <c r="AU59" s="1546"/>
      <c r="AV59" s="3585"/>
      <c r="AW59" s="1546"/>
      <c r="AX59" s="1546"/>
      <c r="AY59" s="1546"/>
      <c r="AZ59" s="1546"/>
      <c r="BA59" s="1546"/>
      <c r="BB59" s="1546"/>
      <c r="BC59" s="1546"/>
      <c r="BD59" s="1546"/>
      <c r="BE59" s="1546"/>
      <c r="BF59" s="3585"/>
      <c r="BG59" s="3585"/>
      <c r="BH59" s="3612"/>
      <c r="BI59" s="3606"/>
      <c r="BJ59" s="3606"/>
      <c r="BK59" s="3628"/>
      <c r="BL59" s="1535">
        <v>20</v>
      </c>
      <c r="BM59" s="3581"/>
      <c r="BN59" s="3597"/>
      <c r="BO59" s="3600"/>
      <c r="BP59" s="3597"/>
      <c r="BQ59" s="3600"/>
      <c r="BR59" s="3569"/>
    </row>
    <row r="60" spans="1:84" s="1630" customFormat="1" ht="22.5" customHeight="1" thickBot="1" x14ac:dyDescent="0.25">
      <c r="A60" s="1652"/>
      <c r="B60" s="1554"/>
      <c r="C60" s="1554"/>
      <c r="D60" s="1554"/>
      <c r="E60" s="1554"/>
      <c r="F60" s="1554"/>
      <c r="G60" s="1554"/>
      <c r="H60" s="1554"/>
      <c r="I60" s="1554"/>
      <c r="J60" s="1653"/>
      <c r="K60" s="1654"/>
      <c r="L60" s="1654"/>
      <c r="M60" s="1554"/>
      <c r="N60" s="1554"/>
      <c r="O60" s="1655"/>
      <c r="P60" s="1554"/>
      <c r="Q60" s="1656" t="s">
        <v>104</v>
      </c>
      <c r="R60" s="1657"/>
      <c r="S60" s="1555">
        <f>SUM(S18:S59)</f>
        <v>5418161534</v>
      </c>
      <c r="T60" s="1654"/>
      <c r="U60" s="1654"/>
      <c r="V60" s="1654"/>
      <c r="W60" s="1687">
        <f>SUM(W18:W59)</f>
        <v>5418161534</v>
      </c>
      <c r="X60" s="1694">
        <f>SUM(X18:X59)</f>
        <v>2334031125.8600001</v>
      </c>
      <c r="Y60" s="1555">
        <f>SUM(Y18:Y59)</f>
        <v>396854733.35000002</v>
      </c>
      <c r="Z60" s="1689"/>
      <c r="AA60" s="1554"/>
      <c r="AB60" s="1554"/>
      <c r="AC60" s="1554"/>
      <c r="AD60" s="1554"/>
      <c r="AE60" s="1554"/>
      <c r="AF60" s="1658"/>
      <c r="AG60" s="1658"/>
      <c r="AH60" s="1659"/>
      <c r="AI60" s="1658"/>
      <c r="AJ60" s="1658"/>
      <c r="AK60" s="1658"/>
      <c r="AL60" s="1658"/>
      <c r="AM60" s="1658"/>
      <c r="AN60" s="1658"/>
      <c r="AO60" s="1658"/>
      <c r="AP60" s="1658"/>
      <c r="AQ60" s="1658"/>
      <c r="AR60" s="1658"/>
      <c r="AS60" s="1658"/>
      <c r="AT60" s="1658"/>
      <c r="AU60" s="1658"/>
      <c r="AV60" s="1658"/>
      <c r="AW60" s="1658"/>
      <c r="AX60" s="1658"/>
      <c r="AY60" s="1658"/>
      <c r="AZ60" s="1658"/>
      <c r="BA60" s="1658"/>
      <c r="BB60" s="1658"/>
      <c r="BC60" s="1658"/>
      <c r="BD60" s="1658"/>
      <c r="BE60" s="1658"/>
      <c r="BF60" s="1658"/>
      <c r="BG60" s="1658"/>
      <c r="BH60" s="1690"/>
      <c r="BI60" s="1555">
        <f>SUM(BI18:BI59)</f>
        <v>2334031125.8600001</v>
      </c>
      <c r="BJ60" s="1555">
        <f>SUM(BJ18:BJ59)</f>
        <v>396854733.35000002</v>
      </c>
      <c r="BK60" s="1660"/>
      <c r="BL60" s="1654"/>
      <c r="BM60" s="1654"/>
      <c r="BN60" s="1661"/>
      <c r="BO60" s="1661"/>
      <c r="BP60" s="1661"/>
      <c r="BQ60" s="1661"/>
      <c r="BR60" s="1662"/>
    </row>
    <row r="61" spans="1:84" s="2" customFormat="1" ht="15" x14ac:dyDescent="0.2">
      <c r="K61" s="1663"/>
      <c r="L61" s="1663"/>
      <c r="M61" s="52"/>
      <c r="N61" s="52"/>
      <c r="O61" s="1664"/>
      <c r="P61" s="52"/>
      <c r="Q61" s="1663"/>
      <c r="R61" s="918"/>
      <c r="S61" s="1665"/>
      <c r="T61" s="1663"/>
      <c r="U61" s="1663"/>
      <c r="V61" s="1663"/>
      <c r="W61" s="1666"/>
      <c r="X61" s="1667"/>
      <c r="Y61" s="1668"/>
      <c r="Z61" s="917"/>
      <c r="AA61" s="90"/>
      <c r="AB61" s="912"/>
      <c r="AC61" s="912"/>
      <c r="AD61" s="912"/>
      <c r="AE61" s="912"/>
      <c r="BH61" s="1669"/>
      <c r="BI61" s="1670"/>
      <c r="BJ61" s="1671"/>
      <c r="BK61" s="1672"/>
      <c r="BL61" s="570"/>
      <c r="BM61" s="570"/>
      <c r="BN61" s="1673"/>
      <c r="BO61" s="1673"/>
      <c r="BP61" s="1673"/>
      <c r="BQ61" s="1673"/>
    </row>
    <row r="62" spans="1:84" s="2" customFormat="1" ht="15" x14ac:dyDescent="0.2">
      <c r="K62" s="1663"/>
      <c r="L62" s="1663"/>
      <c r="M62" s="52"/>
      <c r="N62" s="52"/>
      <c r="O62" s="1664"/>
      <c r="P62" s="52"/>
      <c r="Q62" s="1663"/>
      <c r="R62" s="918"/>
      <c r="S62" s="1665"/>
      <c r="T62" s="1663"/>
      <c r="U62" s="1663"/>
      <c r="V62" s="1663"/>
      <c r="W62" s="1666"/>
      <c r="X62" s="1667"/>
      <c r="Y62" s="1668"/>
      <c r="Z62" s="917"/>
      <c r="AA62" s="90"/>
      <c r="AB62" s="912"/>
      <c r="AC62" s="912"/>
      <c r="AD62" s="912"/>
      <c r="AE62" s="912"/>
      <c r="BH62" s="1669"/>
      <c r="BI62" s="1670"/>
      <c r="BJ62" s="1671"/>
      <c r="BK62" s="1672"/>
      <c r="BL62" s="570"/>
      <c r="BM62" s="570"/>
      <c r="BN62" s="1673"/>
      <c r="BO62" s="1673"/>
      <c r="BP62" s="1673"/>
      <c r="BQ62" s="1673"/>
    </row>
    <row r="63" spans="1:84" s="2" customFormat="1" ht="15" x14ac:dyDescent="0.2">
      <c r="K63" s="1663"/>
      <c r="L63" s="1663"/>
      <c r="M63" s="52"/>
      <c r="N63" s="52"/>
      <c r="O63" s="1664"/>
      <c r="P63" s="52"/>
      <c r="Q63" s="1663"/>
      <c r="R63" s="918"/>
      <c r="S63" s="1665"/>
      <c r="T63" s="1663"/>
      <c r="U63" s="1663"/>
      <c r="V63" s="1663"/>
      <c r="W63" s="1666"/>
      <c r="X63" s="1667"/>
      <c r="Y63" s="1668"/>
      <c r="Z63" s="917"/>
      <c r="AA63" s="90"/>
      <c r="AB63" s="912"/>
      <c r="AC63" s="912"/>
      <c r="AD63" s="912"/>
      <c r="AE63" s="912"/>
      <c r="BH63" s="1669"/>
      <c r="BI63" s="1670"/>
      <c r="BJ63" s="1671"/>
      <c r="BK63" s="1672"/>
      <c r="BL63" s="570"/>
      <c r="BM63" s="570"/>
      <c r="BN63" s="1673"/>
      <c r="BO63" s="1673"/>
      <c r="BP63" s="1673"/>
      <c r="BQ63" s="1673"/>
    </row>
    <row r="64" spans="1:84" s="2" customFormat="1" ht="15.75" x14ac:dyDescent="0.25">
      <c r="A64" s="52"/>
      <c r="B64" s="52"/>
      <c r="C64" s="52"/>
      <c r="D64" s="3642" t="s">
        <v>1725</v>
      </c>
      <c r="E64" s="3642"/>
      <c r="F64" s="3642"/>
      <c r="G64" s="3642"/>
      <c r="H64" s="3642"/>
      <c r="I64" s="3642"/>
      <c r="J64" s="52"/>
      <c r="K64" s="1663"/>
      <c r="L64" s="1663"/>
      <c r="M64" s="913"/>
      <c r="N64" s="913"/>
      <c r="O64" s="1664"/>
      <c r="P64" s="52"/>
      <c r="Q64" s="1663"/>
      <c r="R64" s="52"/>
      <c r="S64" s="1674"/>
      <c r="T64" s="1675"/>
      <c r="U64" s="1663"/>
      <c r="V64" s="1663"/>
      <c r="W64" s="1666"/>
      <c r="X64" s="1667"/>
      <c r="Y64" s="1668"/>
      <c r="Z64" s="917"/>
      <c r="AA64" s="1676"/>
      <c r="AB64" s="915"/>
      <c r="AC64" s="915"/>
      <c r="AD64" s="915"/>
      <c r="AE64" s="915"/>
      <c r="AF64" s="915"/>
      <c r="AG64" s="915"/>
      <c r="AH64" s="1677"/>
      <c r="AI64" s="912"/>
      <c r="AJ64" s="912"/>
      <c r="AK64" s="912"/>
      <c r="BH64" s="1669"/>
      <c r="BI64" s="1678"/>
      <c r="BJ64" s="1678"/>
      <c r="BK64" s="1672"/>
      <c r="BL64" s="570"/>
      <c r="BM64" s="570"/>
      <c r="BN64" s="1673"/>
      <c r="BO64" s="1673"/>
      <c r="BP64" s="1673"/>
      <c r="BQ64" s="1673"/>
      <c r="CB64" s="1679"/>
      <c r="CC64" s="1679"/>
      <c r="CD64" s="1680"/>
      <c r="CE64" s="1680"/>
      <c r="CF64" s="1681"/>
    </row>
    <row r="65" spans="1:84" s="2" customFormat="1" ht="15.75" x14ac:dyDescent="0.2">
      <c r="A65" s="52"/>
      <c r="B65" s="52"/>
      <c r="C65" s="52"/>
      <c r="D65" s="3643" t="s">
        <v>1726</v>
      </c>
      <c r="E65" s="3643"/>
      <c r="F65" s="3643"/>
      <c r="G65" s="3643"/>
      <c r="H65" s="3643"/>
      <c r="I65" s="3643"/>
      <c r="J65" s="52"/>
      <c r="K65" s="1663"/>
      <c r="L65" s="1663"/>
      <c r="M65" s="913"/>
      <c r="N65" s="913"/>
      <c r="O65" s="1664"/>
      <c r="P65" s="52"/>
      <c r="Q65" s="1663"/>
      <c r="R65" s="52"/>
      <c r="S65" s="1674"/>
      <c r="T65" s="1675"/>
      <c r="U65" s="1663"/>
      <c r="V65" s="1663"/>
      <c r="W65" s="1682"/>
      <c r="X65" s="1683"/>
      <c r="Y65" s="1684"/>
      <c r="Z65" s="917"/>
      <c r="AA65" s="1676"/>
      <c r="AB65" s="915"/>
      <c r="AC65" s="915"/>
      <c r="AD65" s="915"/>
      <c r="AE65" s="915"/>
      <c r="AF65" s="915"/>
      <c r="AG65" s="915"/>
      <c r="AH65" s="1677"/>
      <c r="AI65" s="912"/>
      <c r="AJ65" s="912"/>
      <c r="AK65" s="912"/>
      <c r="BH65" s="1669"/>
      <c r="BI65" s="1678"/>
      <c r="BJ65" s="1678"/>
      <c r="BK65" s="1672"/>
      <c r="BL65" s="570"/>
      <c r="BM65" s="570"/>
      <c r="BN65" s="1673"/>
      <c r="BO65" s="1673"/>
      <c r="BP65" s="1673"/>
      <c r="BQ65" s="1673"/>
      <c r="BW65" s="1556"/>
      <c r="BX65" s="1556"/>
      <c r="CB65" s="1679"/>
      <c r="CC65" s="1679"/>
      <c r="CD65" s="1680"/>
      <c r="CE65" s="1680"/>
      <c r="CF65" s="1681"/>
    </row>
  </sheetData>
  <sheetProtection password="CBEB" sheet="1" objects="1" scenarios="1"/>
  <mergeCells count="439">
    <mergeCell ref="D64:I64"/>
    <mergeCell ref="D65:I65"/>
    <mergeCell ref="BP55:BP59"/>
    <mergeCell ref="BQ55:BQ59"/>
    <mergeCell ref="BR55:BR59"/>
    <mergeCell ref="J57:J59"/>
    <mergeCell ref="K57:K59"/>
    <mergeCell ref="M57:M59"/>
    <mergeCell ref="N57:N59"/>
    <mergeCell ref="R57:R59"/>
    <mergeCell ref="U57:U59"/>
    <mergeCell ref="BI55:BI59"/>
    <mergeCell ref="BJ55:BJ59"/>
    <mergeCell ref="BK55:BK59"/>
    <mergeCell ref="BM55:BM59"/>
    <mergeCell ref="BN55:BN59"/>
    <mergeCell ref="BO55:BO59"/>
    <mergeCell ref="AR55:AR59"/>
    <mergeCell ref="AT55:AT59"/>
    <mergeCell ref="AV55:AV59"/>
    <mergeCell ref="BF55:BF59"/>
    <mergeCell ref="BG55:BG59"/>
    <mergeCell ref="BH55:BH59"/>
    <mergeCell ref="AI55:AI59"/>
    <mergeCell ref="AJ55:AJ59"/>
    <mergeCell ref="AL55:AL59"/>
    <mergeCell ref="AN55:AN59"/>
    <mergeCell ref="AO55:AO59"/>
    <mergeCell ref="AP55:AP59"/>
    <mergeCell ref="U55:U56"/>
    <mergeCell ref="AB55:AB59"/>
    <mergeCell ref="AC55:AC59"/>
    <mergeCell ref="AD55:AD59"/>
    <mergeCell ref="AF55:AF59"/>
    <mergeCell ref="AH55:AH59"/>
    <mergeCell ref="O55:O59"/>
    <mergeCell ref="P55:P59"/>
    <mergeCell ref="Q55:Q59"/>
    <mergeCell ref="R55:R56"/>
    <mergeCell ref="S55:S59"/>
    <mergeCell ref="T55:T59"/>
    <mergeCell ref="H55:I59"/>
    <mergeCell ref="J55:J56"/>
    <mergeCell ref="K55:K56"/>
    <mergeCell ref="L55:L59"/>
    <mergeCell ref="M55:M56"/>
    <mergeCell ref="N55:N56"/>
    <mergeCell ref="BP47:BP53"/>
    <mergeCell ref="BQ47:BQ53"/>
    <mergeCell ref="BR47:BR53"/>
    <mergeCell ref="U52:U53"/>
    <mergeCell ref="V52:V53"/>
    <mergeCell ref="H54:L54"/>
    <mergeCell ref="BI47:BI53"/>
    <mergeCell ref="BJ47:BJ53"/>
    <mergeCell ref="BK47:BK53"/>
    <mergeCell ref="BM47:BM53"/>
    <mergeCell ref="BN47:BN53"/>
    <mergeCell ref="BO47:BO53"/>
    <mergeCell ref="AT47:AT53"/>
    <mergeCell ref="AV47:AV53"/>
    <mergeCell ref="BC47:BC53"/>
    <mergeCell ref="BF47:BF53"/>
    <mergeCell ref="BG47:BG53"/>
    <mergeCell ref="BH47:BH53"/>
    <mergeCell ref="AK47:AK53"/>
    <mergeCell ref="AL47:AL53"/>
    <mergeCell ref="AN47:AN53"/>
    <mergeCell ref="AO47:AO53"/>
    <mergeCell ref="AP47:AP53"/>
    <mergeCell ref="AR47:AR53"/>
    <mergeCell ref="AD47:AD53"/>
    <mergeCell ref="AE47:AE53"/>
    <mergeCell ref="AF47:AF53"/>
    <mergeCell ref="AH47:AH53"/>
    <mergeCell ref="AI47:AI53"/>
    <mergeCell ref="AJ47:AJ53"/>
    <mergeCell ref="S47:S53"/>
    <mergeCell ref="T47:T53"/>
    <mergeCell ref="U47:U51"/>
    <mergeCell ref="V47:V49"/>
    <mergeCell ref="AB47:AB53"/>
    <mergeCell ref="AC47:AC53"/>
    <mergeCell ref="M47:M53"/>
    <mergeCell ref="N47:N53"/>
    <mergeCell ref="O47:O53"/>
    <mergeCell ref="P47:P53"/>
    <mergeCell ref="Q47:Q53"/>
    <mergeCell ref="R47:R53"/>
    <mergeCell ref="BR37:BR44"/>
    <mergeCell ref="U42:U44"/>
    <mergeCell ref="V42:V43"/>
    <mergeCell ref="BN37:BN44"/>
    <mergeCell ref="BO37:BO44"/>
    <mergeCell ref="BP37:BP44"/>
    <mergeCell ref="BQ37:BQ44"/>
    <mergeCell ref="AV37:AV44"/>
    <mergeCell ref="AW37:AW44"/>
    <mergeCell ref="AX37:AX44"/>
    <mergeCell ref="AM37:AM44"/>
    <mergeCell ref="AN37:AN44"/>
    <mergeCell ref="AO37:AO44"/>
    <mergeCell ref="AP37:AP44"/>
    <mergeCell ref="AQ37:AQ44"/>
    <mergeCell ref="AR37:AR44"/>
    <mergeCell ref="AG37:AG44"/>
    <mergeCell ref="AH37:AH44"/>
    <mergeCell ref="E45:K45"/>
    <mergeCell ref="H46:L46"/>
    <mergeCell ref="E47:F59"/>
    <mergeCell ref="H47:I53"/>
    <mergeCell ref="J47:J53"/>
    <mergeCell ref="K47:K53"/>
    <mergeCell ref="L47:L53"/>
    <mergeCell ref="BK37:BK44"/>
    <mergeCell ref="BM37:BM44"/>
    <mergeCell ref="BE37:BE44"/>
    <mergeCell ref="BF37:BF44"/>
    <mergeCell ref="BG37:BG44"/>
    <mergeCell ref="BH37:BH44"/>
    <mergeCell ref="BI37:BI44"/>
    <mergeCell ref="BJ37:BJ44"/>
    <mergeCell ref="AY37:AY44"/>
    <mergeCell ref="AZ37:AZ44"/>
    <mergeCell ref="BA37:BA44"/>
    <mergeCell ref="BB37:BB44"/>
    <mergeCell ref="BC37:BC44"/>
    <mergeCell ref="BD37:BD44"/>
    <mergeCell ref="AS37:AS44"/>
    <mergeCell ref="AT37:AT44"/>
    <mergeCell ref="AU37:AU44"/>
    <mergeCell ref="AI37:AI44"/>
    <mergeCell ref="AJ37:AJ44"/>
    <mergeCell ref="AK37:AK44"/>
    <mergeCell ref="AL37:AL44"/>
    <mergeCell ref="U37:U41"/>
    <mergeCell ref="AB37:AB44"/>
    <mergeCell ref="AC37:AC44"/>
    <mergeCell ref="AD37:AD44"/>
    <mergeCell ref="AE37:AE44"/>
    <mergeCell ref="AF37:AF44"/>
    <mergeCell ref="O37:O44"/>
    <mergeCell ref="P37:P44"/>
    <mergeCell ref="Q37:Q44"/>
    <mergeCell ref="R37:R44"/>
    <mergeCell ref="S37:S44"/>
    <mergeCell ref="T37:T44"/>
    <mergeCell ref="BP34:BP35"/>
    <mergeCell ref="BQ34:BQ35"/>
    <mergeCell ref="BR34:BR35"/>
    <mergeCell ref="BL34:BL35"/>
    <mergeCell ref="BM34:BM35"/>
    <mergeCell ref="BN34:BN35"/>
    <mergeCell ref="BO34:BO35"/>
    <mergeCell ref="AU34:AU35"/>
    <mergeCell ref="AV34:AV35"/>
    <mergeCell ref="AW34:AW35"/>
    <mergeCell ref="AL34:AL35"/>
    <mergeCell ref="AM34:AM35"/>
    <mergeCell ref="AN34:AN35"/>
    <mergeCell ref="AO34:AO35"/>
    <mergeCell ref="AP34:AP35"/>
    <mergeCell ref="AQ34:AQ35"/>
    <mergeCell ref="AF34:AF35"/>
    <mergeCell ref="AG34:AG35"/>
    <mergeCell ref="H36:K36"/>
    <mergeCell ref="H37:I44"/>
    <mergeCell ref="J37:J44"/>
    <mergeCell ref="K37:K44"/>
    <mergeCell ref="L37:L44"/>
    <mergeCell ref="M37:M44"/>
    <mergeCell ref="N37:N44"/>
    <mergeCell ref="BJ34:BJ35"/>
    <mergeCell ref="BK34:BK35"/>
    <mergeCell ref="BD34:BD35"/>
    <mergeCell ref="BE34:BE35"/>
    <mergeCell ref="BF34:BF35"/>
    <mergeCell ref="BG34:BG35"/>
    <mergeCell ref="BH34:BH35"/>
    <mergeCell ref="BI34:BI35"/>
    <mergeCell ref="AX34:AX35"/>
    <mergeCell ref="AY34:AY35"/>
    <mergeCell ref="AZ34:AZ35"/>
    <mergeCell ref="BA34:BA35"/>
    <mergeCell ref="BB34:BB35"/>
    <mergeCell ref="BC34:BC35"/>
    <mergeCell ref="AR34:AR35"/>
    <mergeCell ref="AS34:AS35"/>
    <mergeCell ref="AT34:AT35"/>
    <mergeCell ref="AH34:AH35"/>
    <mergeCell ref="AI34:AI35"/>
    <mergeCell ref="AJ34:AJ35"/>
    <mergeCell ref="AK34:AK35"/>
    <mergeCell ref="T34:T35"/>
    <mergeCell ref="U34:U35"/>
    <mergeCell ref="AB34:AB35"/>
    <mergeCell ref="AC34:AC35"/>
    <mergeCell ref="AD34:AD35"/>
    <mergeCell ref="AE34:AE35"/>
    <mergeCell ref="N34:N35"/>
    <mergeCell ref="O34:O35"/>
    <mergeCell ref="P34:P35"/>
    <mergeCell ref="Q34:Q35"/>
    <mergeCell ref="R34:R35"/>
    <mergeCell ref="S34:S35"/>
    <mergeCell ref="H33:K33"/>
    <mergeCell ref="H34:I35"/>
    <mergeCell ref="J34:J35"/>
    <mergeCell ref="K34:K35"/>
    <mergeCell ref="L34:L35"/>
    <mergeCell ref="M34:M35"/>
    <mergeCell ref="J29:J32"/>
    <mergeCell ref="K29:K32"/>
    <mergeCell ref="L29:L32"/>
    <mergeCell ref="M29:M32"/>
    <mergeCell ref="N29:N32"/>
    <mergeCell ref="R29:R32"/>
    <mergeCell ref="J25:J28"/>
    <mergeCell ref="K25:K28"/>
    <mergeCell ref="L25:L27"/>
    <mergeCell ref="M25:M28"/>
    <mergeCell ref="N25:N28"/>
    <mergeCell ref="R25:R28"/>
    <mergeCell ref="BN21:BN32"/>
    <mergeCell ref="BO21:BO32"/>
    <mergeCell ref="BP21:BP32"/>
    <mergeCell ref="BQ21:BQ32"/>
    <mergeCell ref="BR21:BR32"/>
    <mergeCell ref="V22:V23"/>
    <mergeCell ref="V27:V28"/>
    <mergeCell ref="V31:V32"/>
    <mergeCell ref="BG21:BG32"/>
    <mergeCell ref="BH21:BH32"/>
    <mergeCell ref="BI21:BI32"/>
    <mergeCell ref="BJ21:BJ32"/>
    <mergeCell ref="BK21:BK32"/>
    <mergeCell ref="BM21:BM32"/>
    <mergeCell ref="BA21:BA32"/>
    <mergeCell ref="BB21:BB32"/>
    <mergeCell ref="BC21:BC32"/>
    <mergeCell ref="BD21:BD32"/>
    <mergeCell ref="BE21:BE32"/>
    <mergeCell ref="BF21:BF32"/>
    <mergeCell ref="AU21:AU32"/>
    <mergeCell ref="AV21:AV32"/>
    <mergeCell ref="AW21:AW32"/>
    <mergeCell ref="AX21:AX32"/>
    <mergeCell ref="AY21:AY32"/>
    <mergeCell ref="AZ21:AZ32"/>
    <mergeCell ref="AO21:AO32"/>
    <mergeCell ref="AP21:AP32"/>
    <mergeCell ref="AQ21:AQ32"/>
    <mergeCell ref="AR21:AR32"/>
    <mergeCell ref="AS21:AS32"/>
    <mergeCell ref="AT21:AT32"/>
    <mergeCell ref="AI21:AI32"/>
    <mergeCell ref="AJ21:AJ32"/>
    <mergeCell ref="AK21:AK32"/>
    <mergeCell ref="AL21:AL32"/>
    <mergeCell ref="AM21:AM32"/>
    <mergeCell ref="AN21:AN32"/>
    <mergeCell ref="AC21:AC32"/>
    <mergeCell ref="AD21:AD32"/>
    <mergeCell ref="AE21:AE32"/>
    <mergeCell ref="AF21:AF32"/>
    <mergeCell ref="AG21:AG32"/>
    <mergeCell ref="AH21:AH32"/>
    <mergeCell ref="Q21:Q32"/>
    <mergeCell ref="R21:R24"/>
    <mergeCell ref="S21:S32"/>
    <mergeCell ref="T21:T32"/>
    <mergeCell ref="U21:U24"/>
    <mergeCell ref="AB21:AB32"/>
    <mergeCell ref="U25:U28"/>
    <mergeCell ref="U29:U32"/>
    <mergeCell ref="BP18:BP20"/>
    <mergeCell ref="BQ18:BQ20"/>
    <mergeCell ref="BR18:BR20"/>
    <mergeCell ref="J21:J24"/>
    <mergeCell ref="K21:K24"/>
    <mergeCell ref="L21:L24"/>
    <mergeCell ref="M21:M24"/>
    <mergeCell ref="N21:N24"/>
    <mergeCell ref="O21:O32"/>
    <mergeCell ref="P21:P32"/>
    <mergeCell ref="BJ18:BJ20"/>
    <mergeCell ref="BK18:BK20"/>
    <mergeCell ref="BL18:BL20"/>
    <mergeCell ref="BM18:BM20"/>
    <mergeCell ref="BN18:BN20"/>
    <mergeCell ref="BO18:BO20"/>
    <mergeCell ref="BD18:BD20"/>
    <mergeCell ref="BE18:BE20"/>
    <mergeCell ref="BF18:BF20"/>
    <mergeCell ref="BG18:BG20"/>
    <mergeCell ref="BH18:BH20"/>
    <mergeCell ref="BI18:BI20"/>
    <mergeCell ref="AX18:AX20"/>
    <mergeCell ref="AY18:AY20"/>
    <mergeCell ref="AZ18:AZ20"/>
    <mergeCell ref="BA18:BA20"/>
    <mergeCell ref="BB18:BB20"/>
    <mergeCell ref="BC18:BC20"/>
    <mergeCell ref="AR18:AR20"/>
    <mergeCell ref="AS18:AS20"/>
    <mergeCell ref="AT18:AT20"/>
    <mergeCell ref="AU18:AU20"/>
    <mergeCell ref="AV18:AV20"/>
    <mergeCell ref="AW18:AW20"/>
    <mergeCell ref="AN18:AN20"/>
    <mergeCell ref="AO18:AO20"/>
    <mergeCell ref="AP18:AP20"/>
    <mergeCell ref="AQ18:AQ20"/>
    <mergeCell ref="AE18:AE20"/>
    <mergeCell ref="AF18:AF20"/>
    <mergeCell ref="AG18:AG20"/>
    <mergeCell ref="AH18:AH20"/>
    <mergeCell ref="AI18:AI20"/>
    <mergeCell ref="AJ18:AJ20"/>
    <mergeCell ref="E16:K16"/>
    <mergeCell ref="BG16:BR16"/>
    <mergeCell ref="H17:K17"/>
    <mergeCell ref="BH17:BR17"/>
    <mergeCell ref="G18:G32"/>
    <mergeCell ref="H18:I32"/>
    <mergeCell ref="J18:J20"/>
    <mergeCell ref="K18:K20"/>
    <mergeCell ref="L18:L20"/>
    <mergeCell ref="M18:M20"/>
    <mergeCell ref="T18:T20"/>
    <mergeCell ref="U18:U20"/>
    <mergeCell ref="V18:V19"/>
    <mergeCell ref="AB18:AB20"/>
    <mergeCell ref="AC18:AC20"/>
    <mergeCell ref="AD18:AD20"/>
    <mergeCell ref="N18:N20"/>
    <mergeCell ref="O18:O20"/>
    <mergeCell ref="P18:P20"/>
    <mergeCell ref="Q18:Q20"/>
    <mergeCell ref="R18:R20"/>
    <mergeCell ref="S18:S20"/>
    <mergeCell ref="AK18:AK20"/>
    <mergeCell ref="AL18:AL20"/>
    <mergeCell ref="BG9:BG13"/>
    <mergeCell ref="BN9:BN13"/>
    <mergeCell ref="BO9:BO13"/>
    <mergeCell ref="BP9:BP13"/>
    <mergeCell ref="BQ9:BQ13"/>
    <mergeCell ref="BH15:BR15"/>
    <mergeCell ref="AW9:AW13"/>
    <mergeCell ref="AX9:AX13"/>
    <mergeCell ref="AY9:AY13"/>
    <mergeCell ref="AZ9:AZ13"/>
    <mergeCell ref="BA9:BA13"/>
    <mergeCell ref="BB9:BB13"/>
    <mergeCell ref="BL8:BL13"/>
    <mergeCell ref="BM8:BM13"/>
    <mergeCell ref="BD8:BE8"/>
    <mergeCell ref="BH8:BH9"/>
    <mergeCell ref="BI8:BI13"/>
    <mergeCell ref="BJ8:BJ13"/>
    <mergeCell ref="BK8:BK13"/>
    <mergeCell ref="BD9:BD13"/>
    <mergeCell ref="BE9:BE13"/>
    <mergeCell ref="BF9:BF13"/>
    <mergeCell ref="BR7:BR14"/>
    <mergeCell ref="AN7:AY7"/>
    <mergeCell ref="BF7:BG8"/>
    <mergeCell ref="BH7:BM7"/>
    <mergeCell ref="BN7:BO8"/>
    <mergeCell ref="BP7:BQ8"/>
    <mergeCell ref="AT8:AU8"/>
    <mergeCell ref="AV8:AW8"/>
    <mergeCell ref="AX8:AY8"/>
    <mergeCell ref="AZ8:BA8"/>
    <mergeCell ref="W9:W13"/>
    <mergeCell ref="X9:X13"/>
    <mergeCell ref="Y9:Y13"/>
    <mergeCell ref="AB9:AB13"/>
    <mergeCell ref="AC9:AC13"/>
    <mergeCell ref="AD9:AD13"/>
    <mergeCell ref="AE9:AE13"/>
    <mergeCell ref="AF9:AF13"/>
    <mergeCell ref="BB8:BC8"/>
    <mergeCell ref="BC9:BC13"/>
    <mergeCell ref="AB8:AC8"/>
    <mergeCell ref="AD8:AE8"/>
    <mergeCell ref="AF8:AG8"/>
    <mergeCell ref="AH8:AI8"/>
    <mergeCell ref="AJ8:AK8"/>
    <mergeCell ref="AL8:AM8"/>
    <mergeCell ref="Z7:Z14"/>
    <mergeCell ref="AA7:AA14"/>
    <mergeCell ref="AB7:AE7"/>
    <mergeCell ref="AF7:AM7"/>
    <mergeCell ref="AG9:AG13"/>
    <mergeCell ref="AH9:AH13"/>
    <mergeCell ref="AI9:AI13"/>
    <mergeCell ref="AJ9:AJ13"/>
    <mergeCell ref="AZ7:BE7"/>
    <mergeCell ref="AN8:AO8"/>
    <mergeCell ref="AP8:AQ8"/>
    <mergeCell ref="AR8:AS8"/>
    <mergeCell ref="AQ9:AQ13"/>
    <mergeCell ref="AR9:AR13"/>
    <mergeCell ref="AS9:AS13"/>
    <mergeCell ref="AT9:AT13"/>
    <mergeCell ref="AU9:AU13"/>
    <mergeCell ref="AV9:AV13"/>
    <mergeCell ref="AK9:AK13"/>
    <mergeCell ref="AL9:AL13"/>
    <mergeCell ref="AM9:AM13"/>
    <mergeCell ref="AN9:AN13"/>
    <mergeCell ref="AO9:AO13"/>
    <mergeCell ref="AP9:AP13"/>
    <mergeCell ref="A1:BP4"/>
    <mergeCell ref="A5:M6"/>
    <mergeCell ref="Q5:BR5"/>
    <mergeCell ref="Q6:AA6"/>
    <mergeCell ref="BN6:BR6"/>
    <mergeCell ref="A7:A14"/>
    <mergeCell ref="B7:C14"/>
    <mergeCell ref="D7:D14"/>
    <mergeCell ref="E7:F14"/>
    <mergeCell ref="G7:G14"/>
    <mergeCell ref="P7:P14"/>
    <mergeCell ref="Q7:Q14"/>
    <mergeCell ref="R7:R14"/>
    <mergeCell ref="S7:S14"/>
    <mergeCell ref="T7:T14"/>
    <mergeCell ref="U7:U14"/>
    <mergeCell ref="H7:I14"/>
    <mergeCell ref="J7:J14"/>
    <mergeCell ref="K7:K14"/>
    <mergeCell ref="L7:L14"/>
    <mergeCell ref="M7:N13"/>
    <mergeCell ref="O7:O14"/>
    <mergeCell ref="V7:V14"/>
    <mergeCell ref="W7:Y8"/>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CL102"/>
  <sheetViews>
    <sheetView showGridLines="0" zoomScale="60" zoomScaleNormal="60" workbookViewId="0">
      <selection sqref="A1:BN4"/>
    </sheetView>
  </sheetViews>
  <sheetFormatPr baseColWidth="10" defaultColWidth="11.42578125" defaultRowHeight="14.25" x14ac:dyDescent="0.2"/>
  <cols>
    <col min="1" max="1" width="12.85546875" style="657" customWidth="1"/>
    <col min="2" max="2" width="13.28515625" style="657" customWidth="1"/>
    <col min="3" max="3" width="6.5703125" style="657" customWidth="1"/>
    <col min="4" max="4" width="12.85546875" style="657" customWidth="1"/>
    <col min="5" max="5" width="8" style="657" customWidth="1"/>
    <col min="6" max="6" width="11.42578125" style="657" customWidth="1"/>
    <col min="7" max="7" width="13.140625" style="657" customWidth="1"/>
    <col min="8" max="8" width="11.140625" style="657" customWidth="1"/>
    <col min="9" max="9" width="12.42578125" style="657" customWidth="1"/>
    <col min="10" max="10" width="14.140625" style="657" customWidth="1"/>
    <col min="11" max="12" width="27.7109375" style="657" customWidth="1"/>
    <col min="13" max="13" width="14.5703125" style="657" customWidth="1"/>
    <col min="14" max="14" width="16.42578125" style="659" customWidth="1"/>
    <col min="15" max="15" width="38" style="657" customWidth="1"/>
    <col min="16" max="16" width="20.42578125" style="657" customWidth="1"/>
    <col min="17" max="17" width="27.7109375" style="1310" customWidth="1"/>
    <col min="18" max="18" width="17.7109375" style="657" customWidth="1"/>
    <col min="19" max="19" width="30.5703125" style="2196" customWidth="1"/>
    <col min="20" max="22" width="27.7109375" style="657" customWidth="1"/>
    <col min="23" max="23" width="30" style="2197" customWidth="1"/>
    <col min="24" max="24" width="33.42578125" style="2197" customWidth="1"/>
    <col min="25" max="25" width="29.140625" style="2197" customWidth="1"/>
    <col min="26" max="26" width="13.85546875" style="657" customWidth="1"/>
    <col min="27" max="27" width="17.7109375" style="1841" customWidth="1"/>
    <col min="28" max="28" width="16.5703125" style="659" customWidth="1"/>
    <col min="29" max="35" width="11.5703125" style="659" customWidth="1"/>
    <col min="36" max="36" width="12.5703125" style="659" customWidth="1"/>
    <col min="37" max="37" width="12.28515625" style="659" customWidth="1"/>
    <col min="38" max="59" width="11.5703125" style="659" customWidth="1"/>
    <col min="60" max="60" width="16.5703125" style="659" customWidth="1"/>
    <col min="61" max="61" width="25.7109375" style="2197" customWidth="1"/>
    <col min="62" max="62" width="22.7109375" style="2197" customWidth="1"/>
    <col min="63" max="63" width="15" style="2198" customWidth="1"/>
    <col min="64" max="64" width="16.7109375" style="659" customWidth="1"/>
    <col min="65" max="65" width="18.7109375" style="2199" customWidth="1"/>
    <col min="66" max="69" width="15" style="659" customWidth="1"/>
    <col min="70" max="70" width="27" style="659" customWidth="1"/>
    <col min="71" max="83" width="14.85546875" style="657" customWidth="1"/>
    <col min="84" max="16384" width="11.42578125" style="657"/>
  </cols>
  <sheetData>
    <row r="1" spans="1:90" ht="15" customHeight="1" x14ac:dyDescent="0.2">
      <c r="A1" s="3646" t="s">
        <v>2116</v>
      </c>
      <c r="B1" s="3647"/>
      <c r="C1" s="3647"/>
      <c r="D1" s="3647"/>
      <c r="E1" s="3647"/>
      <c r="F1" s="3647"/>
      <c r="G1" s="3647"/>
      <c r="H1" s="3647"/>
      <c r="I1" s="3647"/>
      <c r="J1" s="3647"/>
      <c r="K1" s="3647"/>
      <c r="L1" s="3647"/>
      <c r="M1" s="3647"/>
      <c r="N1" s="3647"/>
      <c r="O1" s="3647"/>
      <c r="P1" s="3647"/>
      <c r="Q1" s="3647"/>
      <c r="R1" s="3647"/>
      <c r="S1" s="3647"/>
      <c r="T1" s="3647"/>
      <c r="U1" s="3647"/>
      <c r="V1" s="3647"/>
      <c r="W1" s="3647"/>
      <c r="X1" s="3647"/>
      <c r="Y1" s="3647"/>
      <c r="Z1" s="3647"/>
      <c r="AA1" s="3647"/>
      <c r="AB1" s="3647"/>
      <c r="AC1" s="3647"/>
      <c r="AD1" s="3647"/>
      <c r="AE1" s="3647"/>
      <c r="AF1" s="3647"/>
      <c r="AG1" s="3647"/>
      <c r="AH1" s="3647"/>
      <c r="AI1" s="3647"/>
      <c r="AJ1" s="3647"/>
      <c r="AK1" s="3647"/>
      <c r="AL1" s="3647"/>
      <c r="AM1" s="3647"/>
      <c r="AN1" s="3647"/>
      <c r="AO1" s="3647"/>
      <c r="AP1" s="3647"/>
      <c r="AQ1" s="3647"/>
      <c r="AR1" s="3647"/>
      <c r="AS1" s="3647"/>
      <c r="AT1" s="3647"/>
      <c r="AU1" s="3647"/>
      <c r="AV1" s="3647"/>
      <c r="AW1" s="3647"/>
      <c r="AX1" s="3647"/>
      <c r="AY1" s="3647"/>
      <c r="AZ1" s="3647"/>
      <c r="BA1" s="3647"/>
      <c r="BB1" s="3647"/>
      <c r="BC1" s="3647"/>
      <c r="BD1" s="3647"/>
      <c r="BE1" s="3647"/>
      <c r="BF1" s="3647"/>
      <c r="BG1" s="3647"/>
      <c r="BH1" s="3647"/>
      <c r="BI1" s="3647"/>
      <c r="BJ1" s="3647"/>
      <c r="BK1" s="3647"/>
      <c r="BL1" s="3647"/>
      <c r="BM1" s="3647"/>
      <c r="BN1" s="3647"/>
      <c r="BO1" s="2104"/>
      <c r="BQ1" s="2105" t="s">
        <v>1</v>
      </c>
      <c r="BR1" s="2106" t="s">
        <v>2</v>
      </c>
    </row>
    <row r="2" spans="1:90" ht="15" x14ac:dyDescent="0.2">
      <c r="A2" s="3648"/>
      <c r="B2" s="3213"/>
      <c r="C2" s="3213"/>
      <c r="D2" s="3213"/>
      <c r="E2" s="3213"/>
      <c r="F2" s="3213"/>
      <c r="G2" s="3213"/>
      <c r="H2" s="3213"/>
      <c r="I2" s="3213"/>
      <c r="J2" s="3213"/>
      <c r="K2" s="3213"/>
      <c r="L2" s="3213"/>
      <c r="M2" s="3213"/>
      <c r="N2" s="3213"/>
      <c r="O2" s="3213"/>
      <c r="P2" s="3213"/>
      <c r="Q2" s="3213"/>
      <c r="R2" s="3213"/>
      <c r="S2" s="3213"/>
      <c r="T2" s="3213"/>
      <c r="U2" s="3213"/>
      <c r="V2" s="3213"/>
      <c r="W2" s="3213"/>
      <c r="X2" s="3213"/>
      <c r="Y2" s="3213"/>
      <c r="Z2" s="3213"/>
      <c r="AA2" s="3213"/>
      <c r="AB2" s="3213"/>
      <c r="AC2" s="3213"/>
      <c r="AD2" s="3213"/>
      <c r="AE2" s="3213"/>
      <c r="AF2" s="3213"/>
      <c r="AG2" s="3213"/>
      <c r="AH2" s="3213"/>
      <c r="AI2" s="3213"/>
      <c r="AJ2" s="3213"/>
      <c r="AK2" s="3213"/>
      <c r="AL2" s="3213"/>
      <c r="AM2" s="3213"/>
      <c r="AN2" s="3213"/>
      <c r="AO2" s="3213"/>
      <c r="AP2" s="3213"/>
      <c r="AQ2" s="3213"/>
      <c r="AR2" s="3213"/>
      <c r="AS2" s="3213"/>
      <c r="AT2" s="3213"/>
      <c r="AU2" s="3213"/>
      <c r="AV2" s="3213"/>
      <c r="AW2" s="3213"/>
      <c r="AX2" s="3213"/>
      <c r="AY2" s="3213"/>
      <c r="AZ2" s="3213"/>
      <c r="BA2" s="3213"/>
      <c r="BB2" s="3213"/>
      <c r="BC2" s="3213"/>
      <c r="BD2" s="3213"/>
      <c r="BE2" s="3213"/>
      <c r="BF2" s="3213"/>
      <c r="BG2" s="3213"/>
      <c r="BH2" s="3213"/>
      <c r="BI2" s="3213"/>
      <c r="BJ2" s="3213"/>
      <c r="BK2" s="3213"/>
      <c r="BL2" s="3213"/>
      <c r="BM2" s="3213"/>
      <c r="BN2" s="3213"/>
      <c r="BO2" s="2107"/>
      <c r="BQ2" s="1471" t="s">
        <v>3</v>
      </c>
      <c r="BR2" s="2108">
        <v>6</v>
      </c>
    </row>
    <row r="3" spans="1:90" ht="15" x14ac:dyDescent="0.2">
      <c r="A3" s="3648"/>
      <c r="B3" s="3213"/>
      <c r="C3" s="3213"/>
      <c r="D3" s="3213"/>
      <c r="E3" s="3213"/>
      <c r="F3" s="3213"/>
      <c r="G3" s="3213"/>
      <c r="H3" s="3213"/>
      <c r="I3" s="3213"/>
      <c r="J3" s="3213"/>
      <c r="K3" s="3213"/>
      <c r="L3" s="3213"/>
      <c r="M3" s="3213"/>
      <c r="N3" s="3213"/>
      <c r="O3" s="3213"/>
      <c r="P3" s="3213"/>
      <c r="Q3" s="3213"/>
      <c r="R3" s="3213"/>
      <c r="S3" s="3213"/>
      <c r="T3" s="3213"/>
      <c r="U3" s="3213"/>
      <c r="V3" s="3213"/>
      <c r="W3" s="3213"/>
      <c r="X3" s="3213"/>
      <c r="Y3" s="3213"/>
      <c r="Z3" s="3213"/>
      <c r="AA3" s="3213"/>
      <c r="AB3" s="3213"/>
      <c r="AC3" s="3213"/>
      <c r="AD3" s="3213"/>
      <c r="AE3" s="3213"/>
      <c r="AF3" s="3213"/>
      <c r="AG3" s="3213"/>
      <c r="AH3" s="3213"/>
      <c r="AI3" s="3213"/>
      <c r="AJ3" s="3213"/>
      <c r="AK3" s="3213"/>
      <c r="AL3" s="3213"/>
      <c r="AM3" s="3213"/>
      <c r="AN3" s="3213"/>
      <c r="AO3" s="3213"/>
      <c r="AP3" s="3213"/>
      <c r="AQ3" s="3213"/>
      <c r="AR3" s="3213"/>
      <c r="AS3" s="3213"/>
      <c r="AT3" s="3213"/>
      <c r="AU3" s="3213"/>
      <c r="AV3" s="3213"/>
      <c r="AW3" s="3213"/>
      <c r="AX3" s="3213"/>
      <c r="AY3" s="3213"/>
      <c r="AZ3" s="3213"/>
      <c r="BA3" s="3213"/>
      <c r="BB3" s="3213"/>
      <c r="BC3" s="3213"/>
      <c r="BD3" s="3213"/>
      <c r="BE3" s="3213"/>
      <c r="BF3" s="3213"/>
      <c r="BG3" s="3213"/>
      <c r="BH3" s="3213"/>
      <c r="BI3" s="3213"/>
      <c r="BJ3" s="3213"/>
      <c r="BK3" s="3213"/>
      <c r="BL3" s="3213"/>
      <c r="BM3" s="3213"/>
      <c r="BN3" s="3213"/>
      <c r="BO3" s="2107"/>
      <c r="BQ3" s="1471" t="s">
        <v>4</v>
      </c>
      <c r="BR3" s="2109" t="s">
        <v>5</v>
      </c>
    </row>
    <row r="4" spans="1:90" s="928" customFormat="1" ht="15" x14ac:dyDescent="0.2">
      <c r="A4" s="3649"/>
      <c r="B4" s="3216"/>
      <c r="C4" s="3216"/>
      <c r="D4" s="3216"/>
      <c r="E4" s="3216"/>
      <c r="F4" s="3216"/>
      <c r="G4" s="3216"/>
      <c r="H4" s="3216"/>
      <c r="I4" s="3216"/>
      <c r="J4" s="3216"/>
      <c r="K4" s="3216"/>
      <c r="L4" s="3216"/>
      <c r="M4" s="3216"/>
      <c r="N4" s="3216"/>
      <c r="O4" s="3216"/>
      <c r="P4" s="3216"/>
      <c r="Q4" s="3216"/>
      <c r="R4" s="3216"/>
      <c r="S4" s="3216"/>
      <c r="T4" s="3216"/>
      <c r="U4" s="3216"/>
      <c r="V4" s="3216"/>
      <c r="W4" s="3216"/>
      <c r="X4" s="3216"/>
      <c r="Y4" s="3216"/>
      <c r="Z4" s="3216"/>
      <c r="AA4" s="3216"/>
      <c r="AB4" s="3216"/>
      <c r="AC4" s="3216"/>
      <c r="AD4" s="3216"/>
      <c r="AE4" s="3216"/>
      <c r="AF4" s="3216"/>
      <c r="AG4" s="3216"/>
      <c r="AH4" s="3216"/>
      <c r="AI4" s="3216"/>
      <c r="AJ4" s="3216"/>
      <c r="AK4" s="3216"/>
      <c r="AL4" s="3216"/>
      <c r="AM4" s="3216"/>
      <c r="AN4" s="3216"/>
      <c r="AO4" s="3216"/>
      <c r="AP4" s="3216"/>
      <c r="AQ4" s="3216"/>
      <c r="AR4" s="3216"/>
      <c r="AS4" s="3216"/>
      <c r="AT4" s="3216"/>
      <c r="AU4" s="3216"/>
      <c r="AV4" s="3216"/>
      <c r="AW4" s="3216"/>
      <c r="AX4" s="3216"/>
      <c r="AY4" s="3216"/>
      <c r="AZ4" s="3216"/>
      <c r="BA4" s="3216"/>
      <c r="BB4" s="3216"/>
      <c r="BC4" s="3216"/>
      <c r="BD4" s="3216"/>
      <c r="BE4" s="3216"/>
      <c r="BF4" s="3216"/>
      <c r="BG4" s="3216"/>
      <c r="BH4" s="3216"/>
      <c r="BI4" s="3216"/>
      <c r="BJ4" s="3216"/>
      <c r="BK4" s="3216"/>
      <c r="BL4" s="3216"/>
      <c r="BM4" s="3216"/>
      <c r="BN4" s="3216"/>
      <c r="BO4" s="927"/>
      <c r="BQ4" s="1471" t="s">
        <v>6</v>
      </c>
      <c r="BR4" s="2110" t="s">
        <v>7</v>
      </c>
    </row>
    <row r="5" spans="1:90" s="2" customFormat="1" ht="43.5" customHeight="1" x14ac:dyDescent="0.2">
      <c r="A5" s="3243" t="s">
        <v>8</v>
      </c>
      <c r="B5" s="2642"/>
      <c r="C5" s="2642"/>
      <c r="D5" s="2642"/>
      <c r="E5" s="2642"/>
      <c r="F5" s="2642"/>
      <c r="G5" s="2642"/>
      <c r="H5" s="2642"/>
      <c r="I5" s="2642"/>
      <c r="J5" s="2642"/>
      <c r="K5" s="2642"/>
      <c r="L5" s="2642"/>
      <c r="M5" s="2642"/>
      <c r="N5" s="11"/>
      <c r="O5" s="2644" t="s">
        <v>9</v>
      </c>
      <c r="P5" s="2644"/>
      <c r="Q5" s="2644"/>
      <c r="R5" s="2644"/>
      <c r="S5" s="2644"/>
      <c r="T5" s="2644"/>
      <c r="U5" s="2644"/>
      <c r="V5" s="2644"/>
      <c r="W5" s="2644"/>
      <c r="X5" s="2644"/>
      <c r="Y5" s="2644"/>
      <c r="Z5" s="2644"/>
      <c r="AA5" s="2644"/>
      <c r="AB5" s="2644"/>
      <c r="AC5" s="2644"/>
      <c r="AD5" s="2644"/>
      <c r="AE5" s="2644"/>
      <c r="AF5" s="2644"/>
      <c r="AG5" s="2644"/>
      <c r="AH5" s="2644"/>
      <c r="AI5" s="2644"/>
      <c r="AJ5" s="2644"/>
      <c r="AK5" s="2644"/>
      <c r="AL5" s="2644"/>
      <c r="AM5" s="2644"/>
      <c r="AN5" s="2644"/>
      <c r="AO5" s="2644"/>
      <c r="AP5" s="2644"/>
      <c r="AQ5" s="2644"/>
      <c r="AR5" s="2644"/>
      <c r="AS5" s="2644"/>
      <c r="AT5" s="2644"/>
      <c r="AU5" s="2644"/>
      <c r="AV5" s="2644"/>
      <c r="AW5" s="2644"/>
      <c r="AX5" s="2644"/>
      <c r="AY5" s="2644"/>
      <c r="AZ5" s="2644"/>
      <c r="BA5" s="2644"/>
      <c r="BB5" s="2644"/>
      <c r="BC5" s="2644"/>
      <c r="BD5" s="2644"/>
      <c r="BE5" s="2644"/>
      <c r="BF5" s="2644"/>
      <c r="BG5" s="2644"/>
      <c r="BH5" s="2644"/>
      <c r="BI5" s="2644"/>
      <c r="BJ5" s="2644"/>
      <c r="BK5" s="2644"/>
      <c r="BL5" s="2644"/>
      <c r="BM5" s="2644"/>
      <c r="BN5" s="2644"/>
      <c r="BO5" s="2644"/>
      <c r="BP5" s="2644"/>
      <c r="BQ5" s="2994"/>
      <c r="BR5" s="3245"/>
      <c r="BS5" s="913"/>
      <c r="BT5" s="913"/>
      <c r="BU5" s="52"/>
      <c r="BV5" s="52"/>
      <c r="BW5" s="52"/>
      <c r="BX5" s="52"/>
      <c r="BY5" s="52"/>
      <c r="BZ5" s="52"/>
      <c r="CA5" s="52"/>
      <c r="CB5" s="52"/>
      <c r="CC5" s="52"/>
      <c r="CD5" s="52"/>
      <c r="CE5" s="52"/>
      <c r="CF5" s="52"/>
      <c r="CG5" s="52"/>
      <c r="CH5" s="52"/>
      <c r="CI5" s="52"/>
      <c r="CJ5" s="52"/>
      <c r="CK5" s="52"/>
      <c r="CL5" s="52"/>
    </row>
    <row r="6" spans="1:90" s="2" customFormat="1" ht="24.75" customHeight="1" thickBot="1" x14ac:dyDescent="0.25">
      <c r="A6" s="3244"/>
      <c r="B6" s="2643"/>
      <c r="C6" s="2643"/>
      <c r="D6" s="2643"/>
      <c r="E6" s="2643"/>
      <c r="F6" s="2643"/>
      <c r="G6" s="2643"/>
      <c r="H6" s="2643"/>
      <c r="I6" s="2643"/>
      <c r="J6" s="2643"/>
      <c r="K6" s="2643"/>
      <c r="L6" s="2643"/>
      <c r="M6" s="2643"/>
      <c r="N6" s="13"/>
      <c r="O6" s="2111"/>
      <c r="P6" s="2112"/>
      <c r="Q6" s="500"/>
      <c r="R6" s="13"/>
      <c r="S6" s="2113"/>
      <c r="T6" s="13"/>
      <c r="U6" s="13"/>
      <c r="V6" s="13"/>
      <c r="W6" s="13"/>
      <c r="X6" s="13"/>
      <c r="Y6" s="13"/>
      <c r="Z6" s="13"/>
      <c r="AA6" s="13"/>
      <c r="AB6" s="2645" t="s">
        <v>449</v>
      </c>
      <c r="AC6" s="2643"/>
      <c r="AD6" s="2643"/>
      <c r="AE6" s="2643"/>
      <c r="AF6" s="2643"/>
      <c r="AG6" s="2643"/>
      <c r="AH6" s="2643"/>
      <c r="AI6" s="2643"/>
      <c r="AJ6" s="2643"/>
      <c r="AK6" s="2643"/>
      <c r="AL6" s="2643"/>
      <c r="AM6" s="2643"/>
      <c r="AN6" s="2643"/>
      <c r="AO6" s="2643"/>
      <c r="AP6" s="2643"/>
      <c r="AQ6" s="2643"/>
      <c r="AR6" s="2643"/>
      <c r="AS6" s="2643"/>
      <c r="AT6" s="2643"/>
      <c r="AU6" s="2643"/>
      <c r="AV6" s="2643"/>
      <c r="AW6" s="2643"/>
      <c r="AX6" s="2643"/>
      <c r="AY6" s="2643"/>
      <c r="AZ6" s="2643"/>
      <c r="BA6" s="2643"/>
      <c r="BB6" s="2643"/>
      <c r="BC6" s="2643"/>
      <c r="BD6" s="2643"/>
      <c r="BE6" s="13"/>
      <c r="BF6" s="2114"/>
      <c r="BG6" s="2114"/>
      <c r="BH6" s="2114"/>
      <c r="BI6" s="2114"/>
      <c r="BJ6" s="2114"/>
      <c r="BK6" s="2114"/>
      <c r="BL6" s="2114"/>
      <c r="BM6" s="2114"/>
      <c r="BN6" s="2115"/>
      <c r="BO6" s="2115"/>
      <c r="BP6" s="2115"/>
      <c r="BQ6" s="2115"/>
      <c r="BR6" s="2116"/>
      <c r="BS6" s="913"/>
      <c r="BT6" s="913"/>
      <c r="BU6" s="52"/>
      <c r="BV6" s="52"/>
      <c r="BW6" s="52"/>
      <c r="BX6" s="52"/>
      <c r="BY6" s="52"/>
      <c r="BZ6" s="52"/>
      <c r="CA6" s="52"/>
      <c r="CB6" s="52"/>
      <c r="CC6" s="52"/>
      <c r="CD6" s="52"/>
      <c r="CE6" s="52"/>
      <c r="CF6" s="52"/>
      <c r="CG6" s="52"/>
      <c r="CH6" s="52"/>
      <c r="CI6" s="52"/>
      <c r="CJ6" s="52"/>
      <c r="CK6" s="52"/>
      <c r="CL6" s="52"/>
    </row>
    <row r="7" spans="1:90" s="920" customFormat="1" ht="18.75" customHeight="1" x14ac:dyDescent="0.2">
      <c r="A7" s="3650" t="s">
        <v>10</v>
      </c>
      <c r="B7" s="3248" t="s">
        <v>11</v>
      </c>
      <c r="C7" s="3249"/>
      <c r="D7" s="3249" t="s">
        <v>10</v>
      </c>
      <c r="E7" s="3248" t="s">
        <v>12</v>
      </c>
      <c r="F7" s="3249"/>
      <c r="G7" s="3249" t="s">
        <v>10</v>
      </c>
      <c r="H7" s="3248" t="s">
        <v>13</v>
      </c>
      <c r="I7" s="3249"/>
      <c r="J7" s="3249" t="s">
        <v>10</v>
      </c>
      <c r="K7" s="3248" t="s">
        <v>14</v>
      </c>
      <c r="L7" s="3645" t="s">
        <v>15</v>
      </c>
      <c r="M7" s="3248" t="s">
        <v>2117</v>
      </c>
      <c r="N7" s="3249"/>
      <c r="O7" s="3645" t="s">
        <v>17</v>
      </c>
      <c r="P7" s="3645" t="s">
        <v>108</v>
      </c>
      <c r="Q7" s="3678" t="s">
        <v>9</v>
      </c>
      <c r="R7" s="3680" t="s">
        <v>19</v>
      </c>
      <c r="S7" s="3681" t="s">
        <v>20</v>
      </c>
      <c r="T7" s="3248" t="s">
        <v>21</v>
      </c>
      <c r="U7" s="3248" t="s">
        <v>22</v>
      </c>
      <c r="V7" s="3645" t="s">
        <v>23</v>
      </c>
      <c r="W7" s="3256" t="s">
        <v>20</v>
      </c>
      <c r="X7" s="3672"/>
      <c r="Y7" s="3673"/>
      <c r="Z7" s="3002" t="s">
        <v>10</v>
      </c>
      <c r="AA7" s="3645" t="s">
        <v>24</v>
      </c>
      <c r="AB7" s="3686" t="s">
        <v>25</v>
      </c>
      <c r="AC7" s="3686"/>
      <c r="AD7" s="3686"/>
      <c r="AE7" s="16"/>
      <c r="AF7" s="3663" t="s">
        <v>26</v>
      </c>
      <c r="AG7" s="3663"/>
      <c r="AH7" s="3663"/>
      <c r="AI7" s="3663"/>
      <c r="AJ7" s="3663"/>
      <c r="AK7" s="3663"/>
      <c r="AL7" s="3663"/>
      <c r="AM7" s="3664"/>
      <c r="AN7" s="3653" t="s">
        <v>27</v>
      </c>
      <c r="AO7" s="3654"/>
      <c r="AP7" s="3654"/>
      <c r="AQ7" s="3654"/>
      <c r="AR7" s="3654"/>
      <c r="AS7" s="3654"/>
      <c r="AT7" s="3654"/>
      <c r="AU7" s="3654"/>
      <c r="AV7" s="3654"/>
      <c r="AW7" s="3654"/>
      <c r="AX7" s="3654"/>
      <c r="AY7" s="3655"/>
      <c r="AZ7" s="3656" t="s">
        <v>28</v>
      </c>
      <c r="BA7" s="3657"/>
      <c r="BB7" s="3657"/>
      <c r="BC7" s="3657"/>
      <c r="BD7" s="3657"/>
      <c r="BE7" s="3658"/>
      <c r="BF7" s="3659" t="s">
        <v>29</v>
      </c>
      <c r="BG7" s="3660"/>
      <c r="BH7" s="2673" t="s">
        <v>30</v>
      </c>
      <c r="BI7" s="2674"/>
      <c r="BJ7" s="2674"/>
      <c r="BK7" s="2674"/>
      <c r="BL7" s="2674"/>
      <c r="BM7" s="2675"/>
      <c r="BN7" s="3661" t="s">
        <v>31</v>
      </c>
      <c r="BO7" s="3662"/>
      <c r="BP7" s="3661" t="s">
        <v>32</v>
      </c>
      <c r="BQ7" s="3662"/>
      <c r="BR7" s="3651" t="s">
        <v>33</v>
      </c>
      <c r="BS7" s="913"/>
      <c r="BT7" s="913"/>
      <c r="BU7" s="913"/>
      <c r="BV7" s="913"/>
      <c r="BW7" s="913"/>
      <c r="BX7" s="913"/>
      <c r="BY7" s="913"/>
      <c r="BZ7" s="913"/>
      <c r="CA7" s="913"/>
      <c r="CB7" s="913"/>
      <c r="CC7" s="913"/>
      <c r="CD7" s="913"/>
      <c r="CE7" s="913"/>
      <c r="CF7" s="913"/>
      <c r="CG7" s="913"/>
      <c r="CH7" s="913"/>
      <c r="CI7" s="913"/>
      <c r="CJ7" s="913"/>
      <c r="CK7" s="913"/>
      <c r="CL7" s="913"/>
    </row>
    <row r="8" spans="1:90" s="920" customFormat="1" ht="129" customHeight="1" x14ac:dyDescent="0.2">
      <c r="A8" s="2995"/>
      <c r="B8" s="2998"/>
      <c r="C8" s="3000"/>
      <c r="D8" s="3000"/>
      <c r="E8" s="2998"/>
      <c r="F8" s="3000"/>
      <c r="G8" s="3000"/>
      <c r="H8" s="2998"/>
      <c r="I8" s="3000"/>
      <c r="J8" s="3000"/>
      <c r="K8" s="2998"/>
      <c r="L8" s="2996"/>
      <c r="M8" s="2998"/>
      <c r="N8" s="3000"/>
      <c r="O8" s="2996"/>
      <c r="P8" s="2996"/>
      <c r="Q8" s="3679"/>
      <c r="R8" s="3032"/>
      <c r="S8" s="3682"/>
      <c r="T8" s="2998"/>
      <c r="U8" s="2998"/>
      <c r="V8" s="2996"/>
      <c r="W8" s="3674"/>
      <c r="X8" s="3675"/>
      <c r="Y8" s="3676"/>
      <c r="Z8" s="3677"/>
      <c r="AA8" s="2996"/>
      <c r="AB8" s="3008" t="s">
        <v>37</v>
      </c>
      <c r="AC8" s="3009"/>
      <c r="AD8" s="3008" t="s">
        <v>38</v>
      </c>
      <c r="AE8" s="3009"/>
      <c r="AF8" s="3008" t="s">
        <v>39</v>
      </c>
      <c r="AG8" s="3009"/>
      <c r="AH8" s="3008" t="s">
        <v>40</v>
      </c>
      <c r="AI8" s="3009"/>
      <c r="AJ8" s="3008" t="s">
        <v>450</v>
      </c>
      <c r="AK8" s="3009"/>
      <c r="AL8" s="3008" t="s">
        <v>42</v>
      </c>
      <c r="AM8" s="3009"/>
      <c r="AN8" s="3008" t="s">
        <v>43</v>
      </c>
      <c r="AO8" s="3009"/>
      <c r="AP8" s="3008" t="s">
        <v>44</v>
      </c>
      <c r="AQ8" s="3009"/>
      <c r="AR8" s="3008" t="s">
        <v>45</v>
      </c>
      <c r="AS8" s="3009"/>
      <c r="AT8" s="3008" t="s">
        <v>46</v>
      </c>
      <c r="AU8" s="3009"/>
      <c r="AV8" s="3008" t="s">
        <v>47</v>
      </c>
      <c r="AW8" s="3009"/>
      <c r="AX8" s="3008" t="s">
        <v>48</v>
      </c>
      <c r="AY8" s="3009"/>
      <c r="AZ8" s="3008" t="s">
        <v>49</v>
      </c>
      <c r="BA8" s="3009"/>
      <c r="BB8" s="3008" t="s">
        <v>50</v>
      </c>
      <c r="BC8" s="3009"/>
      <c r="BD8" s="3671" t="s">
        <v>51</v>
      </c>
      <c r="BE8" s="3671"/>
      <c r="BF8" s="3014"/>
      <c r="BG8" s="3015"/>
      <c r="BH8" s="2700" t="s">
        <v>52</v>
      </c>
      <c r="BI8" s="2701" t="s">
        <v>53</v>
      </c>
      <c r="BJ8" s="2700" t="s">
        <v>54</v>
      </c>
      <c r="BK8" s="2778" t="s">
        <v>55</v>
      </c>
      <c r="BL8" s="2700" t="s">
        <v>56</v>
      </c>
      <c r="BM8" s="2698" t="s">
        <v>57</v>
      </c>
      <c r="BN8" s="3021"/>
      <c r="BO8" s="3022"/>
      <c r="BP8" s="3019"/>
      <c r="BQ8" s="3020"/>
      <c r="BR8" s="3652"/>
      <c r="BS8" s="913"/>
      <c r="BT8" s="913"/>
      <c r="BU8" s="913"/>
      <c r="BV8" s="913"/>
      <c r="BW8" s="913"/>
      <c r="BX8" s="913"/>
      <c r="BY8" s="913"/>
      <c r="BZ8" s="913"/>
      <c r="CA8" s="913"/>
      <c r="CB8" s="913"/>
      <c r="CC8" s="913"/>
      <c r="CD8" s="913"/>
      <c r="CE8" s="913"/>
      <c r="CF8" s="913"/>
      <c r="CG8" s="913"/>
      <c r="CH8" s="913"/>
      <c r="CI8" s="913"/>
      <c r="CJ8" s="913"/>
      <c r="CK8" s="913"/>
      <c r="CL8" s="913"/>
    </row>
    <row r="9" spans="1:90" s="920" customFormat="1" ht="42" customHeight="1" x14ac:dyDescent="0.2">
      <c r="A9" s="2995"/>
      <c r="B9" s="2998"/>
      <c r="C9" s="3000"/>
      <c r="D9" s="3000"/>
      <c r="E9" s="2998"/>
      <c r="F9" s="3000"/>
      <c r="G9" s="3000"/>
      <c r="H9" s="2998"/>
      <c r="I9" s="3000"/>
      <c r="J9" s="3000"/>
      <c r="K9" s="2998"/>
      <c r="L9" s="2996"/>
      <c r="M9" s="24" t="s">
        <v>58</v>
      </c>
      <c r="N9" s="24" t="s">
        <v>59</v>
      </c>
      <c r="O9" s="2996"/>
      <c r="P9" s="2996"/>
      <c r="Q9" s="3679"/>
      <c r="R9" s="3032"/>
      <c r="S9" s="3682"/>
      <c r="T9" s="2998"/>
      <c r="U9" s="2998"/>
      <c r="V9" s="2996"/>
      <c r="W9" s="2117" t="s">
        <v>34</v>
      </c>
      <c r="X9" s="2117" t="s">
        <v>35</v>
      </c>
      <c r="Y9" s="2117" t="s">
        <v>36</v>
      </c>
      <c r="Z9" s="3003"/>
      <c r="AA9" s="2996"/>
      <c r="AB9" s="2118" t="s">
        <v>58</v>
      </c>
      <c r="AC9" s="2118" t="s">
        <v>59</v>
      </c>
      <c r="AD9" s="2118" t="s">
        <v>58</v>
      </c>
      <c r="AE9" s="2118" t="s">
        <v>59</v>
      </c>
      <c r="AF9" s="2118" t="s">
        <v>58</v>
      </c>
      <c r="AG9" s="2118" t="s">
        <v>59</v>
      </c>
      <c r="AH9" s="2118" t="s">
        <v>58</v>
      </c>
      <c r="AI9" s="2118" t="s">
        <v>59</v>
      </c>
      <c r="AJ9" s="2118" t="s">
        <v>58</v>
      </c>
      <c r="AK9" s="2118" t="s">
        <v>59</v>
      </c>
      <c r="AL9" s="2118" t="s">
        <v>58</v>
      </c>
      <c r="AM9" s="2118" t="s">
        <v>59</v>
      </c>
      <c r="AN9" s="2118" t="s">
        <v>58</v>
      </c>
      <c r="AO9" s="2118" t="s">
        <v>59</v>
      </c>
      <c r="AP9" s="2118" t="s">
        <v>58</v>
      </c>
      <c r="AQ9" s="2118" t="s">
        <v>59</v>
      </c>
      <c r="AR9" s="2118" t="s">
        <v>58</v>
      </c>
      <c r="AS9" s="2118" t="s">
        <v>59</v>
      </c>
      <c r="AT9" s="2118" t="s">
        <v>58</v>
      </c>
      <c r="AU9" s="2118" t="s">
        <v>59</v>
      </c>
      <c r="AV9" s="2118" t="s">
        <v>58</v>
      </c>
      <c r="AW9" s="2118" t="s">
        <v>59</v>
      </c>
      <c r="AX9" s="2118" t="s">
        <v>58</v>
      </c>
      <c r="AY9" s="2118" t="s">
        <v>59</v>
      </c>
      <c r="AZ9" s="2118" t="s">
        <v>58</v>
      </c>
      <c r="BA9" s="2118" t="s">
        <v>59</v>
      </c>
      <c r="BB9" s="2118" t="s">
        <v>58</v>
      </c>
      <c r="BC9" s="2118" t="s">
        <v>59</v>
      </c>
      <c r="BD9" s="2118" t="s">
        <v>58</v>
      </c>
      <c r="BE9" s="2118" t="s">
        <v>59</v>
      </c>
      <c r="BF9" s="2118" t="s">
        <v>58</v>
      </c>
      <c r="BG9" s="2118" t="s">
        <v>59</v>
      </c>
      <c r="BH9" s="2700"/>
      <c r="BI9" s="2701"/>
      <c r="BJ9" s="2700"/>
      <c r="BK9" s="2778"/>
      <c r="BL9" s="2700"/>
      <c r="BM9" s="2699"/>
      <c r="BN9" s="2119" t="s">
        <v>58</v>
      </c>
      <c r="BO9" s="2119" t="s">
        <v>59</v>
      </c>
      <c r="BP9" s="2119" t="s">
        <v>58</v>
      </c>
      <c r="BQ9" s="2120" t="s">
        <v>59</v>
      </c>
      <c r="BR9" s="3652"/>
      <c r="BS9" s="913"/>
      <c r="BT9" s="913"/>
      <c r="BU9" s="913"/>
      <c r="BV9" s="913"/>
      <c r="BW9" s="913"/>
      <c r="BX9" s="913"/>
      <c r="BY9" s="913"/>
      <c r="BZ9" s="913"/>
      <c r="CA9" s="913"/>
      <c r="CB9" s="913"/>
      <c r="CC9" s="913"/>
      <c r="CD9" s="913"/>
      <c r="CE9" s="913"/>
      <c r="CF9" s="913"/>
      <c r="CG9" s="913"/>
      <c r="CH9" s="913"/>
      <c r="CI9" s="913"/>
      <c r="CJ9" s="913"/>
      <c r="CK9" s="913"/>
      <c r="CL9" s="913"/>
    </row>
    <row r="10" spans="1:90" s="2" customFormat="1" ht="43.5" customHeight="1" x14ac:dyDescent="0.2">
      <c r="A10" s="2121">
        <v>2</v>
      </c>
      <c r="B10" s="1731"/>
      <c r="C10" s="1731" t="s">
        <v>1489</v>
      </c>
      <c r="D10" s="1731"/>
      <c r="E10" s="1731"/>
      <c r="F10" s="1731"/>
      <c r="G10" s="1731"/>
      <c r="H10" s="1731"/>
      <c r="I10" s="1731"/>
      <c r="J10" s="1731"/>
      <c r="K10" s="1731"/>
      <c r="L10" s="1731"/>
      <c r="M10" s="1731"/>
      <c r="N10" s="1731"/>
      <c r="O10" s="1731"/>
      <c r="P10" s="2122"/>
      <c r="Q10" s="1730"/>
      <c r="R10" s="1732"/>
      <c r="S10" s="2123"/>
      <c r="T10" s="1731"/>
      <c r="U10" s="1731"/>
      <c r="V10" s="1731"/>
      <c r="W10" s="2124"/>
      <c r="X10" s="2124"/>
      <c r="Y10" s="2124"/>
      <c r="Z10" s="2125"/>
      <c r="AA10" s="1731"/>
      <c r="AB10" s="2126"/>
      <c r="AC10" s="2126"/>
      <c r="AD10" s="2126"/>
      <c r="AE10" s="2126"/>
      <c r="AF10" s="1731"/>
      <c r="AG10" s="1731"/>
      <c r="AH10" s="1731"/>
      <c r="AI10" s="1731"/>
      <c r="AJ10" s="1731"/>
      <c r="AK10" s="1731"/>
      <c r="AL10" s="1731"/>
      <c r="AM10" s="1731"/>
      <c r="AN10" s="1731"/>
      <c r="AO10" s="1731"/>
      <c r="AP10" s="1731"/>
      <c r="AQ10" s="1731"/>
      <c r="AR10" s="1731"/>
      <c r="AS10" s="1731"/>
      <c r="AT10" s="1731"/>
      <c r="AU10" s="1731"/>
      <c r="AV10" s="1731"/>
      <c r="AW10" s="1731"/>
      <c r="AX10" s="1731"/>
      <c r="AY10" s="1731"/>
      <c r="AZ10" s="1731"/>
      <c r="BA10" s="1731"/>
      <c r="BB10" s="1731"/>
      <c r="BC10" s="1731"/>
      <c r="BD10" s="1731"/>
      <c r="BE10" s="1731"/>
      <c r="BF10" s="2127"/>
      <c r="BG10" s="2127"/>
      <c r="BH10" s="2127"/>
      <c r="BI10" s="2127"/>
      <c r="BJ10" s="2127"/>
      <c r="BK10" s="2127"/>
      <c r="BL10" s="2127"/>
      <c r="BM10" s="2127"/>
      <c r="BN10" s="2128"/>
      <c r="BO10" s="2128"/>
      <c r="BP10" s="2128"/>
      <c r="BQ10" s="2128"/>
      <c r="BR10" s="2129"/>
      <c r="BS10" s="913"/>
      <c r="BT10" s="913"/>
      <c r="BU10" s="52"/>
      <c r="BV10" s="52"/>
      <c r="BW10" s="52"/>
      <c r="BX10" s="52"/>
      <c r="BY10" s="52"/>
      <c r="BZ10" s="52"/>
      <c r="CA10" s="52"/>
      <c r="CB10" s="52"/>
      <c r="CC10" s="52"/>
      <c r="CD10" s="52"/>
      <c r="CE10" s="52"/>
      <c r="CF10" s="52"/>
      <c r="CG10" s="52"/>
      <c r="CH10" s="52"/>
      <c r="CI10" s="52"/>
      <c r="CJ10" s="52"/>
      <c r="CK10" s="52"/>
      <c r="CL10" s="52"/>
    </row>
    <row r="11" spans="1:90" ht="15.75" x14ac:dyDescent="0.2">
      <c r="A11" s="3665"/>
      <c r="B11" s="3666"/>
      <c r="C11" s="3270"/>
      <c r="D11" s="2130">
        <v>2</v>
      </c>
      <c r="E11" s="49" t="s">
        <v>1490</v>
      </c>
      <c r="F11" s="49"/>
      <c r="G11" s="49"/>
      <c r="H11" s="49"/>
      <c r="I11" s="49"/>
      <c r="J11" s="2131"/>
      <c r="K11" s="2131"/>
      <c r="L11" s="2131"/>
      <c r="M11" s="2131"/>
      <c r="N11" s="2132"/>
      <c r="O11" s="2131"/>
      <c r="P11" s="2131"/>
      <c r="Q11" s="2133"/>
      <c r="R11" s="2131"/>
      <c r="S11" s="2134"/>
      <c r="T11" s="2131"/>
      <c r="U11" s="2131"/>
      <c r="V11" s="2131"/>
      <c r="W11" s="2135"/>
      <c r="X11" s="2135"/>
      <c r="Y11" s="2135"/>
      <c r="Z11" s="2131"/>
      <c r="AA11" s="2132"/>
      <c r="AB11" s="2132"/>
      <c r="AC11" s="2132"/>
      <c r="AD11" s="2132"/>
      <c r="AE11" s="2132"/>
      <c r="AF11" s="2132"/>
      <c r="AG11" s="2132"/>
      <c r="AH11" s="2132"/>
      <c r="AI11" s="2132"/>
      <c r="AJ11" s="2132"/>
      <c r="AK11" s="2132"/>
      <c r="AL11" s="2132"/>
      <c r="AM11" s="2132"/>
      <c r="AN11" s="2132"/>
      <c r="AO11" s="2132"/>
      <c r="AP11" s="2132"/>
      <c r="AQ11" s="2132"/>
      <c r="AR11" s="2132"/>
      <c r="AS11" s="2132"/>
      <c r="AT11" s="2132"/>
      <c r="AU11" s="2132"/>
      <c r="AV11" s="2132"/>
      <c r="AW11" s="2132"/>
      <c r="AX11" s="2132"/>
      <c r="AY11" s="2132"/>
      <c r="AZ11" s="2132"/>
      <c r="BA11" s="2132"/>
      <c r="BB11" s="2132"/>
      <c r="BC11" s="2132"/>
      <c r="BD11" s="2132"/>
      <c r="BE11" s="2132"/>
      <c r="BF11" s="2132"/>
      <c r="BG11" s="2132"/>
      <c r="BH11" s="2132"/>
      <c r="BI11" s="2135"/>
      <c r="BJ11" s="2135"/>
      <c r="BK11" s="2136"/>
      <c r="BL11" s="2132"/>
      <c r="BM11" s="2132"/>
      <c r="BN11" s="2132"/>
      <c r="BO11" s="2132"/>
      <c r="BP11" s="2132"/>
      <c r="BQ11" s="2132"/>
      <c r="BR11" s="2137"/>
    </row>
    <row r="12" spans="1:90" ht="15.75" x14ac:dyDescent="0.2">
      <c r="A12" s="3667"/>
      <c r="B12" s="3668"/>
      <c r="C12" s="3271"/>
      <c r="D12" s="3669"/>
      <c r="E12" s="3669"/>
      <c r="F12" s="3274"/>
      <c r="G12" s="2138">
        <v>8</v>
      </c>
      <c r="H12" s="2139" t="s">
        <v>2118</v>
      </c>
      <c r="I12" s="2139"/>
      <c r="J12" s="2140"/>
      <c r="K12" s="2140"/>
      <c r="L12" s="2140"/>
      <c r="M12" s="2140"/>
      <c r="N12" s="2141"/>
      <c r="O12" s="2140"/>
      <c r="P12" s="2140"/>
      <c r="Q12" s="2142"/>
      <c r="R12" s="2140"/>
      <c r="S12" s="2143"/>
      <c r="T12" s="2140"/>
      <c r="U12" s="2140"/>
      <c r="V12" s="2140"/>
      <c r="W12" s="2144"/>
      <c r="X12" s="2144"/>
      <c r="Y12" s="2144"/>
      <c r="Z12" s="2140"/>
      <c r="AA12" s="2141"/>
      <c r="AB12" s="2141"/>
      <c r="AC12" s="2141"/>
      <c r="AD12" s="2141"/>
      <c r="AE12" s="2141"/>
      <c r="AF12" s="2141"/>
      <c r="AG12" s="2141"/>
      <c r="AH12" s="2141"/>
      <c r="AI12" s="2141"/>
      <c r="AJ12" s="2141"/>
      <c r="AK12" s="2141"/>
      <c r="AL12" s="2141"/>
      <c r="AM12" s="2141"/>
      <c r="AN12" s="2141"/>
      <c r="AO12" s="2141"/>
      <c r="AP12" s="2141"/>
      <c r="AQ12" s="2141"/>
      <c r="AR12" s="2141"/>
      <c r="AS12" s="2141"/>
      <c r="AT12" s="2141"/>
      <c r="AU12" s="2141"/>
      <c r="AV12" s="2141"/>
      <c r="AW12" s="2141"/>
      <c r="AX12" s="2141"/>
      <c r="AY12" s="2141"/>
      <c r="AZ12" s="2141"/>
      <c r="BA12" s="2141"/>
      <c r="BB12" s="2141"/>
      <c r="BC12" s="2141"/>
      <c r="BD12" s="2141"/>
      <c r="BE12" s="2141"/>
      <c r="BF12" s="2141"/>
      <c r="BG12" s="2141"/>
      <c r="BH12" s="2141"/>
      <c r="BI12" s="2144"/>
      <c r="BJ12" s="2144"/>
      <c r="BK12" s="2145"/>
      <c r="BL12" s="2141"/>
      <c r="BM12" s="2141"/>
      <c r="BN12" s="2141"/>
      <c r="BO12" s="2141"/>
      <c r="BP12" s="2141"/>
      <c r="BQ12" s="2141"/>
      <c r="BR12" s="2146"/>
    </row>
    <row r="13" spans="1:90" s="2" customFormat="1" ht="51.75" customHeight="1" x14ac:dyDescent="0.2">
      <c r="A13" s="3667"/>
      <c r="B13" s="3668"/>
      <c r="C13" s="3271"/>
      <c r="D13" s="3670"/>
      <c r="E13" s="3670"/>
      <c r="F13" s="3276"/>
      <c r="G13" s="3086"/>
      <c r="H13" s="3089"/>
      <c r="I13" s="3090"/>
      <c r="J13" s="2708">
        <v>38</v>
      </c>
      <c r="K13" s="3078" t="s">
        <v>2119</v>
      </c>
      <c r="L13" s="3096" t="s">
        <v>2120</v>
      </c>
      <c r="M13" s="2711">
        <v>4</v>
      </c>
      <c r="N13" s="2706">
        <v>1</v>
      </c>
      <c r="O13" s="2711" t="s">
        <v>2121</v>
      </c>
      <c r="P13" s="2711" t="s">
        <v>2122</v>
      </c>
      <c r="Q13" s="3096" t="s">
        <v>2123</v>
      </c>
      <c r="R13" s="3687">
        <f>SUM(W13:W16)/S13</f>
        <v>0.66764214046822745</v>
      </c>
      <c r="S13" s="3688">
        <f>SUM(W13:W22)</f>
        <v>119600000</v>
      </c>
      <c r="T13" s="3096" t="s">
        <v>2124</v>
      </c>
      <c r="U13" s="3702" t="s">
        <v>2125</v>
      </c>
      <c r="V13" s="3096" t="s">
        <v>2126</v>
      </c>
      <c r="W13" s="2147">
        <v>16425000</v>
      </c>
      <c r="X13" s="2148">
        <v>1425000</v>
      </c>
      <c r="Y13" s="2148"/>
      <c r="Z13" s="2149">
        <v>20</v>
      </c>
      <c r="AA13" s="76" t="s">
        <v>2127</v>
      </c>
      <c r="AB13" s="2706">
        <v>294321</v>
      </c>
      <c r="AC13" s="2706">
        <v>140</v>
      </c>
      <c r="AD13" s="2706">
        <v>283947</v>
      </c>
      <c r="AE13" s="2706">
        <v>72</v>
      </c>
      <c r="AF13" s="2706">
        <v>135754</v>
      </c>
      <c r="AG13" s="2706"/>
      <c r="AH13" s="2706">
        <v>44640</v>
      </c>
      <c r="AI13" s="2706"/>
      <c r="AJ13" s="2706">
        <v>308178</v>
      </c>
      <c r="AK13" s="2706">
        <v>212</v>
      </c>
      <c r="AL13" s="2706">
        <v>89696</v>
      </c>
      <c r="AM13" s="2706"/>
      <c r="AN13" s="2706"/>
      <c r="AO13" s="2706"/>
      <c r="AP13" s="2706"/>
      <c r="AQ13" s="2706"/>
      <c r="AR13" s="2706"/>
      <c r="AS13" s="2706"/>
      <c r="AT13" s="2706"/>
      <c r="AU13" s="2706"/>
      <c r="AV13" s="2706"/>
      <c r="AW13" s="2706"/>
      <c r="AX13" s="2706"/>
      <c r="AY13" s="2706"/>
      <c r="AZ13" s="2706"/>
      <c r="BA13" s="2706"/>
      <c r="BB13" s="2706"/>
      <c r="BC13" s="2706"/>
      <c r="BD13" s="2706"/>
      <c r="BE13" s="2706"/>
      <c r="BF13" s="2706">
        <f>+AB13+AD13</f>
        <v>578268</v>
      </c>
      <c r="BG13" s="2706">
        <f>AC13+AE13</f>
        <v>212</v>
      </c>
      <c r="BH13" s="2708">
        <v>1</v>
      </c>
      <c r="BI13" s="3693">
        <f>SUM(X13:X22)</f>
        <v>18840000</v>
      </c>
      <c r="BJ13" s="3693">
        <f>SUM(Y13:Y22)</f>
        <v>8394000</v>
      </c>
      <c r="BK13" s="3696">
        <f>BJ13/BI13</f>
        <v>0.44554140127388536</v>
      </c>
      <c r="BL13" s="2708" t="s">
        <v>2128</v>
      </c>
      <c r="BM13" s="2708" t="s">
        <v>2129</v>
      </c>
      <c r="BN13" s="3689">
        <v>43467</v>
      </c>
      <c r="BO13" s="3699">
        <v>43509</v>
      </c>
      <c r="BP13" s="3689">
        <v>43830</v>
      </c>
      <c r="BQ13" s="3689">
        <v>43830</v>
      </c>
      <c r="BR13" s="3692" t="s">
        <v>2130</v>
      </c>
    </row>
    <row r="14" spans="1:90" s="2" customFormat="1" ht="51.75" customHeight="1" x14ac:dyDescent="0.2">
      <c r="A14" s="3667"/>
      <c r="B14" s="3668"/>
      <c r="C14" s="3271"/>
      <c r="D14" s="3670"/>
      <c r="E14" s="3670"/>
      <c r="F14" s="3276"/>
      <c r="G14" s="3087"/>
      <c r="H14" s="3091"/>
      <c r="I14" s="3092"/>
      <c r="J14" s="2709"/>
      <c r="K14" s="3142"/>
      <c r="L14" s="3096"/>
      <c r="M14" s="2711"/>
      <c r="N14" s="2706"/>
      <c r="O14" s="2711"/>
      <c r="P14" s="2711"/>
      <c r="Q14" s="3096"/>
      <c r="R14" s="3687"/>
      <c r="S14" s="3688"/>
      <c r="T14" s="3096"/>
      <c r="U14" s="3702"/>
      <c r="V14" s="3096"/>
      <c r="W14" s="2147">
        <f>0+60000000</f>
        <v>60000000</v>
      </c>
      <c r="X14" s="2148"/>
      <c r="Y14" s="2148"/>
      <c r="Z14" s="2149">
        <v>88</v>
      </c>
      <c r="AA14" s="76" t="s">
        <v>2131</v>
      </c>
      <c r="AB14" s="2706"/>
      <c r="AC14" s="2706"/>
      <c r="AD14" s="2706"/>
      <c r="AE14" s="2706"/>
      <c r="AF14" s="2706"/>
      <c r="AG14" s="2706"/>
      <c r="AH14" s="2706"/>
      <c r="AI14" s="2706"/>
      <c r="AJ14" s="2706"/>
      <c r="AK14" s="2706"/>
      <c r="AL14" s="2706"/>
      <c r="AM14" s="2706"/>
      <c r="AN14" s="2706"/>
      <c r="AO14" s="2706"/>
      <c r="AP14" s="2706"/>
      <c r="AQ14" s="2706"/>
      <c r="AR14" s="2706"/>
      <c r="AS14" s="2706"/>
      <c r="AT14" s="2706"/>
      <c r="AU14" s="2706"/>
      <c r="AV14" s="2706"/>
      <c r="AW14" s="2706"/>
      <c r="AX14" s="2706"/>
      <c r="AY14" s="2706"/>
      <c r="AZ14" s="2706"/>
      <c r="BA14" s="2706"/>
      <c r="BB14" s="2706"/>
      <c r="BC14" s="2706"/>
      <c r="BD14" s="2706"/>
      <c r="BE14" s="2706"/>
      <c r="BF14" s="2706"/>
      <c r="BG14" s="2706"/>
      <c r="BH14" s="2709"/>
      <c r="BI14" s="3694"/>
      <c r="BJ14" s="3694"/>
      <c r="BK14" s="3697"/>
      <c r="BL14" s="2709"/>
      <c r="BM14" s="2709"/>
      <c r="BN14" s="3690"/>
      <c r="BO14" s="3700"/>
      <c r="BP14" s="3690"/>
      <c r="BQ14" s="3690"/>
      <c r="BR14" s="3692"/>
    </row>
    <row r="15" spans="1:90" s="2" customFormat="1" ht="27" customHeight="1" x14ac:dyDescent="0.2">
      <c r="A15" s="3667"/>
      <c r="B15" s="3668"/>
      <c r="C15" s="3271"/>
      <c r="D15" s="3670"/>
      <c r="E15" s="3670"/>
      <c r="F15" s="3276"/>
      <c r="G15" s="3087"/>
      <c r="H15" s="3091"/>
      <c r="I15" s="3092"/>
      <c r="J15" s="2709"/>
      <c r="K15" s="3142"/>
      <c r="L15" s="3096"/>
      <c r="M15" s="2711"/>
      <c r="N15" s="2706"/>
      <c r="O15" s="2711"/>
      <c r="P15" s="2711"/>
      <c r="Q15" s="3096"/>
      <c r="R15" s="3687"/>
      <c r="S15" s="3688"/>
      <c r="T15" s="3096"/>
      <c r="U15" s="3702"/>
      <c r="V15" s="3096" t="s">
        <v>2132</v>
      </c>
      <c r="W15" s="3688">
        <v>3425000</v>
      </c>
      <c r="X15" s="3684">
        <v>3425000</v>
      </c>
      <c r="Y15" s="3684"/>
      <c r="Z15" s="3685">
        <v>20</v>
      </c>
      <c r="AA15" s="2711" t="s">
        <v>2127</v>
      </c>
      <c r="AB15" s="2706"/>
      <c r="AC15" s="2706"/>
      <c r="AD15" s="2706"/>
      <c r="AE15" s="2706"/>
      <c r="AF15" s="2706"/>
      <c r="AG15" s="2706"/>
      <c r="AH15" s="2706"/>
      <c r="AI15" s="2706"/>
      <c r="AJ15" s="2706"/>
      <c r="AK15" s="2706"/>
      <c r="AL15" s="2706"/>
      <c r="AM15" s="2706"/>
      <c r="AN15" s="2706"/>
      <c r="AO15" s="2706"/>
      <c r="AP15" s="2706"/>
      <c r="AQ15" s="2706"/>
      <c r="AR15" s="2706"/>
      <c r="AS15" s="2706"/>
      <c r="AT15" s="2706"/>
      <c r="AU15" s="2706"/>
      <c r="AV15" s="2706"/>
      <c r="AW15" s="2706"/>
      <c r="AX15" s="2706"/>
      <c r="AY15" s="2706"/>
      <c r="AZ15" s="2706"/>
      <c r="BA15" s="2706"/>
      <c r="BB15" s="2706"/>
      <c r="BC15" s="2706"/>
      <c r="BD15" s="2706"/>
      <c r="BE15" s="2706"/>
      <c r="BF15" s="2706"/>
      <c r="BG15" s="2706"/>
      <c r="BH15" s="2709"/>
      <c r="BI15" s="3694"/>
      <c r="BJ15" s="3694"/>
      <c r="BK15" s="3697"/>
      <c r="BL15" s="2709"/>
      <c r="BM15" s="2709"/>
      <c r="BN15" s="3690"/>
      <c r="BO15" s="3700"/>
      <c r="BP15" s="3690"/>
      <c r="BQ15" s="3690"/>
      <c r="BR15" s="3692"/>
    </row>
    <row r="16" spans="1:90" s="2" customFormat="1" ht="27" customHeight="1" x14ac:dyDescent="0.2">
      <c r="A16" s="3667"/>
      <c r="B16" s="3668"/>
      <c r="C16" s="3271"/>
      <c r="D16" s="3670"/>
      <c r="E16" s="3670"/>
      <c r="F16" s="3276"/>
      <c r="G16" s="3087"/>
      <c r="H16" s="3091"/>
      <c r="I16" s="3092"/>
      <c r="J16" s="2710"/>
      <c r="K16" s="3079"/>
      <c r="L16" s="3096"/>
      <c r="M16" s="2711"/>
      <c r="N16" s="2706"/>
      <c r="O16" s="2711"/>
      <c r="P16" s="2711"/>
      <c r="Q16" s="3096"/>
      <c r="R16" s="3687"/>
      <c r="S16" s="3688"/>
      <c r="T16" s="3096"/>
      <c r="U16" s="3702"/>
      <c r="V16" s="3096"/>
      <c r="W16" s="3688"/>
      <c r="X16" s="3684"/>
      <c r="Y16" s="3684"/>
      <c r="Z16" s="3685"/>
      <c r="AA16" s="2711"/>
      <c r="AB16" s="2706"/>
      <c r="AC16" s="2706"/>
      <c r="AD16" s="2706"/>
      <c r="AE16" s="2706"/>
      <c r="AF16" s="2706"/>
      <c r="AG16" s="2706"/>
      <c r="AH16" s="2706"/>
      <c r="AI16" s="2706"/>
      <c r="AJ16" s="2706"/>
      <c r="AK16" s="2706"/>
      <c r="AL16" s="2706"/>
      <c r="AM16" s="2706"/>
      <c r="AN16" s="2706"/>
      <c r="AO16" s="2706"/>
      <c r="AP16" s="2706"/>
      <c r="AQ16" s="2706"/>
      <c r="AR16" s="2706"/>
      <c r="AS16" s="2706"/>
      <c r="AT16" s="2706"/>
      <c r="AU16" s="2706"/>
      <c r="AV16" s="2706"/>
      <c r="AW16" s="2706"/>
      <c r="AX16" s="2706"/>
      <c r="AY16" s="2706"/>
      <c r="AZ16" s="2706"/>
      <c r="BA16" s="2706"/>
      <c r="BB16" s="2706"/>
      <c r="BC16" s="2706"/>
      <c r="BD16" s="2706"/>
      <c r="BE16" s="2706"/>
      <c r="BF16" s="2706"/>
      <c r="BG16" s="2706"/>
      <c r="BH16" s="2709"/>
      <c r="BI16" s="3694"/>
      <c r="BJ16" s="3694"/>
      <c r="BK16" s="3697"/>
      <c r="BL16" s="2709"/>
      <c r="BM16" s="2709"/>
      <c r="BN16" s="3690"/>
      <c r="BO16" s="3700"/>
      <c r="BP16" s="3690"/>
      <c r="BQ16" s="3690"/>
      <c r="BR16" s="3692"/>
    </row>
    <row r="17" spans="1:70" s="2" customFormat="1" ht="27" customHeight="1" x14ac:dyDescent="0.2">
      <c r="A17" s="3667"/>
      <c r="B17" s="3668"/>
      <c r="C17" s="3271"/>
      <c r="D17" s="3670"/>
      <c r="E17" s="3670"/>
      <c r="F17" s="3276"/>
      <c r="G17" s="3087"/>
      <c r="H17" s="3091"/>
      <c r="I17" s="3092"/>
      <c r="J17" s="2708">
        <v>39</v>
      </c>
      <c r="K17" s="3078" t="s">
        <v>2133</v>
      </c>
      <c r="L17" s="3096" t="s">
        <v>2134</v>
      </c>
      <c r="M17" s="2711">
        <v>3</v>
      </c>
      <c r="N17" s="2706">
        <v>2</v>
      </c>
      <c r="O17" s="2711"/>
      <c r="P17" s="2711"/>
      <c r="Q17" s="3096"/>
      <c r="R17" s="3687">
        <f>SUM(W17:W22)/S13</f>
        <v>0.33235785953177255</v>
      </c>
      <c r="S17" s="3688"/>
      <c r="T17" s="3096"/>
      <c r="U17" s="3702"/>
      <c r="V17" s="3096" t="s">
        <v>2135</v>
      </c>
      <c r="W17" s="3683">
        <v>39750000</v>
      </c>
      <c r="X17" s="3684">
        <v>13990000</v>
      </c>
      <c r="Y17" s="3684">
        <v>8394000</v>
      </c>
      <c r="Z17" s="3685">
        <v>20</v>
      </c>
      <c r="AA17" s="2711" t="s">
        <v>2127</v>
      </c>
      <c r="AB17" s="2706"/>
      <c r="AC17" s="2706"/>
      <c r="AD17" s="2706"/>
      <c r="AE17" s="2706"/>
      <c r="AF17" s="2706"/>
      <c r="AG17" s="2706"/>
      <c r="AH17" s="2706"/>
      <c r="AI17" s="2706"/>
      <c r="AJ17" s="2706"/>
      <c r="AK17" s="2706"/>
      <c r="AL17" s="2706"/>
      <c r="AM17" s="2706"/>
      <c r="AN17" s="2706"/>
      <c r="AO17" s="2706"/>
      <c r="AP17" s="2706"/>
      <c r="AQ17" s="2706"/>
      <c r="AR17" s="2706"/>
      <c r="AS17" s="2706"/>
      <c r="AT17" s="2706"/>
      <c r="AU17" s="2706"/>
      <c r="AV17" s="2706"/>
      <c r="AW17" s="2706"/>
      <c r="AX17" s="2706"/>
      <c r="AY17" s="2706"/>
      <c r="AZ17" s="2706"/>
      <c r="BA17" s="2706"/>
      <c r="BB17" s="2706"/>
      <c r="BC17" s="2706"/>
      <c r="BD17" s="2706"/>
      <c r="BE17" s="2706"/>
      <c r="BF17" s="2706"/>
      <c r="BG17" s="2706"/>
      <c r="BH17" s="2709"/>
      <c r="BI17" s="3694"/>
      <c r="BJ17" s="3694"/>
      <c r="BK17" s="3697"/>
      <c r="BL17" s="2709"/>
      <c r="BM17" s="2709"/>
      <c r="BN17" s="3690"/>
      <c r="BO17" s="3700"/>
      <c r="BP17" s="3690"/>
      <c r="BQ17" s="3690"/>
      <c r="BR17" s="3692"/>
    </row>
    <row r="18" spans="1:70" s="2" customFormat="1" ht="27" customHeight="1" x14ac:dyDescent="0.2">
      <c r="A18" s="3667"/>
      <c r="B18" s="3668"/>
      <c r="C18" s="3271"/>
      <c r="D18" s="3670"/>
      <c r="E18" s="3670"/>
      <c r="F18" s="3276"/>
      <c r="G18" s="3087"/>
      <c r="H18" s="3091"/>
      <c r="I18" s="3092"/>
      <c r="J18" s="2709"/>
      <c r="K18" s="3142"/>
      <c r="L18" s="3096"/>
      <c r="M18" s="2711"/>
      <c r="N18" s="2706"/>
      <c r="O18" s="2711"/>
      <c r="P18" s="2711"/>
      <c r="Q18" s="3096"/>
      <c r="R18" s="3687"/>
      <c r="S18" s="3688"/>
      <c r="T18" s="3096"/>
      <c r="U18" s="3702"/>
      <c r="V18" s="3096"/>
      <c r="W18" s="3683"/>
      <c r="X18" s="3684"/>
      <c r="Y18" s="3684"/>
      <c r="Z18" s="3685"/>
      <c r="AA18" s="2711"/>
      <c r="AB18" s="2706"/>
      <c r="AC18" s="2706"/>
      <c r="AD18" s="2706"/>
      <c r="AE18" s="2706"/>
      <c r="AF18" s="2706"/>
      <c r="AG18" s="2706"/>
      <c r="AH18" s="2706"/>
      <c r="AI18" s="2706"/>
      <c r="AJ18" s="2706"/>
      <c r="AK18" s="2706"/>
      <c r="AL18" s="2706"/>
      <c r="AM18" s="2706"/>
      <c r="AN18" s="2706"/>
      <c r="AO18" s="2706"/>
      <c r="AP18" s="2706"/>
      <c r="AQ18" s="2706"/>
      <c r="AR18" s="2706"/>
      <c r="AS18" s="2706"/>
      <c r="AT18" s="2706"/>
      <c r="AU18" s="2706"/>
      <c r="AV18" s="2706"/>
      <c r="AW18" s="2706"/>
      <c r="AX18" s="2706"/>
      <c r="AY18" s="2706"/>
      <c r="AZ18" s="2706"/>
      <c r="BA18" s="2706"/>
      <c r="BB18" s="2706"/>
      <c r="BC18" s="2706"/>
      <c r="BD18" s="2706"/>
      <c r="BE18" s="2706"/>
      <c r="BF18" s="2706"/>
      <c r="BG18" s="2706"/>
      <c r="BH18" s="2709"/>
      <c r="BI18" s="3694"/>
      <c r="BJ18" s="3694"/>
      <c r="BK18" s="3697"/>
      <c r="BL18" s="2709"/>
      <c r="BM18" s="2709"/>
      <c r="BN18" s="3690"/>
      <c r="BO18" s="3700"/>
      <c r="BP18" s="3690"/>
      <c r="BQ18" s="3690"/>
      <c r="BR18" s="3692"/>
    </row>
    <row r="19" spans="1:70" s="2" customFormat="1" ht="27" customHeight="1" x14ac:dyDescent="0.2">
      <c r="A19" s="3667"/>
      <c r="B19" s="3668"/>
      <c r="C19" s="3271"/>
      <c r="D19" s="3670"/>
      <c r="E19" s="3670"/>
      <c r="F19" s="3276"/>
      <c r="G19" s="3087"/>
      <c r="H19" s="3091"/>
      <c r="I19" s="3092"/>
      <c r="J19" s="2709"/>
      <c r="K19" s="3142"/>
      <c r="L19" s="3096"/>
      <c r="M19" s="2711"/>
      <c r="N19" s="2706"/>
      <c r="O19" s="2711"/>
      <c r="P19" s="2711"/>
      <c r="Q19" s="3096"/>
      <c r="R19" s="3687"/>
      <c r="S19" s="3688"/>
      <c r="T19" s="3096"/>
      <c r="U19" s="3702"/>
      <c r="V19" s="3096"/>
      <c r="W19" s="3683"/>
      <c r="X19" s="3684"/>
      <c r="Y19" s="3684"/>
      <c r="Z19" s="3685"/>
      <c r="AA19" s="2711"/>
      <c r="AB19" s="2706"/>
      <c r="AC19" s="2706"/>
      <c r="AD19" s="2706"/>
      <c r="AE19" s="2706"/>
      <c r="AF19" s="2706"/>
      <c r="AG19" s="2706"/>
      <c r="AH19" s="2706"/>
      <c r="AI19" s="2706"/>
      <c r="AJ19" s="2706"/>
      <c r="AK19" s="2706"/>
      <c r="AL19" s="2706"/>
      <c r="AM19" s="2706"/>
      <c r="AN19" s="2706"/>
      <c r="AO19" s="2706"/>
      <c r="AP19" s="2706"/>
      <c r="AQ19" s="2706"/>
      <c r="AR19" s="2706"/>
      <c r="AS19" s="2706"/>
      <c r="AT19" s="2706"/>
      <c r="AU19" s="2706"/>
      <c r="AV19" s="2706"/>
      <c r="AW19" s="2706"/>
      <c r="AX19" s="2706"/>
      <c r="AY19" s="2706"/>
      <c r="AZ19" s="2706"/>
      <c r="BA19" s="2706"/>
      <c r="BB19" s="2706"/>
      <c r="BC19" s="2706"/>
      <c r="BD19" s="2706"/>
      <c r="BE19" s="2706"/>
      <c r="BF19" s="2706"/>
      <c r="BG19" s="2706"/>
      <c r="BH19" s="2709"/>
      <c r="BI19" s="3694"/>
      <c r="BJ19" s="3694"/>
      <c r="BK19" s="3697"/>
      <c r="BL19" s="2709"/>
      <c r="BM19" s="2709"/>
      <c r="BN19" s="3690"/>
      <c r="BO19" s="3700"/>
      <c r="BP19" s="3690"/>
      <c r="BQ19" s="3690"/>
      <c r="BR19" s="3692"/>
    </row>
    <row r="20" spans="1:70" s="2" customFormat="1" ht="27" customHeight="1" x14ac:dyDescent="0.2">
      <c r="A20" s="3667"/>
      <c r="B20" s="3668"/>
      <c r="C20" s="3271"/>
      <c r="D20" s="3670"/>
      <c r="E20" s="3670"/>
      <c r="F20" s="3276"/>
      <c r="G20" s="3087"/>
      <c r="H20" s="3091"/>
      <c r="I20" s="3092"/>
      <c r="J20" s="2709"/>
      <c r="K20" s="3142"/>
      <c r="L20" s="3096"/>
      <c r="M20" s="2711"/>
      <c r="N20" s="2706"/>
      <c r="O20" s="2711"/>
      <c r="P20" s="2711"/>
      <c r="Q20" s="3096"/>
      <c r="R20" s="3687"/>
      <c r="S20" s="3688"/>
      <c r="T20" s="3096"/>
      <c r="U20" s="3702"/>
      <c r="V20" s="3096"/>
      <c r="W20" s="3683"/>
      <c r="X20" s="3684"/>
      <c r="Y20" s="3684"/>
      <c r="Z20" s="3685"/>
      <c r="AA20" s="2711"/>
      <c r="AB20" s="2706"/>
      <c r="AC20" s="2706"/>
      <c r="AD20" s="2706"/>
      <c r="AE20" s="2706"/>
      <c r="AF20" s="2706"/>
      <c r="AG20" s="2706"/>
      <c r="AH20" s="2706"/>
      <c r="AI20" s="2706"/>
      <c r="AJ20" s="2706"/>
      <c r="AK20" s="2706"/>
      <c r="AL20" s="2706"/>
      <c r="AM20" s="2706"/>
      <c r="AN20" s="2706"/>
      <c r="AO20" s="2706"/>
      <c r="AP20" s="2706"/>
      <c r="AQ20" s="2706"/>
      <c r="AR20" s="2706"/>
      <c r="AS20" s="2706"/>
      <c r="AT20" s="2706"/>
      <c r="AU20" s="2706"/>
      <c r="AV20" s="2706"/>
      <c r="AW20" s="2706"/>
      <c r="AX20" s="2706"/>
      <c r="AY20" s="2706"/>
      <c r="AZ20" s="2706"/>
      <c r="BA20" s="2706"/>
      <c r="BB20" s="2706"/>
      <c r="BC20" s="2706"/>
      <c r="BD20" s="2706"/>
      <c r="BE20" s="2706"/>
      <c r="BF20" s="2706"/>
      <c r="BG20" s="2706"/>
      <c r="BH20" s="2709"/>
      <c r="BI20" s="3694"/>
      <c r="BJ20" s="3694"/>
      <c r="BK20" s="3697"/>
      <c r="BL20" s="2709"/>
      <c r="BM20" s="2709"/>
      <c r="BN20" s="3690"/>
      <c r="BO20" s="3700"/>
      <c r="BP20" s="3690"/>
      <c r="BQ20" s="3690"/>
      <c r="BR20" s="3692"/>
    </row>
    <row r="21" spans="1:70" s="2" customFormat="1" ht="27" customHeight="1" x14ac:dyDescent="0.2">
      <c r="A21" s="3667"/>
      <c r="B21" s="3668"/>
      <c r="C21" s="3271"/>
      <c r="D21" s="3670"/>
      <c r="E21" s="3670"/>
      <c r="F21" s="3276"/>
      <c r="G21" s="3087"/>
      <c r="H21" s="3091"/>
      <c r="I21" s="3092"/>
      <c r="J21" s="2709"/>
      <c r="K21" s="3142"/>
      <c r="L21" s="3096"/>
      <c r="M21" s="2711"/>
      <c r="N21" s="2706"/>
      <c r="O21" s="2711"/>
      <c r="P21" s="2711"/>
      <c r="Q21" s="3096"/>
      <c r="R21" s="3687"/>
      <c r="S21" s="3688"/>
      <c r="T21" s="3096"/>
      <c r="U21" s="3702"/>
      <c r="V21" s="3096"/>
      <c r="W21" s="3683"/>
      <c r="X21" s="3684"/>
      <c r="Y21" s="3684"/>
      <c r="Z21" s="3685"/>
      <c r="AA21" s="2711"/>
      <c r="AB21" s="2706"/>
      <c r="AC21" s="2706"/>
      <c r="AD21" s="2706"/>
      <c r="AE21" s="2706"/>
      <c r="AF21" s="2706"/>
      <c r="AG21" s="2706"/>
      <c r="AH21" s="2706"/>
      <c r="AI21" s="2706"/>
      <c r="AJ21" s="2706"/>
      <c r="AK21" s="2706"/>
      <c r="AL21" s="2706"/>
      <c r="AM21" s="2706"/>
      <c r="AN21" s="2706"/>
      <c r="AO21" s="2706"/>
      <c r="AP21" s="2706"/>
      <c r="AQ21" s="2706"/>
      <c r="AR21" s="2706"/>
      <c r="AS21" s="2706"/>
      <c r="AT21" s="2706"/>
      <c r="AU21" s="2706"/>
      <c r="AV21" s="2706"/>
      <c r="AW21" s="2706"/>
      <c r="AX21" s="2706"/>
      <c r="AY21" s="2706"/>
      <c r="AZ21" s="2706"/>
      <c r="BA21" s="2706"/>
      <c r="BB21" s="2706"/>
      <c r="BC21" s="2706"/>
      <c r="BD21" s="2706"/>
      <c r="BE21" s="2706"/>
      <c r="BF21" s="2706"/>
      <c r="BG21" s="2706"/>
      <c r="BH21" s="2709"/>
      <c r="BI21" s="3694"/>
      <c r="BJ21" s="3694"/>
      <c r="BK21" s="3697"/>
      <c r="BL21" s="2709"/>
      <c r="BM21" s="2709"/>
      <c r="BN21" s="3690"/>
      <c r="BO21" s="3700"/>
      <c r="BP21" s="3690"/>
      <c r="BQ21" s="3690"/>
      <c r="BR21" s="3692"/>
    </row>
    <row r="22" spans="1:70" s="2" customFormat="1" ht="27" customHeight="1" x14ac:dyDescent="0.2">
      <c r="A22" s="3667"/>
      <c r="B22" s="3668"/>
      <c r="C22" s="3271"/>
      <c r="D22" s="3670"/>
      <c r="E22" s="3670"/>
      <c r="F22" s="3276"/>
      <c r="G22" s="3087"/>
      <c r="H22" s="3091"/>
      <c r="I22" s="3092"/>
      <c r="J22" s="2710"/>
      <c r="K22" s="3079"/>
      <c r="L22" s="3096"/>
      <c r="M22" s="2711"/>
      <c r="N22" s="2706"/>
      <c r="O22" s="2711"/>
      <c r="P22" s="2711"/>
      <c r="Q22" s="3096"/>
      <c r="R22" s="3687"/>
      <c r="S22" s="3688"/>
      <c r="T22" s="3096"/>
      <c r="U22" s="3702"/>
      <c r="V22" s="3096"/>
      <c r="W22" s="3683"/>
      <c r="X22" s="3684"/>
      <c r="Y22" s="3684"/>
      <c r="Z22" s="3685"/>
      <c r="AA22" s="2711"/>
      <c r="AB22" s="2706"/>
      <c r="AC22" s="2706"/>
      <c r="AD22" s="2706"/>
      <c r="AE22" s="2706"/>
      <c r="AF22" s="2706"/>
      <c r="AG22" s="2706"/>
      <c r="AH22" s="2706"/>
      <c r="AI22" s="2706"/>
      <c r="AJ22" s="2706"/>
      <c r="AK22" s="2706"/>
      <c r="AL22" s="2706"/>
      <c r="AM22" s="2706"/>
      <c r="AN22" s="2706"/>
      <c r="AO22" s="2706"/>
      <c r="AP22" s="2706"/>
      <c r="AQ22" s="2706"/>
      <c r="AR22" s="2706"/>
      <c r="AS22" s="2706"/>
      <c r="AT22" s="2706"/>
      <c r="AU22" s="2706"/>
      <c r="AV22" s="2706"/>
      <c r="AW22" s="2706"/>
      <c r="AX22" s="2706"/>
      <c r="AY22" s="2706"/>
      <c r="AZ22" s="2706"/>
      <c r="BA22" s="2706"/>
      <c r="BB22" s="2706"/>
      <c r="BC22" s="2706"/>
      <c r="BD22" s="2706"/>
      <c r="BE22" s="2706"/>
      <c r="BF22" s="2706"/>
      <c r="BG22" s="2706"/>
      <c r="BH22" s="2710"/>
      <c r="BI22" s="3695"/>
      <c r="BJ22" s="3695"/>
      <c r="BK22" s="3698"/>
      <c r="BL22" s="2710"/>
      <c r="BM22" s="2710"/>
      <c r="BN22" s="3691"/>
      <c r="BO22" s="3701"/>
      <c r="BP22" s="3691"/>
      <c r="BQ22" s="3691"/>
      <c r="BR22" s="3692"/>
    </row>
    <row r="23" spans="1:70" s="2" customFormat="1" ht="51" customHeight="1" x14ac:dyDescent="0.2">
      <c r="A23" s="3667"/>
      <c r="B23" s="3668"/>
      <c r="C23" s="3271"/>
      <c r="D23" s="3670"/>
      <c r="E23" s="3670"/>
      <c r="F23" s="3276"/>
      <c r="G23" s="3087"/>
      <c r="H23" s="3091"/>
      <c r="I23" s="3092"/>
      <c r="J23" s="2708">
        <v>40</v>
      </c>
      <c r="K23" s="3078" t="s">
        <v>2136</v>
      </c>
      <c r="L23" s="3096" t="s">
        <v>2137</v>
      </c>
      <c r="M23" s="2711">
        <v>0.56000000000000005</v>
      </c>
      <c r="N23" s="3703">
        <v>0.28000000000000003</v>
      </c>
      <c r="O23" s="3080" t="s">
        <v>2138</v>
      </c>
      <c r="P23" s="2711" t="s">
        <v>2139</v>
      </c>
      <c r="Q23" s="3096" t="s">
        <v>2140</v>
      </c>
      <c r="R23" s="3687">
        <f>(W23+W24)/S23</f>
        <v>0.53959057551178058</v>
      </c>
      <c r="S23" s="3688">
        <f>SUM(W23:W31)</f>
        <v>129450000</v>
      </c>
      <c r="T23" s="3096" t="s">
        <v>2141</v>
      </c>
      <c r="U23" s="3702" t="s">
        <v>2142</v>
      </c>
      <c r="V23" s="3096" t="s">
        <v>2143</v>
      </c>
      <c r="W23" s="2147">
        <v>19850000</v>
      </c>
      <c r="X23" s="2150">
        <v>19850000</v>
      </c>
      <c r="Y23" s="2150">
        <v>19850000</v>
      </c>
      <c r="Z23" s="2149">
        <v>20</v>
      </c>
      <c r="AA23" s="76" t="s">
        <v>2127</v>
      </c>
      <c r="AB23" s="2708">
        <v>294321</v>
      </c>
      <c r="AC23" s="2708">
        <v>336</v>
      </c>
      <c r="AD23" s="2708">
        <v>283947</v>
      </c>
      <c r="AE23" s="2708">
        <v>256</v>
      </c>
      <c r="AF23" s="2708">
        <v>135754</v>
      </c>
      <c r="AG23" s="2708"/>
      <c r="AH23" s="2708">
        <v>44640</v>
      </c>
      <c r="AI23" s="2708">
        <v>212</v>
      </c>
      <c r="AJ23" s="2708">
        <v>308178</v>
      </c>
      <c r="AK23" s="2708">
        <v>362</v>
      </c>
      <c r="AL23" s="2708">
        <v>89696</v>
      </c>
      <c r="AM23" s="2709">
        <v>18</v>
      </c>
      <c r="AN23" s="2709"/>
      <c r="AO23" s="2709">
        <v>5</v>
      </c>
      <c r="AP23" s="2709"/>
      <c r="AQ23" s="2709">
        <v>7</v>
      </c>
      <c r="AR23" s="2709"/>
      <c r="AS23" s="2709"/>
      <c r="AT23" s="2709"/>
      <c r="AU23" s="2709"/>
      <c r="AV23" s="2709"/>
      <c r="AW23" s="2709"/>
      <c r="AX23" s="2709"/>
      <c r="AY23" s="2709"/>
      <c r="AZ23" s="2709"/>
      <c r="BA23" s="2709"/>
      <c r="BB23" s="2709"/>
      <c r="BC23" s="2709">
        <v>7</v>
      </c>
      <c r="BD23" s="2709"/>
      <c r="BE23" s="2709">
        <v>37</v>
      </c>
      <c r="BF23" s="2709">
        <f>+AB23+AD23</f>
        <v>578268</v>
      </c>
      <c r="BG23" s="2709">
        <f>AC23+AE23</f>
        <v>592</v>
      </c>
      <c r="BH23" s="2798">
        <v>2</v>
      </c>
      <c r="BI23" s="3707">
        <f>SUM(X23:X31)</f>
        <v>101755000</v>
      </c>
      <c r="BJ23" s="3707">
        <f>SUM(Y23:Y31)</f>
        <v>63247000</v>
      </c>
      <c r="BK23" s="3709">
        <f>+BJ23/BI23</f>
        <v>0.62156159402486366</v>
      </c>
      <c r="BL23" s="2708" t="s">
        <v>2144</v>
      </c>
      <c r="BM23" s="2708" t="s">
        <v>2145</v>
      </c>
      <c r="BN23" s="3689">
        <v>43467</v>
      </c>
      <c r="BO23" s="3704">
        <v>43488</v>
      </c>
      <c r="BP23" s="3689">
        <v>43830</v>
      </c>
      <c r="BQ23" s="3689">
        <v>43830</v>
      </c>
      <c r="BR23" s="3692" t="s">
        <v>2130</v>
      </c>
    </row>
    <row r="24" spans="1:70" s="2" customFormat="1" ht="34.5" customHeight="1" x14ac:dyDescent="0.2">
      <c r="A24" s="3667"/>
      <c r="B24" s="3668"/>
      <c r="C24" s="3271"/>
      <c r="D24" s="3670"/>
      <c r="E24" s="3670"/>
      <c r="F24" s="3276"/>
      <c r="G24" s="3087"/>
      <c r="H24" s="3091"/>
      <c r="I24" s="3092"/>
      <c r="J24" s="2709"/>
      <c r="K24" s="3142"/>
      <c r="L24" s="3096"/>
      <c r="M24" s="2711"/>
      <c r="N24" s="3703"/>
      <c r="O24" s="3141"/>
      <c r="P24" s="2711"/>
      <c r="Q24" s="3096"/>
      <c r="R24" s="3687"/>
      <c r="S24" s="3688"/>
      <c r="T24" s="3096"/>
      <c r="U24" s="3702"/>
      <c r="V24" s="3096"/>
      <c r="W24" s="3688">
        <f>0+50000000</f>
        <v>50000000</v>
      </c>
      <c r="X24" s="2944">
        <v>50000000</v>
      </c>
      <c r="Y24" s="2944">
        <v>15075000</v>
      </c>
      <c r="Z24" s="3685">
        <v>88</v>
      </c>
      <c r="AA24" s="2711" t="s">
        <v>2131</v>
      </c>
      <c r="AB24" s="2709"/>
      <c r="AC24" s="2709"/>
      <c r="AD24" s="2709"/>
      <c r="AE24" s="2709"/>
      <c r="AF24" s="2709"/>
      <c r="AG24" s="2709"/>
      <c r="AH24" s="2709"/>
      <c r="AI24" s="2709"/>
      <c r="AJ24" s="2709"/>
      <c r="AK24" s="2709"/>
      <c r="AL24" s="2709"/>
      <c r="AM24" s="2709"/>
      <c r="AN24" s="2709"/>
      <c r="AO24" s="2709"/>
      <c r="AP24" s="2709"/>
      <c r="AQ24" s="2709"/>
      <c r="AR24" s="2709"/>
      <c r="AS24" s="2709"/>
      <c r="AT24" s="2709"/>
      <c r="AU24" s="2709"/>
      <c r="AV24" s="2709"/>
      <c r="AW24" s="2709"/>
      <c r="AX24" s="2709"/>
      <c r="AY24" s="2709"/>
      <c r="AZ24" s="2709"/>
      <c r="BA24" s="2709"/>
      <c r="BB24" s="2709"/>
      <c r="BC24" s="2709"/>
      <c r="BD24" s="2709"/>
      <c r="BE24" s="2709"/>
      <c r="BF24" s="2709"/>
      <c r="BG24" s="2709"/>
      <c r="BH24" s="2799"/>
      <c r="BI24" s="3708"/>
      <c r="BJ24" s="3708"/>
      <c r="BK24" s="3710"/>
      <c r="BL24" s="2709"/>
      <c r="BM24" s="2709"/>
      <c r="BN24" s="3690"/>
      <c r="BO24" s="3705"/>
      <c r="BP24" s="3690"/>
      <c r="BQ24" s="3690"/>
      <c r="BR24" s="3692"/>
    </row>
    <row r="25" spans="1:70" s="2" customFormat="1" ht="34.5" customHeight="1" x14ac:dyDescent="0.2">
      <c r="A25" s="3667"/>
      <c r="B25" s="3668"/>
      <c r="C25" s="3271"/>
      <c r="D25" s="3670"/>
      <c r="E25" s="3670"/>
      <c r="F25" s="3276"/>
      <c r="G25" s="3087"/>
      <c r="H25" s="3091"/>
      <c r="I25" s="3092"/>
      <c r="J25" s="2710"/>
      <c r="K25" s="3079"/>
      <c r="L25" s="3096"/>
      <c r="M25" s="2711"/>
      <c r="N25" s="3703"/>
      <c r="O25" s="3141"/>
      <c r="P25" s="2711"/>
      <c r="Q25" s="3096"/>
      <c r="R25" s="3687"/>
      <c r="S25" s="3688"/>
      <c r="T25" s="3096"/>
      <c r="U25" s="3702"/>
      <c r="V25" s="3096"/>
      <c r="W25" s="3688"/>
      <c r="X25" s="2944"/>
      <c r="Y25" s="2944"/>
      <c r="Z25" s="3685"/>
      <c r="AA25" s="2711"/>
      <c r="AB25" s="2709"/>
      <c r="AC25" s="2709"/>
      <c r="AD25" s="2709"/>
      <c r="AE25" s="2709"/>
      <c r="AF25" s="2709"/>
      <c r="AG25" s="2709"/>
      <c r="AH25" s="2709"/>
      <c r="AI25" s="2709"/>
      <c r="AJ25" s="2709"/>
      <c r="AK25" s="2709"/>
      <c r="AL25" s="2709"/>
      <c r="AM25" s="2709"/>
      <c r="AN25" s="2709"/>
      <c r="AO25" s="2709"/>
      <c r="AP25" s="2709"/>
      <c r="AQ25" s="2709"/>
      <c r="AR25" s="2709"/>
      <c r="AS25" s="2709"/>
      <c r="AT25" s="2709"/>
      <c r="AU25" s="2709"/>
      <c r="AV25" s="2709"/>
      <c r="AW25" s="2709"/>
      <c r="AX25" s="2709"/>
      <c r="AY25" s="2709"/>
      <c r="AZ25" s="2709"/>
      <c r="BA25" s="2709"/>
      <c r="BB25" s="2709"/>
      <c r="BC25" s="2709"/>
      <c r="BD25" s="2709"/>
      <c r="BE25" s="2709"/>
      <c r="BF25" s="2709"/>
      <c r="BG25" s="2709"/>
      <c r="BH25" s="2799"/>
      <c r="BI25" s="3708"/>
      <c r="BJ25" s="3708"/>
      <c r="BK25" s="3710"/>
      <c r="BL25" s="2709"/>
      <c r="BM25" s="2709"/>
      <c r="BN25" s="3690"/>
      <c r="BO25" s="3705"/>
      <c r="BP25" s="3690"/>
      <c r="BQ25" s="3690"/>
      <c r="BR25" s="3692"/>
    </row>
    <row r="26" spans="1:70" s="2" customFormat="1" ht="27" customHeight="1" x14ac:dyDescent="0.2">
      <c r="A26" s="3667"/>
      <c r="B26" s="3668"/>
      <c r="C26" s="3271"/>
      <c r="D26" s="3670"/>
      <c r="E26" s="3670"/>
      <c r="F26" s="3276"/>
      <c r="G26" s="3087"/>
      <c r="H26" s="3091"/>
      <c r="I26" s="3092"/>
      <c r="J26" s="2708">
        <v>41</v>
      </c>
      <c r="K26" s="3078" t="s">
        <v>2146</v>
      </c>
      <c r="L26" s="3096" t="s">
        <v>2147</v>
      </c>
      <c r="M26" s="2711">
        <v>1</v>
      </c>
      <c r="N26" s="2797">
        <v>0.66</v>
      </c>
      <c r="O26" s="3141"/>
      <c r="P26" s="2711"/>
      <c r="Q26" s="3096"/>
      <c r="R26" s="3687">
        <f>(W26)/S23</f>
        <v>0.19196601004248745</v>
      </c>
      <c r="S26" s="3688"/>
      <c r="T26" s="3096"/>
      <c r="U26" s="3702" t="s">
        <v>2148</v>
      </c>
      <c r="V26" s="3096" t="s">
        <v>2149</v>
      </c>
      <c r="W26" s="3688">
        <v>24850000</v>
      </c>
      <c r="X26" s="2944">
        <v>13990000</v>
      </c>
      <c r="Y26" s="2944">
        <v>13990000</v>
      </c>
      <c r="Z26" s="3685">
        <v>20</v>
      </c>
      <c r="AA26" s="2711" t="s">
        <v>2127</v>
      </c>
      <c r="AB26" s="2709"/>
      <c r="AC26" s="2709"/>
      <c r="AD26" s="2709"/>
      <c r="AE26" s="2709"/>
      <c r="AF26" s="2709"/>
      <c r="AG26" s="2709"/>
      <c r="AH26" s="2709"/>
      <c r="AI26" s="2709"/>
      <c r="AJ26" s="2709"/>
      <c r="AK26" s="2709"/>
      <c r="AL26" s="2709"/>
      <c r="AM26" s="2709"/>
      <c r="AN26" s="2709"/>
      <c r="AO26" s="2709"/>
      <c r="AP26" s="2709"/>
      <c r="AQ26" s="2709"/>
      <c r="AR26" s="2709"/>
      <c r="AS26" s="2709"/>
      <c r="AT26" s="2709"/>
      <c r="AU26" s="2709"/>
      <c r="AV26" s="2709"/>
      <c r="AW26" s="2709"/>
      <c r="AX26" s="2709"/>
      <c r="AY26" s="2709"/>
      <c r="AZ26" s="2709"/>
      <c r="BA26" s="2709"/>
      <c r="BB26" s="2709"/>
      <c r="BC26" s="2709"/>
      <c r="BD26" s="2709"/>
      <c r="BE26" s="2709"/>
      <c r="BF26" s="2709"/>
      <c r="BG26" s="2709"/>
      <c r="BH26" s="2799"/>
      <c r="BI26" s="3708"/>
      <c r="BJ26" s="3708"/>
      <c r="BK26" s="3710"/>
      <c r="BL26" s="2709"/>
      <c r="BM26" s="2709"/>
      <c r="BN26" s="3690"/>
      <c r="BO26" s="3705"/>
      <c r="BP26" s="3690"/>
      <c r="BQ26" s="3690"/>
      <c r="BR26" s="3692"/>
    </row>
    <row r="27" spans="1:70" s="2" customFormat="1" ht="27" customHeight="1" x14ac:dyDescent="0.2">
      <c r="A27" s="3667"/>
      <c r="B27" s="3668"/>
      <c r="C27" s="3271"/>
      <c r="D27" s="3670"/>
      <c r="E27" s="3670"/>
      <c r="F27" s="3276"/>
      <c r="G27" s="3087"/>
      <c r="H27" s="3091"/>
      <c r="I27" s="3092"/>
      <c r="J27" s="2709"/>
      <c r="K27" s="3142"/>
      <c r="L27" s="3096"/>
      <c r="M27" s="2711"/>
      <c r="N27" s="2797"/>
      <c r="O27" s="3141"/>
      <c r="P27" s="2711"/>
      <c r="Q27" s="3096"/>
      <c r="R27" s="3687"/>
      <c r="S27" s="3688"/>
      <c r="T27" s="3096"/>
      <c r="U27" s="3702"/>
      <c r="V27" s="3096"/>
      <c r="W27" s="3688"/>
      <c r="X27" s="2944"/>
      <c r="Y27" s="2944"/>
      <c r="Z27" s="3685"/>
      <c r="AA27" s="2711"/>
      <c r="AB27" s="2709"/>
      <c r="AC27" s="2709"/>
      <c r="AD27" s="2709"/>
      <c r="AE27" s="2709"/>
      <c r="AF27" s="2709"/>
      <c r="AG27" s="2709"/>
      <c r="AH27" s="2709"/>
      <c r="AI27" s="2709"/>
      <c r="AJ27" s="2709"/>
      <c r="AK27" s="2709"/>
      <c r="AL27" s="2709"/>
      <c r="AM27" s="2709"/>
      <c r="AN27" s="2709"/>
      <c r="AO27" s="2709"/>
      <c r="AP27" s="2709"/>
      <c r="AQ27" s="2709"/>
      <c r="AR27" s="2709"/>
      <c r="AS27" s="2709"/>
      <c r="AT27" s="2709"/>
      <c r="AU27" s="2709"/>
      <c r="AV27" s="2709"/>
      <c r="AW27" s="2709"/>
      <c r="AX27" s="2709"/>
      <c r="AY27" s="2709"/>
      <c r="AZ27" s="2709"/>
      <c r="BA27" s="2709"/>
      <c r="BB27" s="2709"/>
      <c r="BC27" s="2709"/>
      <c r="BD27" s="2709"/>
      <c r="BE27" s="2709"/>
      <c r="BF27" s="2709"/>
      <c r="BG27" s="2709"/>
      <c r="BH27" s="2799"/>
      <c r="BI27" s="3708"/>
      <c r="BJ27" s="3708"/>
      <c r="BK27" s="3710"/>
      <c r="BL27" s="2709"/>
      <c r="BM27" s="2709"/>
      <c r="BN27" s="3690"/>
      <c r="BO27" s="3705"/>
      <c r="BP27" s="3690"/>
      <c r="BQ27" s="3690"/>
      <c r="BR27" s="3692"/>
    </row>
    <row r="28" spans="1:70" s="2" customFormat="1" ht="27" customHeight="1" x14ac:dyDescent="0.2">
      <c r="A28" s="3667"/>
      <c r="B28" s="3668"/>
      <c r="C28" s="3271"/>
      <c r="D28" s="3670"/>
      <c r="E28" s="3670"/>
      <c r="F28" s="3276"/>
      <c r="G28" s="3087"/>
      <c r="H28" s="3091"/>
      <c r="I28" s="3092"/>
      <c r="J28" s="2710"/>
      <c r="K28" s="3079"/>
      <c r="L28" s="3096"/>
      <c r="M28" s="2711"/>
      <c r="N28" s="2797"/>
      <c r="O28" s="3141"/>
      <c r="P28" s="2711"/>
      <c r="Q28" s="3096"/>
      <c r="R28" s="3687"/>
      <c r="S28" s="3688"/>
      <c r="T28" s="3096"/>
      <c r="U28" s="3702"/>
      <c r="V28" s="3096"/>
      <c r="W28" s="3688"/>
      <c r="X28" s="2944"/>
      <c r="Y28" s="2944"/>
      <c r="Z28" s="3685"/>
      <c r="AA28" s="2711"/>
      <c r="AB28" s="2709"/>
      <c r="AC28" s="2709"/>
      <c r="AD28" s="2709"/>
      <c r="AE28" s="2709"/>
      <c r="AF28" s="2709"/>
      <c r="AG28" s="2709"/>
      <c r="AH28" s="2709"/>
      <c r="AI28" s="2709"/>
      <c r="AJ28" s="2709"/>
      <c r="AK28" s="2709"/>
      <c r="AL28" s="2709"/>
      <c r="AM28" s="2709"/>
      <c r="AN28" s="2709"/>
      <c r="AO28" s="2709"/>
      <c r="AP28" s="2709"/>
      <c r="AQ28" s="2709"/>
      <c r="AR28" s="2709"/>
      <c r="AS28" s="2709"/>
      <c r="AT28" s="2709"/>
      <c r="AU28" s="2709"/>
      <c r="AV28" s="2709"/>
      <c r="AW28" s="2709"/>
      <c r="AX28" s="2709"/>
      <c r="AY28" s="2709"/>
      <c r="AZ28" s="2709"/>
      <c r="BA28" s="2709"/>
      <c r="BB28" s="2709"/>
      <c r="BC28" s="2709"/>
      <c r="BD28" s="2709"/>
      <c r="BE28" s="2709"/>
      <c r="BF28" s="2709"/>
      <c r="BG28" s="2709"/>
      <c r="BH28" s="2799"/>
      <c r="BI28" s="3708"/>
      <c r="BJ28" s="3708"/>
      <c r="BK28" s="3710"/>
      <c r="BL28" s="2709"/>
      <c r="BM28" s="2709"/>
      <c r="BN28" s="3690"/>
      <c r="BO28" s="3705"/>
      <c r="BP28" s="3690"/>
      <c r="BQ28" s="3690"/>
      <c r="BR28" s="3692"/>
    </row>
    <row r="29" spans="1:70" s="2" customFormat="1" ht="27" customHeight="1" x14ac:dyDescent="0.2">
      <c r="A29" s="3667"/>
      <c r="B29" s="3668"/>
      <c r="C29" s="3271"/>
      <c r="D29" s="3670"/>
      <c r="E29" s="3670"/>
      <c r="F29" s="3276"/>
      <c r="G29" s="3087"/>
      <c r="H29" s="3091"/>
      <c r="I29" s="3092"/>
      <c r="J29" s="2708">
        <v>42</v>
      </c>
      <c r="K29" s="3078" t="s">
        <v>2150</v>
      </c>
      <c r="L29" s="3096" t="s">
        <v>2151</v>
      </c>
      <c r="M29" s="2711">
        <v>1</v>
      </c>
      <c r="N29" s="2797">
        <v>0.66</v>
      </c>
      <c r="O29" s="3141"/>
      <c r="P29" s="2711"/>
      <c r="Q29" s="3096"/>
      <c r="R29" s="3687">
        <f>(W29)/S23</f>
        <v>0.26844341444573194</v>
      </c>
      <c r="S29" s="3688"/>
      <c r="T29" s="3096"/>
      <c r="U29" s="3702"/>
      <c r="V29" s="3096" t="s">
        <v>2152</v>
      </c>
      <c r="W29" s="3688">
        <v>34750000</v>
      </c>
      <c r="X29" s="2944">
        <v>17915000</v>
      </c>
      <c r="Y29" s="2944">
        <v>14332000</v>
      </c>
      <c r="Z29" s="3685">
        <v>20</v>
      </c>
      <c r="AA29" s="2711" t="s">
        <v>2127</v>
      </c>
      <c r="AB29" s="2709"/>
      <c r="AC29" s="2709"/>
      <c r="AD29" s="2709"/>
      <c r="AE29" s="2709"/>
      <c r="AF29" s="2709"/>
      <c r="AG29" s="2709"/>
      <c r="AH29" s="2709"/>
      <c r="AI29" s="2709"/>
      <c r="AJ29" s="2709"/>
      <c r="AK29" s="2709"/>
      <c r="AL29" s="2709"/>
      <c r="AM29" s="2709"/>
      <c r="AN29" s="2709"/>
      <c r="AO29" s="2709"/>
      <c r="AP29" s="2709"/>
      <c r="AQ29" s="2709"/>
      <c r="AR29" s="2709"/>
      <c r="AS29" s="2709"/>
      <c r="AT29" s="2709"/>
      <c r="AU29" s="2709"/>
      <c r="AV29" s="2709"/>
      <c r="AW29" s="2709"/>
      <c r="AX29" s="2709"/>
      <c r="AY29" s="2709"/>
      <c r="AZ29" s="2709"/>
      <c r="BA29" s="2709"/>
      <c r="BB29" s="2709"/>
      <c r="BC29" s="2709"/>
      <c r="BD29" s="2709"/>
      <c r="BE29" s="2709"/>
      <c r="BF29" s="2709"/>
      <c r="BG29" s="2709"/>
      <c r="BH29" s="2799"/>
      <c r="BI29" s="3708"/>
      <c r="BJ29" s="3708"/>
      <c r="BK29" s="3710"/>
      <c r="BL29" s="2709"/>
      <c r="BM29" s="2709"/>
      <c r="BN29" s="3690"/>
      <c r="BO29" s="3705"/>
      <c r="BP29" s="3690"/>
      <c r="BQ29" s="3690"/>
      <c r="BR29" s="3692"/>
    </row>
    <row r="30" spans="1:70" s="2" customFormat="1" ht="36" customHeight="1" x14ac:dyDescent="0.2">
      <c r="A30" s="3667"/>
      <c r="B30" s="3668"/>
      <c r="C30" s="3271"/>
      <c r="D30" s="3670"/>
      <c r="E30" s="3670"/>
      <c r="F30" s="3276"/>
      <c r="G30" s="3087"/>
      <c r="H30" s="3091"/>
      <c r="I30" s="3092"/>
      <c r="J30" s="2709"/>
      <c r="K30" s="3142"/>
      <c r="L30" s="3096"/>
      <c r="M30" s="2711"/>
      <c r="N30" s="2797"/>
      <c r="O30" s="3141"/>
      <c r="P30" s="2711"/>
      <c r="Q30" s="3096"/>
      <c r="R30" s="3687"/>
      <c r="S30" s="3688"/>
      <c r="T30" s="3096"/>
      <c r="U30" s="3702"/>
      <c r="V30" s="3096"/>
      <c r="W30" s="3688"/>
      <c r="X30" s="2944"/>
      <c r="Y30" s="2944"/>
      <c r="Z30" s="3685"/>
      <c r="AA30" s="2711"/>
      <c r="AB30" s="2709"/>
      <c r="AC30" s="2709"/>
      <c r="AD30" s="2709"/>
      <c r="AE30" s="2709"/>
      <c r="AF30" s="2709"/>
      <c r="AG30" s="2709"/>
      <c r="AH30" s="2709"/>
      <c r="AI30" s="2709"/>
      <c r="AJ30" s="2709"/>
      <c r="AK30" s="2709"/>
      <c r="AL30" s="2709"/>
      <c r="AM30" s="2709"/>
      <c r="AN30" s="2709"/>
      <c r="AO30" s="2709"/>
      <c r="AP30" s="2709"/>
      <c r="AQ30" s="2709"/>
      <c r="AR30" s="2709"/>
      <c r="AS30" s="2709"/>
      <c r="AT30" s="2709"/>
      <c r="AU30" s="2709"/>
      <c r="AV30" s="2709"/>
      <c r="AW30" s="2709"/>
      <c r="AX30" s="2709"/>
      <c r="AY30" s="2709"/>
      <c r="AZ30" s="2709"/>
      <c r="BA30" s="2709"/>
      <c r="BB30" s="2709"/>
      <c r="BC30" s="2709"/>
      <c r="BD30" s="2709"/>
      <c r="BE30" s="2709"/>
      <c r="BF30" s="2709"/>
      <c r="BG30" s="2709"/>
      <c r="BH30" s="2799"/>
      <c r="BI30" s="3708"/>
      <c r="BJ30" s="3708"/>
      <c r="BK30" s="3710"/>
      <c r="BL30" s="2709"/>
      <c r="BM30" s="2709"/>
      <c r="BN30" s="3690"/>
      <c r="BO30" s="3705"/>
      <c r="BP30" s="3690"/>
      <c r="BQ30" s="3690"/>
      <c r="BR30" s="3692"/>
    </row>
    <row r="31" spans="1:70" s="2" customFormat="1" ht="27" customHeight="1" x14ac:dyDescent="0.2">
      <c r="A31" s="3667"/>
      <c r="B31" s="3668"/>
      <c r="C31" s="3271"/>
      <c r="D31" s="3670"/>
      <c r="E31" s="3670"/>
      <c r="F31" s="3276"/>
      <c r="G31" s="3088"/>
      <c r="H31" s="3093"/>
      <c r="I31" s="3094"/>
      <c r="J31" s="2710"/>
      <c r="K31" s="3079"/>
      <c r="L31" s="3096"/>
      <c r="M31" s="2711"/>
      <c r="N31" s="2797"/>
      <c r="O31" s="3081"/>
      <c r="P31" s="2711"/>
      <c r="Q31" s="3096"/>
      <c r="R31" s="3687"/>
      <c r="S31" s="3688"/>
      <c r="T31" s="3096"/>
      <c r="U31" s="3702"/>
      <c r="V31" s="3096"/>
      <c r="W31" s="3688"/>
      <c r="X31" s="2944"/>
      <c r="Y31" s="2944"/>
      <c r="Z31" s="3685"/>
      <c r="AA31" s="2711"/>
      <c r="AB31" s="2710"/>
      <c r="AC31" s="2710"/>
      <c r="AD31" s="2710"/>
      <c r="AE31" s="2710"/>
      <c r="AF31" s="2710"/>
      <c r="AG31" s="2710"/>
      <c r="AH31" s="2710"/>
      <c r="AI31" s="2710"/>
      <c r="AJ31" s="2710"/>
      <c r="AK31" s="2710"/>
      <c r="AL31" s="2710"/>
      <c r="AM31" s="2710"/>
      <c r="AN31" s="2710"/>
      <c r="AO31" s="2710"/>
      <c r="AP31" s="2710"/>
      <c r="AQ31" s="2710"/>
      <c r="AR31" s="2710"/>
      <c r="AS31" s="2710"/>
      <c r="AT31" s="2710"/>
      <c r="AU31" s="2710"/>
      <c r="AV31" s="2710"/>
      <c r="AW31" s="2710"/>
      <c r="AX31" s="2710"/>
      <c r="AY31" s="2710"/>
      <c r="AZ31" s="2710"/>
      <c r="BA31" s="2710"/>
      <c r="BB31" s="2710"/>
      <c r="BC31" s="2710"/>
      <c r="BD31" s="2710"/>
      <c r="BE31" s="2710"/>
      <c r="BF31" s="2710"/>
      <c r="BG31" s="2710"/>
      <c r="BH31" s="2800"/>
      <c r="BI31" s="2943"/>
      <c r="BJ31" s="2943"/>
      <c r="BK31" s="3711"/>
      <c r="BL31" s="2710"/>
      <c r="BM31" s="2710"/>
      <c r="BN31" s="3691"/>
      <c r="BO31" s="3706"/>
      <c r="BP31" s="3691"/>
      <c r="BQ31" s="3691"/>
      <c r="BR31" s="3692"/>
    </row>
    <row r="32" spans="1:70" ht="27" customHeight="1" x14ac:dyDescent="0.2">
      <c r="A32" s="3667"/>
      <c r="B32" s="3668"/>
      <c r="C32" s="3271"/>
      <c r="D32" s="3670"/>
      <c r="E32" s="3670"/>
      <c r="F32" s="3276"/>
      <c r="G32" s="2151">
        <v>9</v>
      </c>
      <c r="H32" s="2152" t="s">
        <v>2153</v>
      </c>
      <c r="I32" s="692"/>
      <c r="J32" s="692"/>
      <c r="K32" s="692"/>
      <c r="L32" s="692"/>
      <c r="M32" s="692"/>
      <c r="N32" s="692"/>
      <c r="O32" s="692"/>
      <c r="P32" s="692"/>
      <c r="Q32" s="693"/>
      <c r="R32" s="692"/>
      <c r="S32" s="692"/>
      <c r="T32" s="692"/>
      <c r="U32" s="692"/>
      <c r="V32" s="692"/>
      <c r="W32" s="692"/>
      <c r="X32" s="692"/>
      <c r="Y32" s="692"/>
      <c r="Z32" s="692"/>
      <c r="AA32" s="694"/>
      <c r="AB32" s="694"/>
      <c r="AC32" s="694"/>
      <c r="AD32" s="694"/>
      <c r="AE32" s="694"/>
      <c r="AF32" s="694"/>
      <c r="AG32" s="694"/>
      <c r="AH32" s="694"/>
      <c r="AI32" s="694"/>
      <c r="AJ32" s="694"/>
      <c r="AK32" s="694"/>
      <c r="AL32" s="694"/>
      <c r="AM32" s="694"/>
      <c r="AN32" s="694"/>
      <c r="AO32" s="694"/>
      <c r="AP32" s="694"/>
      <c r="AQ32" s="694"/>
      <c r="AR32" s="694"/>
      <c r="AS32" s="694"/>
      <c r="AT32" s="694"/>
      <c r="AU32" s="694"/>
      <c r="AV32" s="694"/>
      <c r="AW32" s="694"/>
      <c r="AX32" s="694"/>
      <c r="AY32" s="694"/>
      <c r="AZ32" s="694"/>
      <c r="BA32" s="694"/>
      <c r="BB32" s="694"/>
      <c r="BC32" s="694"/>
      <c r="BD32" s="694"/>
      <c r="BE32" s="694"/>
      <c r="BF32" s="694"/>
      <c r="BG32" s="694"/>
      <c r="BH32" s="692"/>
      <c r="BI32" s="692"/>
      <c r="BJ32" s="692"/>
      <c r="BK32" s="692"/>
      <c r="BL32" s="692"/>
      <c r="BM32" s="692"/>
      <c r="BN32" s="692"/>
      <c r="BO32" s="692"/>
      <c r="BP32" s="692"/>
      <c r="BQ32" s="692"/>
      <c r="BR32" s="2153"/>
    </row>
    <row r="33" spans="1:70" s="2" customFormat="1" ht="53.25" customHeight="1" x14ac:dyDescent="0.2">
      <c r="A33" s="3667"/>
      <c r="B33" s="3668"/>
      <c r="C33" s="3271"/>
      <c r="D33" s="3670"/>
      <c r="E33" s="3670"/>
      <c r="F33" s="3276"/>
      <c r="G33" s="3273"/>
      <c r="H33" s="3669"/>
      <c r="I33" s="3274"/>
      <c r="J33" s="2706">
        <v>44</v>
      </c>
      <c r="K33" s="3096" t="s">
        <v>2154</v>
      </c>
      <c r="L33" s="3096" t="s">
        <v>2155</v>
      </c>
      <c r="M33" s="2711">
        <v>1</v>
      </c>
      <c r="N33" s="2797">
        <v>0.66</v>
      </c>
      <c r="O33" s="3080" t="s">
        <v>2156</v>
      </c>
      <c r="P33" s="2711" t="s">
        <v>2157</v>
      </c>
      <c r="Q33" s="3096" t="s">
        <v>2158</v>
      </c>
      <c r="R33" s="3713">
        <f>SUM(W33:W38)/S33</f>
        <v>0.11753978779840848</v>
      </c>
      <c r="S33" s="3688">
        <f>SUM(W33:W54)</f>
        <v>603200000</v>
      </c>
      <c r="T33" s="3096" t="s">
        <v>2159</v>
      </c>
      <c r="U33" s="3702" t="s">
        <v>2160</v>
      </c>
      <c r="V33" s="3096" t="s">
        <v>2161</v>
      </c>
      <c r="W33" s="2147">
        <v>16910000</v>
      </c>
      <c r="X33" s="2150">
        <v>16910000</v>
      </c>
      <c r="Y33" s="2150">
        <v>16910000</v>
      </c>
      <c r="Z33" s="2149">
        <v>20</v>
      </c>
      <c r="AA33" s="76" t="s">
        <v>2127</v>
      </c>
      <c r="AB33" s="2798">
        <v>294321</v>
      </c>
      <c r="AC33" s="2798">
        <v>926</v>
      </c>
      <c r="AD33" s="2798">
        <v>283947</v>
      </c>
      <c r="AE33" s="2798">
        <v>544</v>
      </c>
      <c r="AF33" s="2798">
        <v>135754</v>
      </c>
      <c r="AG33" s="2798"/>
      <c r="AH33" s="2798">
        <v>44640</v>
      </c>
      <c r="AI33" s="2798"/>
      <c r="AJ33" s="2798">
        <v>308178</v>
      </c>
      <c r="AK33" s="2798">
        <v>1453</v>
      </c>
      <c r="AL33" s="2798">
        <v>89696</v>
      </c>
      <c r="AM33" s="2798">
        <v>17</v>
      </c>
      <c r="AN33" s="2798"/>
      <c r="AO33" s="2798">
        <v>20</v>
      </c>
      <c r="AP33" s="2798"/>
      <c r="AQ33" s="2798">
        <v>15</v>
      </c>
      <c r="AR33" s="2798"/>
      <c r="AS33" s="2798"/>
      <c r="AT33" s="2798"/>
      <c r="AU33" s="2798"/>
      <c r="AV33" s="2798"/>
      <c r="AW33" s="2798"/>
      <c r="AX33" s="2798"/>
      <c r="AY33" s="2798"/>
      <c r="AZ33" s="2798"/>
      <c r="BA33" s="2798"/>
      <c r="BB33" s="2798"/>
      <c r="BC33" s="2798">
        <v>12</v>
      </c>
      <c r="BD33" s="2798"/>
      <c r="BE33" s="2798">
        <v>91</v>
      </c>
      <c r="BF33" s="2798">
        <f>+AB33+AD33</f>
        <v>578268</v>
      </c>
      <c r="BG33" s="2798">
        <f>AC33+AE33</f>
        <v>1470</v>
      </c>
      <c r="BH33" s="2798">
        <v>6</v>
      </c>
      <c r="BI33" s="3707">
        <f>SUM(X33:X54)</f>
        <v>244755000</v>
      </c>
      <c r="BJ33" s="3707">
        <f>SUM(Y33:Y54)</f>
        <v>227000000</v>
      </c>
      <c r="BK33" s="3709">
        <f>+BJ33/BI33</f>
        <v>0.92745807031521321</v>
      </c>
      <c r="BL33" s="2708" t="s">
        <v>2144</v>
      </c>
      <c r="BM33" s="2708" t="s">
        <v>2162</v>
      </c>
      <c r="BN33" s="3689">
        <v>43467</v>
      </c>
      <c r="BO33" s="3704">
        <v>43488</v>
      </c>
      <c r="BP33" s="3689">
        <v>43830</v>
      </c>
      <c r="BQ33" s="3689">
        <v>43830</v>
      </c>
      <c r="BR33" s="3692" t="s">
        <v>2130</v>
      </c>
    </row>
    <row r="34" spans="1:70" s="2" customFormat="1" ht="47.25" customHeight="1" x14ac:dyDescent="0.2">
      <c r="A34" s="3667"/>
      <c r="B34" s="3668"/>
      <c r="C34" s="3271"/>
      <c r="D34" s="3670"/>
      <c r="E34" s="3670"/>
      <c r="F34" s="3276"/>
      <c r="G34" s="3275"/>
      <c r="H34" s="3670"/>
      <c r="I34" s="3276"/>
      <c r="J34" s="2706"/>
      <c r="K34" s="3096"/>
      <c r="L34" s="3096"/>
      <c r="M34" s="2711"/>
      <c r="N34" s="2797"/>
      <c r="O34" s="3141"/>
      <c r="P34" s="2711"/>
      <c r="Q34" s="3096"/>
      <c r="R34" s="3713"/>
      <c r="S34" s="3688"/>
      <c r="T34" s="3096"/>
      <c r="U34" s="3702"/>
      <c r="V34" s="3096"/>
      <c r="W34" s="3688">
        <f>0+39400000</f>
        <v>39400000</v>
      </c>
      <c r="X34" s="2944"/>
      <c r="Y34" s="2944"/>
      <c r="Z34" s="3685">
        <v>88</v>
      </c>
      <c r="AA34" s="2711" t="s">
        <v>2131</v>
      </c>
      <c r="AB34" s="2799"/>
      <c r="AC34" s="2799"/>
      <c r="AD34" s="2799"/>
      <c r="AE34" s="2799"/>
      <c r="AF34" s="2799"/>
      <c r="AG34" s="2799"/>
      <c r="AH34" s="2799"/>
      <c r="AI34" s="2799"/>
      <c r="AJ34" s="2799"/>
      <c r="AK34" s="2799"/>
      <c r="AL34" s="2799"/>
      <c r="AM34" s="2799"/>
      <c r="AN34" s="2799"/>
      <c r="AO34" s="2799"/>
      <c r="AP34" s="2799"/>
      <c r="AQ34" s="2799"/>
      <c r="AR34" s="2799"/>
      <c r="AS34" s="2799"/>
      <c r="AT34" s="2799"/>
      <c r="AU34" s="2799"/>
      <c r="AV34" s="2799"/>
      <c r="AW34" s="2799"/>
      <c r="AX34" s="2799"/>
      <c r="AY34" s="2799"/>
      <c r="AZ34" s="2799"/>
      <c r="BA34" s="2799"/>
      <c r="BB34" s="2799"/>
      <c r="BC34" s="2799"/>
      <c r="BD34" s="2799"/>
      <c r="BE34" s="2799"/>
      <c r="BF34" s="2799"/>
      <c r="BG34" s="2799"/>
      <c r="BH34" s="2799"/>
      <c r="BI34" s="3708"/>
      <c r="BJ34" s="3708"/>
      <c r="BK34" s="3710"/>
      <c r="BL34" s="2709"/>
      <c r="BM34" s="2709"/>
      <c r="BN34" s="3690"/>
      <c r="BO34" s="3705"/>
      <c r="BP34" s="3690"/>
      <c r="BQ34" s="3690"/>
      <c r="BR34" s="3692"/>
    </row>
    <row r="35" spans="1:70" s="2" customFormat="1" ht="47.25" customHeight="1" x14ac:dyDescent="0.2">
      <c r="A35" s="3667"/>
      <c r="B35" s="3668"/>
      <c r="C35" s="3271"/>
      <c r="D35" s="3670"/>
      <c r="E35" s="3670"/>
      <c r="F35" s="3276"/>
      <c r="G35" s="3275"/>
      <c r="H35" s="3670"/>
      <c r="I35" s="3276"/>
      <c r="J35" s="2706"/>
      <c r="K35" s="3096"/>
      <c r="L35" s="3096"/>
      <c r="M35" s="2711"/>
      <c r="N35" s="2797"/>
      <c r="O35" s="3141"/>
      <c r="P35" s="2711"/>
      <c r="Q35" s="3096"/>
      <c r="R35" s="3713"/>
      <c r="S35" s="3688"/>
      <c r="T35" s="3096"/>
      <c r="U35" s="3702"/>
      <c r="V35" s="3096"/>
      <c r="W35" s="3688"/>
      <c r="X35" s="2944"/>
      <c r="Y35" s="2944"/>
      <c r="Z35" s="3685"/>
      <c r="AA35" s="2711"/>
      <c r="AB35" s="2799"/>
      <c r="AC35" s="2799"/>
      <c r="AD35" s="2799"/>
      <c r="AE35" s="2799"/>
      <c r="AF35" s="2799"/>
      <c r="AG35" s="2799"/>
      <c r="AH35" s="2799"/>
      <c r="AI35" s="2799"/>
      <c r="AJ35" s="2799"/>
      <c r="AK35" s="2799"/>
      <c r="AL35" s="2799"/>
      <c r="AM35" s="2799"/>
      <c r="AN35" s="2799"/>
      <c r="AO35" s="2799"/>
      <c r="AP35" s="2799"/>
      <c r="AQ35" s="2799"/>
      <c r="AR35" s="2799"/>
      <c r="AS35" s="2799"/>
      <c r="AT35" s="2799"/>
      <c r="AU35" s="2799"/>
      <c r="AV35" s="2799"/>
      <c r="AW35" s="2799"/>
      <c r="AX35" s="2799"/>
      <c r="AY35" s="2799"/>
      <c r="AZ35" s="2799"/>
      <c r="BA35" s="2799"/>
      <c r="BB35" s="2799"/>
      <c r="BC35" s="2799"/>
      <c r="BD35" s="2799"/>
      <c r="BE35" s="2799"/>
      <c r="BF35" s="2799"/>
      <c r="BG35" s="2799"/>
      <c r="BH35" s="2799"/>
      <c r="BI35" s="3708"/>
      <c r="BJ35" s="3708"/>
      <c r="BK35" s="3710"/>
      <c r="BL35" s="2709"/>
      <c r="BM35" s="2709"/>
      <c r="BN35" s="3690"/>
      <c r="BO35" s="3705"/>
      <c r="BP35" s="3690"/>
      <c r="BQ35" s="3690"/>
      <c r="BR35" s="3692"/>
    </row>
    <row r="36" spans="1:70" s="2" customFormat="1" ht="39.75" customHeight="1" x14ac:dyDescent="0.2">
      <c r="A36" s="3667"/>
      <c r="B36" s="3668"/>
      <c r="C36" s="3271"/>
      <c r="D36" s="3670"/>
      <c r="E36" s="3670"/>
      <c r="F36" s="3276"/>
      <c r="G36" s="3275"/>
      <c r="H36" s="3670"/>
      <c r="I36" s="3276"/>
      <c r="J36" s="2706"/>
      <c r="K36" s="3096"/>
      <c r="L36" s="3096"/>
      <c r="M36" s="2711"/>
      <c r="N36" s="2797"/>
      <c r="O36" s="3141"/>
      <c r="P36" s="2711"/>
      <c r="Q36" s="3096"/>
      <c r="R36" s="3713"/>
      <c r="S36" s="3688"/>
      <c r="T36" s="3096"/>
      <c r="U36" s="3702"/>
      <c r="V36" s="3096" t="s">
        <v>2163</v>
      </c>
      <c r="W36" s="3688">
        <v>14590000</v>
      </c>
      <c r="X36" s="2944">
        <v>5474000</v>
      </c>
      <c r="Y36" s="2944">
        <v>5474000</v>
      </c>
      <c r="Z36" s="3685">
        <v>20</v>
      </c>
      <c r="AA36" s="2711" t="s">
        <v>2127</v>
      </c>
      <c r="AB36" s="2799"/>
      <c r="AC36" s="2799"/>
      <c r="AD36" s="2799"/>
      <c r="AE36" s="2799"/>
      <c r="AF36" s="2799"/>
      <c r="AG36" s="2799"/>
      <c r="AH36" s="2799"/>
      <c r="AI36" s="2799"/>
      <c r="AJ36" s="2799"/>
      <c r="AK36" s="2799"/>
      <c r="AL36" s="2799"/>
      <c r="AM36" s="2799"/>
      <c r="AN36" s="2799"/>
      <c r="AO36" s="2799"/>
      <c r="AP36" s="2799"/>
      <c r="AQ36" s="2799"/>
      <c r="AR36" s="2799"/>
      <c r="AS36" s="2799"/>
      <c r="AT36" s="2799"/>
      <c r="AU36" s="2799"/>
      <c r="AV36" s="2799"/>
      <c r="AW36" s="2799"/>
      <c r="AX36" s="2799"/>
      <c r="AY36" s="2799"/>
      <c r="AZ36" s="2799"/>
      <c r="BA36" s="2799"/>
      <c r="BB36" s="2799"/>
      <c r="BC36" s="2799"/>
      <c r="BD36" s="2799"/>
      <c r="BE36" s="2799"/>
      <c r="BF36" s="2799"/>
      <c r="BG36" s="2799"/>
      <c r="BH36" s="2799"/>
      <c r="BI36" s="3708"/>
      <c r="BJ36" s="3708"/>
      <c r="BK36" s="3710"/>
      <c r="BL36" s="2709"/>
      <c r="BM36" s="2709"/>
      <c r="BN36" s="3690"/>
      <c r="BO36" s="3705"/>
      <c r="BP36" s="3690"/>
      <c r="BQ36" s="3690"/>
      <c r="BR36" s="3692"/>
    </row>
    <row r="37" spans="1:70" s="2" customFormat="1" ht="39.75" customHeight="1" x14ac:dyDescent="0.2">
      <c r="A37" s="3667"/>
      <c r="B37" s="3668"/>
      <c r="C37" s="3271"/>
      <c r="D37" s="3670"/>
      <c r="E37" s="3670"/>
      <c r="F37" s="3276"/>
      <c r="G37" s="3275"/>
      <c r="H37" s="3670"/>
      <c r="I37" s="3276"/>
      <c r="J37" s="2706"/>
      <c r="K37" s="3096"/>
      <c r="L37" s="3096"/>
      <c r="M37" s="2711"/>
      <c r="N37" s="2797"/>
      <c r="O37" s="3141"/>
      <c r="P37" s="2711"/>
      <c r="Q37" s="3096"/>
      <c r="R37" s="3713"/>
      <c r="S37" s="3688"/>
      <c r="T37" s="3096"/>
      <c r="U37" s="3702"/>
      <c r="V37" s="3096"/>
      <c r="W37" s="3688"/>
      <c r="X37" s="2944"/>
      <c r="Y37" s="2944"/>
      <c r="Z37" s="3685"/>
      <c r="AA37" s="2711"/>
      <c r="AB37" s="2799"/>
      <c r="AC37" s="2799"/>
      <c r="AD37" s="2799"/>
      <c r="AE37" s="2799"/>
      <c r="AF37" s="2799"/>
      <c r="AG37" s="2799"/>
      <c r="AH37" s="2799"/>
      <c r="AI37" s="2799"/>
      <c r="AJ37" s="2799"/>
      <c r="AK37" s="2799"/>
      <c r="AL37" s="2799"/>
      <c r="AM37" s="2799"/>
      <c r="AN37" s="2799"/>
      <c r="AO37" s="2799"/>
      <c r="AP37" s="2799"/>
      <c r="AQ37" s="2799"/>
      <c r="AR37" s="2799"/>
      <c r="AS37" s="2799"/>
      <c r="AT37" s="2799"/>
      <c r="AU37" s="2799"/>
      <c r="AV37" s="2799"/>
      <c r="AW37" s="2799"/>
      <c r="AX37" s="2799"/>
      <c r="AY37" s="2799"/>
      <c r="AZ37" s="2799"/>
      <c r="BA37" s="2799"/>
      <c r="BB37" s="2799"/>
      <c r="BC37" s="2799"/>
      <c r="BD37" s="2799"/>
      <c r="BE37" s="2799"/>
      <c r="BF37" s="2799"/>
      <c r="BG37" s="2799"/>
      <c r="BH37" s="2799"/>
      <c r="BI37" s="3708"/>
      <c r="BJ37" s="3708"/>
      <c r="BK37" s="3710"/>
      <c r="BL37" s="2709"/>
      <c r="BM37" s="2709"/>
      <c r="BN37" s="3690"/>
      <c r="BO37" s="3705"/>
      <c r="BP37" s="3690"/>
      <c r="BQ37" s="3690"/>
      <c r="BR37" s="3692"/>
    </row>
    <row r="38" spans="1:70" s="2" customFormat="1" ht="39.75" customHeight="1" x14ac:dyDescent="0.2">
      <c r="A38" s="3667"/>
      <c r="B38" s="3668"/>
      <c r="C38" s="3271"/>
      <c r="D38" s="3670"/>
      <c r="E38" s="3670"/>
      <c r="F38" s="3276"/>
      <c r="G38" s="3275"/>
      <c r="H38" s="3670"/>
      <c r="I38" s="3276"/>
      <c r="J38" s="2706"/>
      <c r="K38" s="3096"/>
      <c r="L38" s="3096"/>
      <c r="M38" s="2711"/>
      <c r="N38" s="2797"/>
      <c r="O38" s="3141"/>
      <c r="P38" s="2711"/>
      <c r="Q38" s="3096"/>
      <c r="R38" s="3713"/>
      <c r="S38" s="3688"/>
      <c r="T38" s="3096"/>
      <c r="U38" s="3702"/>
      <c r="V38" s="3096"/>
      <c r="W38" s="3688"/>
      <c r="X38" s="2944"/>
      <c r="Y38" s="2944"/>
      <c r="Z38" s="3685"/>
      <c r="AA38" s="2711"/>
      <c r="AB38" s="2799"/>
      <c r="AC38" s="2799"/>
      <c r="AD38" s="2799"/>
      <c r="AE38" s="2799"/>
      <c r="AF38" s="2799"/>
      <c r="AG38" s="2799"/>
      <c r="AH38" s="2799"/>
      <c r="AI38" s="2799"/>
      <c r="AJ38" s="2799"/>
      <c r="AK38" s="2799"/>
      <c r="AL38" s="2799"/>
      <c r="AM38" s="2799"/>
      <c r="AN38" s="2799"/>
      <c r="AO38" s="2799"/>
      <c r="AP38" s="2799"/>
      <c r="AQ38" s="2799"/>
      <c r="AR38" s="2799"/>
      <c r="AS38" s="2799"/>
      <c r="AT38" s="2799"/>
      <c r="AU38" s="2799"/>
      <c r="AV38" s="2799"/>
      <c r="AW38" s="2799"/>
      <c r="AX38" s="2799"/>
      <c r="AY38" s="2799"/>
      <c r="AZ38" s="2799"/>
      <c r="BA38" s="2799"/>
      <c r="BB38" s="2799"/>
      <c r="BC38" s="2799"/>
      <c r="BD38" s="2799"/>
      <c r="BE38" s="2799"/>
      <c r="BF38" s="2799"/>
      <c r="BG38" s="2799"/>
      <c r="BH38" s="2799"/>
      <c r="BI38" s="3708"/>
      <c r="BJ38" s="3708"/>
      <c r="BK38" s="3710"/>
      <c r="BL38" s="2709"/>
      <c r="BM38" s="2709"/>
      <c r="BN38" s="3690"/>
      <c r="BO38" s="3705"/>
      <c r="BP38" s="3690"/>
      <c r="BQ38" s="3690"/>
      <c r="BR38" s="3692"/>
    </row>
    <row r="39" spans="1:70" s="2" customFormat="1" ht="27" customHeight="1" x14ac:dyDescent="0.2">
      <c r="A39" s="3667"/>
      <c r="B39" s="3668"/>
      <c r="C39" s="3271"/>
      <c r="D39" s="3670"/>
      <c r="E39" s="3670"/>
      <c r="F39" s="3276"/>
      <c r="G39" s="3275"/>
      <c r="H39" s="3670"/>
      <c r="I39" s="3276"/>
      <c r="J39" s="2708">
        <v>43</v>
      </c>
      <c r="K39" s="3078" t="s">
        <v>2164</v>
      </c>
      <c r="L39" s="3080" t="s">
        <v>2165</v>
      </c>
      <c r="M39" s="3080">
        <v>3</v>
      </c>
      <c r="N39" s="2798">
        <v>2</v>
      </c>
      <c r="O39" s="3141"/>
      <c r="P39" s="2711"/>
      <c r="Q39" s="3096"/>
      <c r="R39" s="3714">
        <f>SUM(W39:W46)/S33</f>
        <v>0.47049071618037136</v>
      </c>
      <c r="S39" s="3688"/>
      <c r="T39" s="3096"/>
      <c r="U39" s="3702" t="s">
        <v>2166</v>
      </c>
      <c r="V39" s="3096" t="s">
        <v>2167</v>
      </c>
      <c r="W39" s="3688">
        <v>28800000</v>
      </c>
      <c r="X39" s="2944">
        <v>17915000</v>
      </c>
      <c r="Y39" s="2944">
        <v>14332000</v>
      </c>
      <c r="Z39" s="3685">
        <v>20</v>
      </c>
      <c r="AA39" s="2711" t="s">
        <v>2127</v>
      </c>
      <c r="AB39" s="2799"/>
      <c r="AC39" s="2799"/>
      <c r="AD39" s="2799"/>
      <c r="AE39" s="2799"/>
      <c r="AF39" s="2799"/>
      <c r="AG39" s="2799"/>
      <c r="AH39" s="2799"/>
      <c r="AI39" s="2799"/>
      <c r="AJ39" s="2799"/>
      <c r="AK39" s="2799"/>
      <c r="AL39" s="2799"/>
      <c r="AM39" s="2799"/>
      <c r="AN39" s="2799"/>
      <c r="AO39" s="2799"/>
      <c r="AP39" s="2799"/>
      <c r="AQ39" s="2799"/>
      <c r="AR39" s="2799"/>
      <c r="AS39" s="2799"/>
      <c r="AT39" s="2799"/>
      <c r="AU39" s="2799"/>
      <c r="AV39" s="2799"/>
      <c r="AW39" s="2799"/>
      <c r="AX39" s="2799"/>
      <c r="AY39" s="2799"/>
      <c r="AZ39" s="2799"/>
      <c r="BA39" s="2799"/>
      <c r="BB39" s="2799"/>
      <c r="BC39" s="2799"/>
      <c r="BD39" s="2799"/>
      <c r="BE39" s="2799"/>
      <c r="BF39" s="2799"/>
      <c r="BG39" s="2799"/>
      <c r="BH39" s="2799"/>
      <c r="BI39" s="3708"/>
      <c r="BJ39" s="3708"/>
      <c r="BK39" s="3710"/>
      <c r="BL39" s="2709"/>
      <c r="BM39" s="2709"/>
      <c r="BN39" s="3690"/>
      <c r="BO39" s="3705"/>
      <c r="BP39" s="3690"/>
      <c r="BQ39" s="3690"/>
      <c r="BR39" s="3692"/>
    </row>
    <row r="40" spans="1:70" s="2" customFormat="1" ht="27" customHeight="1" x14ac:dyDescent="0.2">
      <c r="A40" s="3667"/>
      <c r="B40" s="3668"/>
      <c r="C40" s="3271"/>
      <c r="D40" s="3670"/>
      <c r="E40" s="3670"/>
      <c r="F40" s="3276"/>
      <c r="G40" s="3275"/>
      <c r="H40" s="3670"/>
      <c r="I40" s="3276"/>
      <c r="J40" s="2709"/>
      <c r="K40" s="3142"/>
      <c r="L40" s="3141"/>
      <c r="M40" s="3141"/>
      <c r="N40" s="2799"/>
      <c r="O40" s="3141"/>
      <c r="P40" s="2711"/>
      <c r="Q40" s="3096"/>
      <c r="R40" s="3715"/>
      <c r="S40" s="3688"/>
      <c r="T40" s="3096"/>
      <c r="U40" s="3702"/>
      <c r="V40" s="3096"/>
      <c r="W40" s="3688"/>
      <c r="X40" s="2944"/>
      <c r="Y40" s="2944"/>
      <c r="Z40" s="3685"/>
      <c r="AA40" s="2711"/>
      <c r="AB40" s="2799"/>
      <c r="AC40" s="2799"/>
      <c r="AD40" s="2799"/>
      <c r="AE40" s="2799"/>
      <c r="AF40" s="2799"/>
      <c r="AG40" s="2799"/>
      <c r="AH40" s="2799"/>
      <c r="AI40" s="2799"/>
      <c r="AJ40" s="2799"/>
      <c r="AK40" s="2799"/>
      <c r="AL40" s="2799"/>
      <c r="AM40" s="2799"/>
      <c r="AN40" s="2799"/>
      <c r="AO40" s="2799"/>
      <c r="AP40" s="2799"/>
      <c r="AQ40" s="2799"/>
      <c r="AR40" s="2799"/>
      <c r="AS40" s="2799"/>
      <c r="AT40" s="2799"/>
      <c r="AU40" s="2799"/>
      <c r="AV40" s="2799"/>
      <c r="AW40" s="2799"/>
      <c r="AX40" s="2799"/>
      <c r="AY40" s="2799"/>
      <c r="AZ40" s="2799"/>
      <c r="BA40" s="2799"/>
      <c r="BB40" s="2799"/>
      <c r="BC40" s="2799"/>
      <c r="BD40" s="2799"/>
      <c r="BE40" s="2799"/>
      <c r="BF40" s="2799"/>
      <c r="BG40" s="2799"/>
      <c r="BH40" s="2799"/>
      <c r="BI40" s="3708"/>
      <c r="BJ40" s="3708"/>
      <c r="BK40" s="3710"/>
      <c r="BL40" s="2709"/>
      <c r="BM40" s="2709"/>
      <c r="BN40" s="3690"/>
      <c r="BO40" s="3705"/>
      <c r="BP40" s="3690"/>
      <c r="BQ40" s="3690"/>
      <c r="BR40" s="3692"/>
    </row>
    <row r="41" spans="1:70" s="2" customFormat="1" ht="27" customHeight="1" x14ac:dyDescent="0.2">
      <c r="A41" s="3667"/>
      <c r="B41" s="3668"/>
      <c r="C41" s="3271"/>
      <c r="D41" s="3670"/>
      <c r="E41" s="3670"/>
      <c r="F41" s="3276"/>
      <c r="G41" s="3275"/>
      <c r="H41" s="3670"/>
      <c r="I41" s="3276"/>
      <c r="J41" s="2709"/>
      <c r="K41" s="3142"/>
      <c r="L41" s="3141"/>
      <c r="M41" s="3141"/>
      <c r="N41" s="2799"/>
      <c r="O41" s="3141"/>
      <c r="P41" s="2711"/>
      <c r="Q41" s="3096"/>
      <c r="R41" s="3715" t="e">
        <f>SUM(W41:W42)/S35</f>
        <v>#DIV/0!</v>
      </c>
      <c r="S41" s="3688"/>
      <c r="T41" s="3096"/>
      <c r="U41" s="3702"/>
      <c r="V41" s="3096"/>
      <c r="W41" s="3688"/>
      <c r="X41" s="2944"/>
      <c r="Y41" s="2944"/>
      <c r="Z41" s="3685"/>
      <c r="AA41" s="2711"/>
      <c r="AB41" s="2799"/>
      <c r="AC41" s="2799"/>
      <c r="AD41" s="2799"/>
      <c r="AE41" s="2799"/>
      <c r="AF41" s="2799"/>
      <c r="AG41" s="2799"/>
      <c r="AH41" s="2799"/>
      <c r="AI41" s="2799"/>
      <c r="AJ41" s="2799"/>
      <c r="AK41" s="2799"/>
      <c r="AL41" s="2799"/>
      <c r="AM41" s="2799"/>
      <c r="AN41" s="2799"/>
      <c r="AO41" s="2799"/>
      <c r="AP41" s="2799"/>
      <c r="AQ41" s="2799"/>
      <c r="AR41" s="2799"/>
      <c r="AS41" s="2799"/>
      <c r="AT41" s="2799"/>
      <c r="AU41" s="2799"/>
      <c r="AV41" s="2799"/>
      <c r="AW41" s="2799"/>
      <c r="AX41" s="2799"/>
      <c r="AY41" s="2799"/>
      <c r="AZ41" s="2799"/>
      <c r="BA41" s="2799"/>
      <c r="BB41" s="2799"/>
      <c r="BC41" s="2799"/>
      <c r="BD41" s="2799"/>
      <c r="BE41" s="2799"/>
      <c r="BF41" s="2799"/>
      <c r="BG41" s="2799"/>
      <c r="BH41" s="2799"/>
      <c r="BI41" s="3708"/>
      <c r="BJ41" s="3708"/>
      <c r="BK41" s="3710"/>
      <c r="BL41" s="2709"/>
      <c r="BM41" s="2709"/>
      <c r="BN41" s="3690"/>
      <c r="BO41" s="3705"/>
      <c r="BP41" s="3690"/>
      <c r="BQ41" s="3690"/>
      <c r="BR41" s="3692"/>
    </row>
    <row r="42" spans="1:70" s="2" customFormat="1" ht="27" customHeight="1" x14ac:dyDescent="0.2">
      <c r="A42" s="3667"/>
      <c r="B42" s="3668"/>
      <c r="C42" s="3271"/>
      <c r="D42" s="3670"/>
      <c r="E42" s="3670"/>
      <c r="F42" s="3276"/>
      <c r="G42" s="3275"/>
      <c r="H42" s="3670"/>
      <c r="I42" s="3276"/>
      <c r="J42" s="2709"/>
      <c r="K42" s="3142"/>
      <c r="L42" s="3141"/>
      <c r="M42" s="3141"/>
      <c r="N42" s="2799"/>
      <c r="O42" s="3141"/>
      <c r="P42" s="2711"/>
      <c r="Q42" s="3096"/>
      <c r="R42" s="3715"/>
      <c r="S42" s="3688"/>
      <c r="T42" s="3096"/>
      <c r="U42" s="3702"/>
      <c r="V42" s="3096"/>
      <c r="W42" s="3688"/>
      <c r="X42" s="2944"/>
      <c r="Y42" s="2944"/>
      <c r="Z42" s="3685"/>
      <c r="AA42" s="2711"/>
      <c r="AB42" s="2799"/>
      <c r="AC42" s="2799"/>
      <c r="AD42" s="2799"/>
      <c r="AE42" s="2799"/>
      <c r="AF42" s="2799"/>
      <c r="AG42" s="2799"/>
      <c r="AH42" s="2799"/>
      <c r="AI42" s="2799"/>
      <c r="AJ42" s="2799"/>
      <c r="AK42" s="2799"/>
      <c r="AL42" s="2799"/>
      <c r="AM42" s="2799"/>
      <c r="AN42" s="2799"/>
      <c r="AO42" s="2799"/>
      <c r="AP42" s="2799"/>
      <c r="AQ42" s="2799"/>
      <c r="AR42" s="2799"/>
      <c r="AS42" s="2799"/>
      <c r="AT42" s="2799"/>
      <c r="AU42" s="2799"/>
      <c r="AV42" s="2799"/>
      <c r="AW42" s="2799"/>
      <c r="AX42" s="2799"/>
      <c r="AY42" s="2799"/>
      <c r="AZ42" s="2799"/>
      <c r="BA42" s="2799"/>
      <c r="BB42" s="2799"/>
      <c r="BC42" s="2799"/>
      <c r="BD42" s="2799"/>
      <c r="BE42" s="2799"/>
      <c r="BF42" s="2799"/>
      <c r="BG42" s="2799"/>
      <c r="BH42" s="2799"/>
      <c r="BI42" s="3708"/>
      <c r="BJ42" s="3708"/>
      <c r="BK42" s="3710"/>
      <c r="BL42" s="2709"/>
      <c r="BM42" s="2709"/>
      <c r="BN42" s="3690"/>
      <c r="BO42" s="3705"/>
      <c r="BP42" s="3690"/>
      <c r="BQ42" s="3690"/>
      <c r="BR42" s="3692"/>
    </row>
    <row r="43" spans="1:70" s="2" customFormat="1" ht="27" customHeight="1" x14ac:dyDescent="0.2">
      <c r="A43" s="3667"/>
      <c r="B43" s="3668"/>
      <c r="C43" s="3271"/>
      <c r="D43" s="3670"/>
      <c r="E43" s="3670"/>
      <c r="F43" s="3276"/>
      <c r="G43" s="3275"/>
      <c r="H43" s="3670"/>
      <c r="I43" s="3276"/>
      <c r="J43" s="2709"/>
      <c r="K43" s="3142"/>
      <c r="L43" s="3141"/>
      <c r="M43" s="3141"/>
      <c r="N43" s="2799"/>
      <c r="O43" s="3141"/>
      <c r="P43" s="2711"/>
      <c r="Q43" s="3096"/>
      <c r="R43" s="3715" t="e">
        <f>SUM(W43:W44)/S37</f>
        <v>#DIV/0!</v>
      </c>
      <c r="S43" s="3688"/>
      <c r="T43" s="3096"/>
      <c r="U43" s="3702"/>
      <c r="V43" s="3078" t="s">
        <v>2168</v>
      </c>
      <c r="W43" s="3717">
        <v>255000000</v>
      </c>
      <c r="X43" s="3707"/>
      <c r="Y43" s="3707"/>
      <c r="Z43" s="3155">
        <v>88</v>
      </c>
      <c r="AA43" s="3080" t="s">
        <v>2131</v>
      </c>
      <c r="AB43" s="2799"/>
      <c r="AC43" s="2799"/>
      <c r="AD43" s="2799"/>
      <c r="AE43" s="2799"/>
      <c r="AF43" s="2799"/>
      <c r="AG43" s="2799"/>
      <c r="AH43" s="2799"/>
      <c r="AI43" s="2799"/>
      <c r="AJ43" s="2799"/>
      <c r="AK43" s="2799"/>
      <c r="AL43" s="2799"/>
      <c r="AM43" s="2799"/>
      <c r="AN43" s="2799"/>
      <c r="AO43" s="2799"/>
      <c r="AP43" s="2799"/>
      <c r="AQ43" s="2799"/>
      <c r="AR43" s="2799"/>
      <c r="AS43" s="2799"/>
      <c r="AT43" s="2799"/>
      <c r="AU43" s="2799"/>
      <c r="AV43" s="2799"/>
      <c r="AW43" s="2799"/>
      <c r="AX43" s="2799"/>
      <c r="AY43" s="2799"/>
      <c r="AZ43" s="2799"/>
      <c r="BA43" s="2799"/>
      <c r="BB43" s="2799"/>
      <c r="BC43" s="2799"/>
      <c r="BD43" s="2799"/>
      <c r="BE43" s="2799"/>
      <c r="BF43" s="2799"/>
      <c r="BG43" s="2799"/>
      <c r="BH43" s="2799"/>
      <c r="BI43" s="3708"/>
      <c r="BJ43" s="3708"/>
      <c r="BK43" s="3710"/>
      <c r="BL43" s="2709"/>
      <c r="BM43" s="2709"/>
      <c r="BN43" s="3690"/>
      <c r="BO43" s="3705"/>
      <c r="BP43" s="3690"/>
      <c r="BQ43" s="3690"/>
      <c r="BR43" s="3692"/>
    </row>
    <row r="44" spans="1:70" s="2" customFormat="1" ht="27" customHeight="1" x14ac:dyDescent="0.2">
      <c r="A44" s="3667"/>
      <c r="B44" s="3668"/>
      <c r="C44" s="3271"/>
      <c r="D44" s="3670"/>
      <c r="E44" s="3670"/>
      <c r="F44" s="3276"/>
      <c r="G44" s="3275"/>
      <c r="H44" s="3670"/>
      <c r="I44" s="3276"/>
      <c r="J44" s="2709"/>
      <c r="K44" s="3142"/>
      <c r="L44" s="3141"/>
      <c r="M44" s="3141"/>
      <c r="N44" s="2799"/>
      <c r="O44" s="3141"/>
      <c r="P44" s="2711"/>
      <c r="Q44" s="3096"/>
      <c r="R44" s="3715"/>
      <c r="S44" s="3688"/>
      <c r="T44" s="3096"/>
      <c r="U44" s="3702"/>
      <c r="V44" s="3142"/>
      <c r="W44" s="3718"/>
      <c r="X44" s="3708"/>
      <c r="Y44" s="3708"/>
      <c r="Z44" s="3156"/>
      <c r="AA44" s="3141"/>
      <c r="AB44" s="2799"/>
      <c r="AC44" s="2799"/>
      <c r="AD44" s="2799"/>
      <c r="AE44" s="2799"/>
      <c r="AF44" s="2799"/>
      <c r="AG44" s="2799"/>
      <c r="AH44" s="2799"/>
      <c r="AI44" s="2799"/>
      <c r="AJ44" s="2799"/>
      <c r="AK44" s="2799"/>
      <c r="AL44" s="2799"/>
      <c r="AM44" s="2799"/>
      <c r="AN44" s="2799"/>
      <c r="AO44" s="2799"/>
      <c r="AP44" s="2799"/>
      <c r="AQ44" s="2799"/>
      <c r="AR44" s="2799"/>
      <c r="AS44" s="2799"/>
      <c r="AT44" s="2799"/>
      <c r="AU44" s="2799"/>
      <c r="AV44" s="2799"/>
      <c r="AW44" s="2799"/>
      <c r="AX44" s="2799"/>
      <c r="AY44" s="2799"/>
      <c r="AZ44" s="2799"/>
      <c r="BA44" s="2799"/>
      <c r="BB44" s="2799"/>
      <c r="BC44" s="2799"/>
      <c r="BD44" s="2799"/>
      <c r="BE44" s="2799"/>
      <c r="BF44" s="2799"/>
      <c r="BG44" s="2799"/>
      <c r="BH44" s="2799"/>
      <c r="BI44" s="3708"/>
      <c r="BJ44" s="3708"/>
      <c r="BK44" s="3710"/>
      <c r="BL44" s="2709"/>
      <c r="BM44" s="2709"/>
      <c r="BN44" s="3690"/>
      <c r="BO44" s="3705"/>
      <c r="BP44" s="3690"/>
      <c r="BQ44" s="3690"/>
      <c r="BR44" s="3692"/>
    </row>
    <row r="45" spans="1:70" s="2" customFormat="1" ht="27" customHeight="1" x14ac:dyDescent="0.2">
      <c r="A45" s="3667"/>
      <c r="B45" s="3668"/>
      <c r="C45" s="3271"/>
      <c r="D45" s="3670"/>
      <c r="E45" s="3670"/>
      <c r="F45" s="3276"/>
      <c r="G45" s="3275"/>
      <c r="H45" s="3670"/>
      <c r="I45" s="3276"/>
      <c r="J45" s="2709"/>
      <c r="K45" s="3142"/>
      <c r="L45" s="3141"/>
      <c r="M45" s="3141"/>
      <c r="N45" s="2799"/>
      <c r="O45" s="3141"/>
      <c r="P45" s="2711"/>
      <c r="Q45" s="3096"/>
      <c r="R45" s="3715" t="e">
        <f>SUM(W45:W46)/S39</f>
        <v>#DIV/0!</v>
      </c>
      <c r="S45" s="3688"/>
      <c r="T45" s="3096"/>
      <c r="U45" s="3702"/>
      <c r="V45" s="3142"/>
      <c r="W45" s="3718"/>
      <c r="X45" s="3708"/>
      <c r="Y45" s="3708"/>
      <c r="Z45" s="3156"/>
      <c r="AA45" s="3141"/>
      <c r="AB45" s="2799"/>
      <c r="AC45" s="2799"/>
      <c r="AD45" s="2799"/>
      <c r="AE45" s="2799"/>
      <c r="AF45" s="2799"/>
      <c r="AG45" s="2799"/>
      <c r="AH45" s="2799"/>
      <c r="AI45" s="2799"/>
      <c r="AJ45" s="2799"/>
      <c r="AK45" s="2799"/>
      <c r="AL45" s="2799"/>
      <c r="AM45" s="2799"/>
      <c r="AN45" s="2799"/>
      <c r="AO45" s="2799"/>
      <c r="AP45" s="2799"/>
      <c r="AQ45" s="2799"/>
      <c r="AR45" s="2799"/>
      <c r="AS45" s="2799"/>
      <c r="AT45" s="2799"/>
      <c r="AU45" s="2799"/>
      <c r="AV45" s="2799"/>
      <c r="AW45" s="2799"/>
      <c r="AX45" s="2799"/>
      <c r="AY45" s="2799"/>
      <c r="AZ45" s="2799"/>
      <c r="BA45" s="2799"/>
      <c r="BB45" s="2799"/>
      <c r="BC45" s="2799"/>
      <c r="BD45" s="2799"/>
      <c r="BE45" s="2799"/>
      <c r="BF45" s="2799"/>
      <c r="BG45" s="2799"/>
      <c r="BH45" s="2799"/>
      <c r="BI45" s="3708"/>
      <c r="BJ45" s="3708"/>
      <c r="BK45" s="3710"/>
      <c r="BL45" s="2709"/>
      <c r="BM45" s="2709"/>
      <c r="BN45" s="3690"/>
      <c r="BO45" s="3705"/>
      <c r="BP45" s="3690"/>
      <c r="BQ45" s="3690"/>
      <c r="BR45" s="3692"/>
    </row>
    <row r="46" spans="1:70" s="2" customFormat="1" ht="27" customHeight="1" x14ac:dyDescent="0.2">
      <c r="A46" s="3667"/>
      <c r="B46" s="3668"/>
      <c r="C46" s="3271"/>
      <c r="D46" s="3670"/>
      <c r="E46" s="3670"/>
      <c r="F46" s="3276"/>
      <c r="G46" s="3275"/>
      <c r="H46" s="3670"/>
      <c r="I46" s="3276"/>
      <c r="J46" s="2710"/>
      <c r="K46" s="3079"/>
      <c r="L46" s="3081"/>
      <c r="M46" s="3081"/>
      <c r="N46" s="2800"/>
      <c r="O46" s="3141"/>
      <c r="P46" s="2711"/>
      <c r="Q46" s="3096"/>
      <c r="R46" s="3716"/>
      <c r="S46" s="3688"/>
      <c r="T46" s="3096"/>
      <c r="U46" s="3702"/>
      <c r="V46" s="3079"/>
      <c r="W46" s="3719"/>
      <c r="X46" s="2943"/>
      <c r="Y46" s="2943"/>
      <c r="Z46" s="3157"/>
      <c r="AA46" s="3081"/>
      <c r="AB46" s="2799"/>
      <c r="AC46" s="2799"/>
      <c r="AD46" s="2799"/>
      <c r="AE46" s="2799"/>
      <c r="AF46" s="2799"/>
      <c r="AG46" s="2799"/>
      <c r="AH46" s="2799"/>
      <c r="AI46" s="2799"/>
      <c r="AJ46" s="2799"/>
      <c r="AK46" s="2799"/>
      <c r="AL46" s="2799"/>
      <c r="AM46" s="2799"/>
      <c r="AN46" s="2799"/>
      <c r="AO46" s="2799"/>
      <c r="AP46" s="2799"/>
      <c r="AQ46" s="2799"/>
      <c r="AR46" s="2799"/>
      <c r="AS46" s="2799"/>
      <c r="AT46" s="2799"/>
      <c r="AU46" s="2799"/>
      <c r="AV46" s="2799"/>
      <c r="AW46" s="2799"/>
      <c r="AX46" s="2799"/>
      <c r="AY46" s="2799"/>
      <c r="AZ46" s="2799"/>
      <c r="BA46" s="2799"/>
      <c r="BB46" s="2799"/>
      <c r="BC46" s="2799"/>
      <c r="BD46" s="2799"/>
      <c r="BE46" s="2799"/>
      <c r="BF46" s="2799"/>
      <c r="BG46" s="2799"/>
      <c r="BH46" s="2799"/>
      <c r="BI46" s="3708"/>
      <c r="BJ46" s="3708"/>
      <c r="BK46" s="3710"/>
      <c r="BL46" s="2709"/>
      <c r="BM46" s="2709"/>
      <c r="BN46" s="3690"/>
      <c r="BO46" s="3705"/>
      <c r="BP46" s="3690"/>
      <c r="BQ46" s="3690"/>
      <c r="BR46" s="3692"/>
    </row>
    <row r="47" spans="1:70" s="2" customFormat="1" ht="27" customHeight="1" x14ac:dyDescent="0.2">
      <c r="A47" s="3667"/>
      <c r="B47" s="3668"/>
      <c r="C47" s="3271"/>
      <c r="D47" s="3670"/>
      <c r="E47" s="3670"/>
      <c r="F47" s="3276"/>
      <c r="G47" s="3275"/>
      <c r="H47" s="3670"/>
      <c r="I47" s="3276"/>
      <c r="J47" s="2706">
        <v>45</v>
      </c>
      <c r="K47" s="3096" t="s">
        <v>2169</v>
      </c>
      <c r="L47" s="3096" t="s">
        <v>2165</v>
      </c>
      <c r="M47" s="2711">
        <v>4</v>
      </c>
      <c r="N47" s="2797">
        <v>3</v>
      </c>
      <c r="O47" s="3141"/>
      <c r="P47" s="2711"/>
      <c r="Q47" s="3096"/>
      <c r="R47" s="3714">
        <f>(W47)/S33</f>
        <v>0.16329575596816975</v>
      </c>
      <c r="S47" s="3688"/>
      <c r="T47" s="3096"/>
      <c r="U47" s="3702"/>
      <c r="V47" s="3702" t="s">
        <v>2170</v>
      </c>
      <c r="W47" s="3688">
        <v>98500000</v>
      </c>
      <c r="X47" s="2944">
        <v>54456000</v>
      </c>
      <c r="Y47" s="2944">
        <v>40284000</v>
      </c>
      <c r="Z47" s="3685">
        <v>20</v>
      </c>
      <c r="AA47" s="2711" t="s">
        <v>2127</v>
      </c>
      <c r="AB47" s="2799"/>
      <c r="AC47" s="2799"/>
      <c r="AD47" s="2799"/>
      <c r="AE47" s="2799"/>
      <c r="AF47" s="2799"/>
      <c r="AG47" s="2799"/>
      <c r="AH47" s="2799"/>
      <c r="AI47" s="2799"/>
      <c r="AJ47" s="2799"/>
      <c r="AK47" s="2799"/>
      <c r="AL47" s="2799"/>
      <c r="AM47" s="2799"/>
      <c r="AN47" s="2799"/>
      <c r="AO47" s="2799"/>
      <c r="AP47" s="2799"/>
      <c r="AQ47" s="2799"/>
      <c r="AR47" s="2799"/>
      <c r="AS47" s="2799"/>
      <c r="AT47" s="2799"/>
      <c r="AU47" s="2799"/>
      <c r="AV47" s="2799"/>
      <c r="AW47" s="2799"/>
      <c r="AX47" s="2799"/>
      <c r="AY47" s="2799"/>
      <c r="AZ47" s="2799"/>
      <c r="BA47" s="2799"/>
      <c r="BB47" s="2799"/>
      <c r="BC47" s="2799"/>
      <c r="BD47" s="2799"/>
      <c r="BE47" s="2799"/>
      <c r="BF47" s="2799"/>
      <c r="BG47" s="2799"/>
      <c r="BH47" s="2799"/>
      <c r="BI47" s="3708"/>
      <c r="BJ47" s="3708"/>
      <c r="BK47" s="3710"/>
      <c r="BL47" s="2709"/>
      <c r="BM47" s="2709"/>
      <c r="BN47" s="3690"/>
      <c r="BO47" s="3705"/>
      <c r="BP47" s="3690"/>
      <c r="BQ47" s="3690"/>
      <c r="BR47" s="3692"/>
    </row>
    <row r="48" spans="1:70" s="2" customFormat="1" ht="27" customHeight="1" x14ac:dyDescent="0.2">
      <c r="A48" s="3667"/>
      <c r="B48" s="3668"/>
      <c r="C48" s="3271"/>
      <c r="D48" s="3670"/>
      <c r="E48" s="3670"/>
      <c r="F48" s="3276"/>
      <c r="G48" s="3275"/>
      <c r="H48" s="3670"/>
      <c r="I48" s="3276"/>
      <c r="J48" s="2706"/>
      <c r="K48" s="3096"/>
      <c r="L48" s="3096"/>
      <c r="M48" s="2711"/>
      <c r="N48" s="2797"/>
      <c r="O48" s="3141"/>
      <c r="P48" s="2711"/>
      <c r="Q48" s="3096"/>
      <c r="R48" s="3715"/>
      <c r="S48" s="3688"/>
      <c r="T48" s="3096"/>
      <c r="U48" s="3702"/>
      <c r="V48" s="3702"/>
      <c r="W48" s="3688"/>
      <c r="X48" s="2944"/>
      <c r="Y48" s="2944"/>
      <c r="Z48" s="3685"/>
      <c r="AA48" s="2711"/>
      <c r="AB48" s="2799"/>
      <c r="AC48" s="2799"/>
      <c r="AD48" s="2799"/>
      <c r="AE48" s="2799"/>
      <c r="AF48" s="2799"/>
      <c r="AG48" s="2799"/>
      <c r="AH48" s="2799"/>
      <c r="AI48" s="2799"/>
      <c r="AJ48" s="2799"/>
      <c r="AK48" s="2799"/>
      <c r="AL48" s="2799"/>
      <c r="AM48" s="2799"/>
      <c r="AN48" s="2799"/>
      <c r="AO48" s="2799"/>
      <c r="AP48" s="2799"/>
      <c r="AQ48" s="2799"/>
      <c r="AR48" s="2799"/>
      <c r="AS48" s="2799"/>
      <c r="AT48" s="2799"/>
      <c r="AU48" s="2799"/>
      <c r="AV48" s="2799"/>
      <c r="AW48" s="2799"/>
      <c r="AX48" s="2799"/>
      <c r="AY48" s="2799"/>
      <c r="AZ48" s="2799"/>
      <c r="BA48" s="2799"/>
      <c r="BB48" s="2799"/>
      <c r="BC48" s="2799"/>
      <c r="BD48" s="2799"/>
      <c r="BE48" s="2799"/>
      <c r="BF48" s="2799"/>
      <c r="BG48" s="2799"/>
      <c r="BH48" s="2799"/>
      <c r="BI48" s="3708"/>
      <c r="BJ48" s="3708"/>
      <c r="BK48" s="3710"/>
      <c r="BL48" s="2709"/>
      <c r="BM48" s="2709"/>
      <c r="BN48" s="3690"/>
      <c r="BO48" s="3705"/>
      <c r="BP48" s="3690"/>
      <c r="BQ48" s="3690"/>
      <c r="BR48" s="3692"/>
    </row>
    <row r="49" spans="1:70" s="2" customFormat="1" ht="27" customHeight="1" x14ac:dyDescent="0.2">
      <c r="A49" s="3667"/>
      <c r="B49" s="3668"/>
      <c r="C49" s="3271"/>
      <c r="D49" s="3670"/>
      <c r="E49" s="3670"/>
      <c r="F49" s="3276"/>
      <c r="G49" s="3275"/>
      <c r="H49" s="3670"/>
      <c r="I49" s="3276"/>
      <c r="J49" s="2706"/>
      <c r="K49" s="3096"/>
      <c r="L49" s="3096"/>
      <c r="M49" s="2711"/>
      <c r="N49" s="2797"/>
      <c r="O49" s="3141"/>
      <c r="P49" s="2711"/>
      <c r="Q49" s="3096"/>
      <c r="R49" s="3715" t="e">
        <f>SUM(W49:W50)/S43</f>
        <v>#DIV/0!</v>
      </c>
      <c r="S49" s="3688"/>
      <c r="T49" s="3096"/>
      <c r="U49" s="3702"/>
      <c r="V49" s="3702"/>
      <c r="W49" s="3688"/>
      <c r="X49" s="2944"/>
      <c r="Y49" s="2944"/>
      <c r="Z49" s="3685"/>
      <c r="AA49" s="2711"/>
      <c r="AB49" s="2799"/>
      <c r="AC49" s="2799"/>
      <c r="AD49" s="2799"/>
      <c r="AE49" s="2799"/>
      <c r="AF49" s="2799"/>
      <c r="AG49" s="2799"/>
      <c r="AH49" s="2799"/>
      <c r="AI49" s="2799"/>
      <c r="AJ49" s="2799"/>
      <c r="AK49" s="2799"/>
      <c r="AL49" s="2799"/>
      <c r="AM49" s="2799"/>
      <c r="AN49" s="2799"/>
      <c r="AO49" s="2799"/>
      <c r="AP49" s="2799"/>
      <c r="AQ49" s="2799"/>
      <c r="AR49" s="2799"/>
      <c r="AS49" s="2799"/>
      <c r="AT49" s="2799"/>
      <c r="AU49" s="2799"/>
      <c r="AV49" s="2799"/>
      <c r="AW49" s="2799"/>
      <c r="AX49" s="2799"/>
      <c r="AY49" s="2799"/>
      <c r="AZ49" s="2799"/>
      <c r="BA49" s="2799"/>
      <c r="BB49" s="2799"/>
      <c r="BC49" s="2799"/>
      <c r="BD49" s="2799"/>
      <c r="BE49" s="2799"/>
      <c r="BF49" s="2799"/>
      <c r="BG49" s="2799"/>
      <c r="BH49" s="2799"/>
      <c r="BI49" s="3708"/>
      <c r="BJ49" s="3708"/>
      <c r="BK49" s="3710"/>
      <c r="BL49" s="2709"/>
      <c r="BM49" s="2709"/>
      <c r="BN49" s="3690"/>
      <c r="BO49" s="3705"/>
      <c r="BP49" s="3690"/>
      <c r="BQ49" s="3690"/>
      <c r="BR49" s="3692"/>
    </row>
    <row r="50" spans="1:70" s="2" customFormat="1" ht="39.75" customHeight="1" x14ac:dyDescent="0.2">
      <c r="A50" s="3667"/>
      <c r="B50" s="3668"/>
      <c r="C50" s="3271"/>
      <c r="D50" s="3670"/>
      <c r="E50" s="3670"/>
      <c r="F50" s="3276"/>
      <c r="G50" s="3275"/>
      <c r="H50" s="3670"/>
      <c r="I50" s="3276"/>
      <c r="J50" s="2706"/>
      <c r="K50" s="3096"/>
      <c r="L50" s="3096"/>
      <c r="M50" s="2711"/>
      <c r="N50" s="2797"/>
      <c r="O50" s="3141"/>
      <c r="P50" s="2711"/>
      <c r="Q50" s="3096"/>
      <c r="R50" s="3716"/>
      <c r="S50" s="3688"/>
      <c r="T50" s="3096"/>
      <c r="U50" s="3702"/>
      <c r="V50" s="3702"/>
      <c r="W50" s="3688"/>
      <c r="X50" s="2944"/>
      <c r="Y50" s="2944"/>
      <c r="Z50" s="3685"/>
      <c r="AA50" s="2711"/>
      <c r="AB50" s="2799"/>
      <c r="AC50" s="2799"/>
      <c r="AD50" s="2799"/>
      <c r="AE50" s="2799"/>
      <c r="AF50" s="2799"/>
      <c r="AG50" s="2799"/>
      <c r="AH50" s="2799"/>
      <c r="AI50" s="2799"/>
      <c r="AJ50" s="2799"/>
      <c r="AK50" s="2799"/>
      <c r="AL50" s="2799"/>
      <c r="AM50" s="2799"/>
      <c r="AN50" s="2799"/>
      <c r="AO50" s="2799"/>
      <c r="AP50" s="2799"/>
      <c r="AQ50" s="2799"/>
      <c r="AR50" s="2799"/>
      <c r="AS50" s="2799"/>
      <c r="AT50" s="2799"/>
      <c r="AU50" s="2799"/>
      <c r="AV50" s="2799"/>
      <c r="AW50" s="2799"/>
      <c r="AX50" s="2799"/>
      <c r="AY50" s="2799"/>
      <c r="AZ50" s="2799"/>
      <c r="BA50" s="2799"/>
      <c r="BB50" s="2799"/>
      <c r="BC50" s="2799"/>
      <c r="BD50" s="2799"/>
      <c r="BE50" s="2799"/>
      <c r="BF50" s="2799"/>
      <c r="BG50" s="2799"/>
      <c r="BH50" s="2799"/>
      <c r="BI50" s="3708"/>
      <c r="BJ50" s="3708"/>
      <c r="BK50" s="3710"/>
      <c r="BL50" s="2709"/>
      <c r="BM50" s="2709"/>
      <c r="BN50" s="3690"/>
      <c r="BO50" s="3705"/>
      <c r="BP50" s="3690"/>
      <c r="BQ50" s="3690"/>
      <c r="BR50" s="3692"/>
    </row>
    <row r="51" spans="1:70" s="2" customFormat="1" ht="54.75" customHeight="1" x14ac:dyDescent="0.2">
      <c r="A51" s="3667"/>
      <c r="B51" s="3668"/>
      <c r="C51" s="3271"/>
      <c r="D51" s="3670"/>
      <c r="E51" s="3670"/>
      <c r="F51" s="3276"/>
      <c r="G51" s="3275"/>
      <c r="H51" s="3670"/>
      <c r="I51" s="3276"/>
      <c r="J51" s="2706">
        <v>46</v>
      </c>
      <c r="K51" s="3096" t="s">
        <v>2171</v>
      </c>
      <c r="L51" s="3096" t="s">
        <v>2172</v>
      </c>
      <c r="M51" s="2711">
        <v>1</v>
      </c>
      <c r="N51" s="2797">
        <v>1</v>
      </c>
      <c r="O51" s="3141"/>
      <c r="P51" s="2711"/>
      <c r="Q51" s="3096"/>
      <c r="R51" s="3082">
        <f>SUM(W51:W54)/S33</f>
        <v>0.2486737400530504</v>
      </c>
      <c r="S51" s="3688"/>
      <c r="T51" s="3096"/>
      <c r="U51" s="3702"/>
      <c r="V51" s="3096" t="s">
        <v>2173</v>
      </c>
      <c r="W51" s="2147">
        <v>99400000</v>
      </c>
      <c r="X51" s="2150">
        <v>99400000</v>
      </c>
      <c r="Y51" s="2150">
        <v>99400000</v>
      </c>
      <c r="Z51" s="2149">
        <v>20</v>
      </c>
      <c r="AA51" s="76" t="s">
        <v>2127</v>
      </c>
      <c r="AB51" s="2799"/>
      <c r="AC51" s="2799"/>
      <c r="AD51" s="2799"/>
      <c r="AE51" s="2799"/>
      <c r="AF51" s="2799"/>
      <c r="AG51" s="2799"/>
      <c r="AH51" s="2799"/>
      <c r="AI51" s="2799"/>
      <c r="AJ51" s="2799"/>
      <c r="AK51" s="2799"/>
      <c r="AL51" s="2799"/>
      <c r="AM51" s="2799"/>
      <c r="AN51" s="2799"/>
      <c r="AO51" s="2799"/>
      <c r="AP51" s="2799"/>
      <c r="AQ51" s="2799"/>
      <c r="AR51" s="2799"/>
      <c r="AS51" s="2799"/>
      <c r="AT51" s="2799"/>
      <c r="AU51" s="2799"/>
      <c r="AV51" s="2799"/>
      <c r="AW51" s="2799"/>
      <c r="AX51" s="2799"/>
      <c r="AY51" s="2799"/>
      <c r="AZ51" s="2799"/>
      <c r="BA51" s="2799"/>
      <c r="BB51" s="2799"/>
      <c r="BC51" s="2799"/>
      <c r="BD51" s="2799"/>
      <c r="BE51" s="2799"/>
      <c r="BF51" s="2799"/>
      <c r="BG51" s="2799"/>
      <c r="BH51" s="2799"/>
      <c r="BI51" s="3708"/>
      <c r="BJ51" s="3708"/>
      <c r="BK51" s="3710"/>
      <c r="BL51" s="2709"/>
      <c r="BM51" s="2709"/>
      <c r="BN51" s="3690"/>
      <c r="BO51" s="3705"/>
      <c r="BP51" s="3690"/>
      <c r="BQ51" s="3690"/>
      <c r="BR51" s="3692"/>
    </row>
    <row r="52" spans="1:70" s="2" customFormat="1" ht="38.25" customHeight="1" x14ac:dyDescent="0.2">
      <c r="A52" s="3667"/>
      <c r="B52" s="3668"/>
      <c r="C52" s="3271"/>
      <c r="D52" s="3670"/>
      <c r="E52" s="3670"/>
      <c r="F52" s="3276"/>
      <c r="G52" s="3275"/>
      <c r="H52" s="3670"/>
      <c r="I52" s="3276"/>
      <c r="J52" s="2706"/>
      <c r="K52" s="3096"/>
      <c r="L52" s="3096"/>
      <c r="M52" s="2711"/>
      <c r="N52" s="2797"/>
      <c r="O52" s="3141"/>
      <c r="P52" s="2711"/>
      <c r="Q52" s="3096"/>
      <c r="R52" s="3143"/>
      <c r="S52" s="3688"/>
      <c r="T52" s="3096"/>
      <c r="U52" s="3702"/>
      <c r="V52" s="3096"/>
      <c r="W52" s="3688">
        <f>0+50600000</f>
        <v>50600000</v>
      </c>
      <c r="X52" s="2944">
        <v>50600000</v>
      </c>
      <c r="Y52" s="2944">
        <v>50600000</v>
      </c>
      <c r="Z52" s="3685">
        <v>88</v>
      </c>
      <c r="AA52" s="2711" t="s">
        <v>2131</v>
      </c>
      <c r="AB52" s="2799"/>
      <c r="AC52" s="2799"/>
      <c r="AD52" s="2799"/>
      <c r="AE52" s="2799"/>
      <c r="AF52" s="2799"/>
      <c r="AG52" s="2799"/>
      <c r="AH52" s="2799"/>
      <c r="AI52" s="2799"/>
      <c r="AJ52" s="2799"/>
      <c r="AK52" s="2799"/>
      <c r="AL52" s="2799"/>
      <c r="AM52" s="2799"/>
      <c r="AN52" s="2799"/>
      <c r="AO52" s="2799"/>
      <c r="AP52" s="2799"/>
      <c r="AQ52" s="2799"/>
      <c r="AR52" s="2799"/>
      <c r="AS52" s="2799"/>
      <c r="AT52" s="2799"/>
      <c r="AU52" s="2799"/>
      <c r="AV52" s="2799"/>
      <c r="AW52" s="2799"/>
      <c r="AX52" s="2799"/>
      <c r="AY52" s="2799"/>
      <c r="AZ52" s="2799"/>
      <c r="BA52" s="2799"/>
      <c r="BB52" s="2799"/>
      <c r="BC52" s="2799"/>
      <c r="BD52" s="2799"/>
      <c r="BE52" s="2799"/>
      <c r="BF52" s="2799"/>
      <c r="BG52" s="2799"/>
      <c r="BH52" s="2799"/>
      <c r="BI52" s="3708"/>
      <c r="BJ52" s="3708"/>
      <c r="BK52" s="3710"/>
      <c r="BL52" s="2709"/>
      <c r="BM52" s="2709"/>
      <c r="BN52" s="3690"/>
      <c r="BO52" s="3705"/>
      <c r="BP52" s="3690"/>
      <c r="BQ52" s="3690"/>
      <c r="BR52" s="3692"/>
    </row>
    <row r="53" spans="1:70" s="2" customFormat="1" ht="27" customHeight="1" x14ac:dyDescent="0.2">
      <c r="A53" s="3667"/>
      <c r="B53" s="3668"/>
      <c r="C53" s="3271"/>
      <c r="D53" s="3670"/>
      <c r="E53" s="3670"/>
      <c r="F53" s="3276"/>
      <c r="G53" s="3275"/>
      <c r="H53" s="3670"/>
      <c r="I53" s="3276"/>
      <c r="J53" s="2706"/>
      <c r="K53" s="3096"/>
      <c r="L53" s="3096"/>
      <c r="M53" s="2711"/>
      <c r="N53" s="2797"/>
      <c r="O53" s="3141"/>
      <c r="P53" s="2711"/>
      <c r="Q53" s="3096"/>
      <c r="R53" s="3143" t="e">
        <f>SUM(W53:W54)/S47</f>
        <v>#DIV/0!</v>
      </c>
      <c r="S53" s="3688"/>
      <c r="T53" s="3096"/>
      <c r="U53" s="3702"/>
      <c r="V53" s="3096"/>
      <c r="W53" s="3688"/>
      <c r="X53" s="2944"/>
      <c r="Y53" s="2944"/>
      <c r="Z53" s="3685"/>
      <c r="AA53" s="2711"/>
      <c r="AB53" s="2799"/>
      <c r="AC53" s="2799"/>
      <c r="AD53" s="2799"/>
      <c r="AE53" s="2799"/>
      <c r="AF53" s="2799"/>
      <c r="AG53" s="2799"/>
      <c r="AH53" s="2799"/>
      <c r="AI53" s="2799"/>
      <c r="AJ53" s="2799"/>
      <c r="AK53" s="2799"/>
      <c r="AL53" s="2799"/>
      <c r="AM53" s="2799"/>
      <c r="AN53" s="2799"/>
      <c r="AO53" s="2799"/>
      <c r="AP53" s="2799"/>
      <c r="AQ53" s="2799"/>
      <c r="AR53" s="2799"/>
      <c r="AS53" s="2799"/>
      <c r="AT53" s="2799"/>
      <c r="AU53" s="2799"/>
      <c r="AV53" s="2799"/>
      <c r="AW53" s="2799"/>
      <c r="AX53" s="2799"/>
      <c r="AY53" s="2799"/>
      <c r="AZ53" s="2799"/>
      <c r="BA53" s="2799"/>
      <c r="BB53" s="2799"/>
      <c r="BC53" s="2799"/>
      <c r="BD53" s="2799"/>
      <c r="BE53" s="2799"/>
      <c r="BF53" s="2799"/>
      <c r="BG53" s="2799"/>
      <c r="BH53" s="2799"/>
      <c r="BI53" s="3708"/>
      <c r="BJ53" s="3708"/>
      <c r="BK53" s="3710"/>
      <c r="BL53" s="2709"/>
      <c r="BM53" s="2709"/>
      <c r="BN53" s="3690"/>
      <c r="BO53" s="3705"/>
      <c r="BP53" s="3690"/>
      <c r="BQ53" s="3690"/>
      <c r="BR53" s="3692"/>
    </row>
    <row r="54" spans="1:70" s="2" customFormat="1" ht="45.75" customHeight="1" x14ac:dyDescent="0.2">
      <c r="A54" s="3667"/>
      <c r="B54" s="3668"/>
      <c r="C54" s="3271"/>
      <c r="D54" s="3670"/>
      <c r="E54" s="3670"/>
      <c r="F54" s="3276"/>
      <c r="G54" s="3277"/>
      <c r="H54" s="3712"/>
      <c r="I54" s="3278"/>
      <c r="J54" s="2706"/>
      <c r="K54" s="3096"/>
      <c r="L54" s="3096"/>
      <c r="M54" s="2711"/>
      <c r="N54" s="2797"/>
      <c r="O54" s="3081"/>
      <c r="P54" s="2711"/>
      <c r="Q54" s="3096"/>
      <c r="R54" s="3083"/>
      <c r="S54" s="3688"/>
      <c r="T54" s="3096"/>
      <c r="U54" s="3702"/>
      <c r="V54" s="3096"/>
      <c r="W54" s="3688"/>
      <c r="X54" s="2944"/>
      <c r="Y54" s="2944"/>
      <c r="Z54" s="3685"/>
      <c r="AA54" s="2711"/>
      <c r="AB54" s="2800"/>
      <c r="AC54" s="2800"/>
      <c r="AD54" s="2800"/>
      <c r="AE54" s="2800"/>
      <c r="AF54" s="2800"/>
      <c r="AG54" s="2800"/>
      <c r="AH54" s="2800"/>
      <c r="AI54" s="2800"/>
      <c r="AJ54" s="2800"/>
      <c r="AK54" s="2800"/>
      <c r="AL54" s="2800"/>
      <c r="AM54" s="2800"/>
      <c r="AN54" s="2800"/>
      <c r="AO54" s="2800"/>
      <c r="AP54" s="2800"/>
      <c r="AQ54" s="2800"/>
      <c r="AR54" s="2800"/>
      <c r="AS54" s="2800"/>
      <c r="AT54" s="2800"/>
      <c r="AU54" s="2800"/>
      <c r="AV54" s="2800"/>
      <c r="AW54" s="2800"/>
      <c r="AX54" s="2800"/>
      <c r="AY54" s="2800"/>
      <c r="AZ54" s="2800"/>
      <c r="BA54" s="2800"/>
      <c r="BB54" s="2800"/>
      <c r="BC54" s="2800"/>
      <c r="BD54" s="2800"/>
      <c r="BE54" s="2800"/>
      <c r="BF54" s="2800"/>
      <c r="BG54" s="2800"/>
      <c r="BH54" s="2800"/>
      <c r="BI54" s="2943"/>
      <c r="BJ54" s="2943"/>
      <c r="BK54" s="3711"/>
      <c r="BL54" s="2710"/>
      <c r="BM54" s="2710"/>
      <c r="BN54" s="3691"/>
      <c r="BO54" s="3706"/>
      <c r="BP54" s="3691"/>
      <c r="BQ54" s="3691"/>
      <c r="BR54" s="3692"/>
    </row>
    <row r="55" spans="1:70" ht="27" customHeight="1" x14ac:dyDescent="0.2">
      <c r="A55" s="3667"/>
      <c r="B55" s="3668"/>
      <c r="C55" s="3271"/>
      <c r="D55" s="3670"/>
      <c r="E55" s="3670"/>
      <c r="F55" s="3276"/>
      <c r="G55" s="2151">
        <v>10</v>
      </c>
      <c r="H55" s="2152" t="s">
        <v>2174</v>
      </c>
      <c r="I55" s="692"/>
      <c r="J55" s="692"/>
      <c r="K55" s="692"/>
      <c r="L55" s="692"/>
      <c r="M55" s="692"/>
      <c r="N55" s="692"/>
      <c r="O55" s="692"/>
      <c r="P55" s="692"/>
      <c r="Q55" s="693"/>
      <c r="R55" s="2155"/>
      <c r="S55" s="692"/>
      <c r="T55" s="692"/>
      <c r="U55" s="692"/>
      <c r="V55" s="692"/>
      <c r="W55" s="692"/>
      <c r="X55" s="692"/>
      <c r="Y55" s="692"/>
      <c r="Z55" s="692"/>
      <c r="AA55" s="694"/>
      <c r="AB55" s="694"/>
      <c r="AC55" s="694"/>
      <c r="AD55" s="694"/>
      <c r="AE55" s="694"/>
      <c r="AF55" s="694"/>
      <c r="AG55" s="694"/>
      <c r="AH55" s="694"/>
      <c r="AI55" s="694"/>
      <c r="AJ55" s="694"/>
      <c r="AK55" s="694"/>
      <c r="AL55" s="694"/>
      <c r="AM55" s="694"/>
      <c r="AN55" s="694"/>
      <c r="AO55" s="694"/>
      <c r="AP55" s="694"/>
      <c r="AQ55" s="694"/>
      <c r="AR55" s="694"/>
      <c r="AS55" s="694"/>
      <c r="AT55" s="694"/>
      <c r="AU55" s="694"/>
      <c r="AV55" s="694"/>
      <c r="AW55" s="694"/>
      <c r="AX55" s="694"/>
      <c r="AY55" s="694"/>
      <c r="AZ55" s="694"/>
      <c r="BA55" s="694"/>
      <c r="BB55" s="694"/>
      <c r="BC55" s="694"/>
      <c r="BD55" s="694"/>
      <c r="BE55" s="694"/>
      <c r="BF55" s="694"/>
      <c r="BG55" s="694"/>
      <c r="BH55" s="692"/>
      <c r="BI55" s="692"/>
      <c r="BJ55" s="692"/>
      <c r="BK55" s="692"/>
      <c r="BL55" s="692"/>
      <c r="BM55" s="692"/>
      <c r="BN55" s="692"/>
      <c r="BO55" s="692"/>
      <c r="BP55" s="692"/>
      <c r="BQ55" s="692"/>
      <c r="BR55" s="2153"/>
    </row>
    <row r="56" spans="1:70" s="2" customFormat="1" ht="60" customHeight="1" x14ac:dyDescent="0.2">
      <c r="A56" s="3667"/>
      <c r="B56" s="3668"/>
      <c r="C56" s="3271"/>
      <c r="D56" s="3670"/>
      <c r="E56" s="3670"/>
      <c r="F56" s="3276"/>
      <c r="G56" s="3720"/>
      <c r="H56" s="3721"/>
      <c r="I56" s="3722"/>
      <c r="J56" s="2706">
        <v>47</v>
      </c>
      <c r="K56" s="3096" t="s">
        <v>2175</v>
      </c>
      <c r="L56" s="3096" t="s">
        <v>2176</v>
      </c>
      <c r="M56" s="2711">
        <v>48</v>
      </c>
      <c r="N56" s="2797">
        <v>45</v>
      </c>
      <c r="O56" s="3080" t="s">
        <v>2177</v>
      </c>
      <c r="P56" s="2711" t="s">
        <v>2178</v>
      </c>
      <c r="Q56" s="3096" t="s">
        <v>2179</v>
      </c>
      <c r="R56" s="3687">
        <f>(W56+W57)/S56</f>
        <v>0.43158041567861627</v>
      </c>
      <c r="S56" s="3688">
        <f>SUM(W56:W64)</f>
        <v>358450000</v>
      </c>
      <c r="T56" s="3096" t="s">
        <v>2180</v>
      </c>
      <c r="U56" s="3702" t="s">
        <v>2181</v>
      </c>
      <c r="V56" s="3096" t="s">
        <v>2182</v>
      </c>
      <c r="W56" s="2147">
        <v>54700000</v>
      </c>
      <c r="X56" s="2150">
        <v>40600000</v>
      </c>
      <c r="Y56" s="2150"/>
      <c r="Z56" s="2149">
        <v>20</v>
      </c>
      <c r="AA56" s="76" t="s">
        <v>2127</v>
      </c>
      <c r="AB56" s="2798">
        <v>294321</v>
      </c>
      <c r="AC56" s="2798">
        <v>46</v>
      </c>
      <c r="AD56" s="2798">
        <v>283947</v>
      </c>
      <c r="AE56" s="2798">
        <v>34</v>
      </c>
      <c r="AF56" s="2798">
        <v>135754</v>
      </c>
      <c r="AG56" s="2798"/>
      <c r="AH56" s="2798">
        <v>44640</v>
      </c>
      <c r="AI56" s="2798"/>
      <c r="AJ56" s="2798">
        <v>308178</v>
      </c>
      <c r="AK56" s="2798">
        <v>80</v>
      </c>
      <c r="AL56" s="2798">
        <v>89696</v>
      </c>
      <c r="AM56" s="2798"/>
      <c r="AN56" s="2798"/>
      <c r="AO56" s="2798"/>
      <c r="AP56" s="2798"/>
      <c r="AQ56" s="2798"/>
      <c r="AR56" s="2798"/>
      <c r="AS56" s="2798"/>
      <c r="AT56" s="2798"/>
      <c r="AU56" s="2798"/>
      <c r="AV56" s="2798"/>
      <c r="AW56" s="2798"/>
      <c r="AX56" s="2798"/>
      <c r="AY56" s="2798"/>
      <c r="AZ56" s="2798"/>
      <c r="BA56" s="2798"/>
      <c r="BB56" s="2798"/>
      <c r="BC56" s="2798"/>
      <c r="BD56" s="2798"/>
      <c r="BE56" s="2798"/>
      <c r="BF56" s="2798">
        <f>+AB56+AD56</f>
        <v>578268</v>
      </c>
      <c r="BG56" s="2798">
        <f>AC56+AE56</f>
        <v>80</v>
      </c>
      <c r="BH56" s="2798">
        <v>1</v>
      </c>
      <c r="BI56" s="3707">
        <f>SUM(X56:X64)</f>
        <v>344350000</v>
      </c>
      <c r="BJ56" s="3707">
        <f>SUM(Y56:Y64)</f>
        <v>200000000</v>
      </c>
      <c r="BK56" s="3709">
        <f>+BJ56/BI56</f>
        <v>0.58080441411354722</v>
      </c>
      <c r="BL56" s="2708" t="s">
        <v>2144</v>
      </c>
      <c r="BM56" s="2708" t="s">
        <v>2129</v>
      </c>
      <c r="BN56" s="3689">
        <v>43467</v>
      </c>
      <c r="BO56" s="3704">
        <v>43496</v>
      </c>
      <c r="BP56" s="3689">
        <v>43830</v>
      </c>
      <c r="BQ56" s="3689" t="s">
        <v>2183</v>
      </c>
      <c r="BR56" s="3692" t="s">
        <v>2130</v>
      </c>
    </row>
    <row r="57" spans="1:70" s="2" customFormat="1" ht="37.5" customHeight="1" x14ac:dyDescent="0.2">
      <c r="A57" s="3667"/>
      <c r="B57" s="3668"/>
      <c r="C57" s="3271"/>
      <c r="D57" s="3670"/>
      <c r="E57" s="3670"/>
      <c r="F57" s="3276"/>
      <c r="G57" s="3723"/>
      <c r="H57" s="3724"/>
      <c r="I57" s="3725"/>
      <c r="J57" s="2706"/>
      <c r="K57" s="3096"/>
      <c r="L57" s="3096"/>
      <c r="M57" s="2711"/>
      <c r="N57" s="2797"/>
      <c r="O57" s="3141"/>
      <c r="P57" s="2711"/>
      <c r="Q57" s="3096"/>
      <c r="R57" s="3687"/>
      <c r="S57" s="3688"/>
      <c r="T57" s="3096"/>
      <c r="U57" s="3702"/>
      <c r="V57" s="3096"/>
      <c r="W57" s="3688">
        <f>0+100000000</f>
        <v>100000000</v>
      </c>
      <c r="X57" s="2944">
        <v>100000000</v>
      </c>
      <c r="Y57" s="2944"/>
      <c r="Z57" s="3685">
        <v>88</v>
      </c>
      <c r="AA57" s="2711" t="s">
        <v>2131</v>
      </c>
      <c r="AB57" s="2799"/>
      <c r="AC57" s="2799"/>
      <c r="AD57" s="2799"/>
      <c r="AE57" s="2799"/>
      <c r="AF57" s="2799"/>
      <c r="AG57" s="2799"/>
      <c r="AH57" s="2799"/>
      <c r="AI57" s="2799"/>
      <c r="AJ57" s="2799"/>
      <c r="AK57" s="2799"/>
      <c r="AL57" s="2799"/>
      <c r="AM57" s="2799"/>
      <c r="AN57" s="2799"/>
      <c r="AO57" s="2799"/>
      <c r="AP57" s="2799"/>
      <c r="AQ57" s="2799"/>
      <c r="AR57" s="2799"/>
      <c r="AS57" s="2799"/>
      <c r="AT57" s="2799"/>
      <c r="AU57" s="2799"/>
      <c r="AV57" s="2799"/>
      <c r="AW57" s="2799"/>
      <c r="AX57" s="2799"/>
      <c r="AY57" s="2799"/>
      <c r="AZ57" s="2799"/>
      <c r="BA57" s="2799"/>
      <c r="BB57" s="2799"/>
      <c r="BC57" s="2799"/>
      <c r="BD57" s="2799"/>
      <c r="BE57" s="2799"/>
      <c r="BF57" s="2799"/>
      <c r="BG57" s="2799"/>
      <c r="BH57" s="2799"/>
      <c r="BI57" s="3708"/>
      <c r="BJ57" s="3708"/>
      <c r="BK57" s="3710"/>
      <c r="BL57" s="2709"/>
      <c r="BM57" s="2709"/>
      <c r="BN57" s="3690"/>
      <c r="BO57" s="3705"/>
      <c r="BP57" s="3690"/>
      <c r="BQ57" s="3690"/>
      <c r="BR57" s="3692"/>
    </row>
    <row r="58" spans="1:70" s="2" customFormat="1" ht="37.5" customHeight="1" x14ac:dyDescent="0.2">
      <c r="A58" s="3667"/>
      <c r="B58" s="3668"/>
      <c r="C58" s="3271"/>
      <c r="D58" s="3670"/>
      <c r="E58" s="3670"/>
      <c r="F58" s="3276"/>
      <c r="G58" s="3723"/>
      <c r="H58" s="3724"/>
      <c r="I58" s="3725"/>
      <c r="J58" s="2706"/>
      <c r="K58" s="3096"/>
      <c r="L58" s="3096"/>
      <c r="M58" s="2711"/>
      <c r="N58" s="2797"/>
      <c r="O58" s="3141"/>
      <c r="P58" s="2711"/>
      <c r="Q58" s="3096"/>
      <c r="R58" s="3687"/>
      <c r="S58" s="3688"/>
      <c r="T58" s="3096"/>
      <c r="U58" s="3702"/>
      <c r="V58" s="3096"/>
      <c r="W58" s="3688"/>
      <c r="X58" s="2944"/>
      <c r="Y58" s="2944"/>
      <c r="Z58" s="3685"/>
      <c r="AA58" s="2711"/>
      <c r="AB58" s="2799"/>
      <c r="AC58" s="2799"/>
      <c r="AD58" s="2799"/>
      <c r="AE58" s="2799"/>
      <c r="AF58" s="2799"/>
      <c r="AG58" s="2799"/>
      <c r="AH58" s="2799"/>
      <c r="AI58" s="2799"/>
      <c r="AJ58" s="2799"/>
      <c r="AK58" s="2799"/>
      <c r="AL58" s="2799"/>
      <c r="AM58" s="2799"/>
      <c r="AN58" s="2799"/>
      <c r="AO58" s="2799"/>
      <c r="AP58" s="2799"/>
      <c r="AQ58" s="2799"/>
      <c r="AR58" s="2799"/>
      <c r="AS58" s="2799"/>
      <c r="AT58" s="2799"/>
      <c r="AU58" s="2799"/>
      <c r="AV58" s="2799"/>
      <c r="AW58" s="2799"/>
      <c r="AX58" s="2799"/>
      <c r="AY58" s="2799"/>
      <c r="AZ58" s="2799"/>
      <c r="BA58" s="2799"/>
      <c r="BB58" s="2799"/>
      <c r="BC58" s="2799"/>
      <c r="BD58" s="2799"/>
      <c r="BE58" s="2799"/>
      <c r="BF58" s="2799"/>
      <c r="BG58" s="2799"/>
      <c r="BH58" s="2799"/>
      <c r="BI58" s="3708"/>
      <c r="BJ58" s="3708"/>
      <c r="BK58" s="3710"/>
      <c r="BL58" s="2709"/>
      <c r="BM58" s="2709"/>
      <c r="BN58" s="3690"/>
      <c r="BO58" s="3705"/>
      <c r="BP58" s="3690"/>
      <c r="BQ58" s="3690"/>
      <c r="BR58" s="3692"/>
    </row>
    <row r="59" spans="1:70" s="2" customFormat="1" ht="27" customHeight="1" x14ac:dyDescent="0.2">
      <c r="A59" s="3667"/>
      <c r="B59" s="3668"/>
      <c r="C59" s="3271"/>
      <c r="D59" s="3670"/>
      <c r="E59" s="3670"/>
      <c r="F59" s="3276"/>
      <c r="G59" s="3723"/>
      <c r="H59" s="3724"/>
      <c r="I59" s="3725"/>
      <c r="J59" s="2706">
        <v>48</v>
      </c>
      <c r="K59" s="3096" t="s">
        <v>2184</v>
      </c>
      <c r="L59" s="3096" t="s">
        <v>2185</v>
      </c>
      <c r="M59" s="2711">
        <v>1</v>
      </c>
      <c r="N59" s="2797">
        <v>1</v>
      </c>
      <c r="O59" s="3141"/>
      <c r="P59" s="2711"/>
      <c r="Q59" s="3096"/>
      <c r="R59" s="3687">
        <f>(W59)/S56</f>
        <v>0.55795787418049936</v>
      </c>
      <c r="S59" s="3688"/>
      <c r="T59" s="3096"/>
      <c r="U59" s="3702" t="s">
        <v>2186</v>
      </c>
      <c r="V59" s="3096" t="s">
        <v>2187</v>
      </c>
      <c r="W59" s="3688">
        <f>198750000+1250000</f>
        <v>200000000</v>
      </c>
      <c r="X59" s="2944">
        <v>200000000</v>
      </c>
      <c r="Y59" s="2944">
        <v>200000000</v>
      </c>
      <c r="Z59" s="3685">
        <v>20</v>
      </c>
      <c r="AA59" s="2711" t="s">
        <v>2127</v>
      </c>
      <c r="AB59" s="2799"/>
      <c r="AC59" s="2799"/>
      <c r="AD59" s="2799"/>
      <c r="AE59" s="2799"/>
      <c r="AF59" s="2799"/>
      <c r="AG59" s="2799"/>
      <c r="AH59" s="2799"/>
      <c r="AI59" s="2799"/>
      <c r="AJ59" s="2799"/>
      <c r="AK59" s="2799"/>
      <c r="AL59" s="2799"/>
      <c r="AM59" s="2799"/>
      <c r="AN59" s="2799"/>
      <c r="AO59" s="2799"/>
      <c r="AP59" s="2799"/>
      <c r="AQ59" s="2799"/>
      <c r="AR59" s="2799"/>
      <c r="AS59" s="2799"/>
      <c r="AT59" s="2799"/>
      <c r="AU59" s="2799"/>
      <c r="AV59" s="2799"/>
      <c r="AW59" s="2799"/>
      <c r="AX59" s="2799"/>
      <c r="AY59" s="2799"/>
      <c r="AZ59" s="2799"/>
      <c r="BA59" s="2799"/>
      <c r="BB59" s="2799"/>
      <c r="BC59" s="2799"/>
      <c r="BD59" s="2799"/>
      <c r="BE59" s="2799"/>
      <c r="BF59" s="2799"/>
      <c r="BG59" s="2799"/>
      <c r="BH59" s="2799"/>
      <c r="BI59" s="3708"/>
      <c r="BJ59" s="3708"/>
      <c r="BK59" s="3710"/>
      <c r="BL59" s="2709"/>
      <c r="BM59" s="2709"/>
      <c r="BN59" s="3690"/>
      <c r="BO59" s="3705"/>
      <c r="BP59" s="3690"/>
      <c r="BQ59" s="3690"/>
      <c r="BR59" s="3692"/>
    </row>
    <row r="60" spans="1:70" s="2" customFormat="1" ht="27" customHeight="1" x14ac:dyDescent="0.2">
      <c r="A60" s="3667"/>
      <c r="B60" s="3668"/>
      <c r="C60" s="3271"/>
      <c r="D60" s="3670"/>
      <c r="E60" s="3670"/>
      <c r="F60" s="3276"/>
      <c r="G60" s="3723"/>
      <c r="H60" s="3724"/>
      <c r="I60" s="3725"/>
      <c r="J60" s="2706"/>
      <c r="K60" s="3096"/>
      <c r="L60" s="3096"/>
      <c r="M60" s="2711"/>
      <c r="N60" s="2797"/>
      <c r="O60" s="3141"/>
      <c r="P60" s="2711"/>
      <c r="Q60" s="3096"/>
      <c r="R60" s="3687"/>
      <c r="S60" s="3688"/>
      <c r="T60" s="3096"/>
      <c r="U60" s="3702"/>
      <c r="V60" s="3096"/>
      <c r="W60" s="3688"/>
      <c r="X60" s="2944"/>
      <c r="Y60" s="2944"/>
      <c r="Z60" s="3685"/>
      <c r="AA60" s="2711"/>
      <c r="AB60" s="2799"/>
      <c r="AC60" s="2799"/>
      <c r="AD60" s="2799"/>
      <c r="AE60" s="2799"/>
      <c r="AF60" s="2799"/>
      <c r="AG60" s="2799"/>
      <c r="AH60" s="2799"/>
      <c r="AI60" s="2799"/>
      <c r="AJ60" s="2799"/>
      <c r="AK60" s="2799"/>
      <c r="AL60" s="2799"/>
      <c r="AM60" s="2799"/>
      <c r="AN60" s="2799"/>
      <c r="AO60" s="2799"/>
      <c r="AP60" s="2799"/>
      <c r="AQ60" s="2799"/>
      <c r="AR60" s="2799"/>
      <c r="AS60" s="2799"/>
      <c r="AT60" s="2799"/>
      <c r="AU60" s="2799"/>
      <c r="AV60" s="2799"/>
      <c r="AW60" s="2799"/>
      <c r="AX60" s="2799"/>
      <c r="AY60" s="2799"/>
      <c r="AZ60" s="2799"/>
      <c r="BA60" s="2799"/>
      <c r="BB60" s="2799"/>
      <c r="BC60" s="2799"/>
      <c r="BD60" s="2799"/>
      <c r="BE60" s="2799"/>
      <c r="BF60" s="2799"/>
      <c r="BG60" s="2799"/>
      <c r="BH60" s="2799"/>
      <c r="BI60" s="3708"/>
      <c r="BJ60" s="3708"/>
      <c r="BK60" s="3710"/>
      <c r="BL60" s="2709"/>
      <c r="BM60" s="2709"/>
      <c r="BN60" s="3690"/>
      <c r="BO60" s="3705"/>
      <c r="BP60" s="3690"/>
      <c r="BQ60" s="3690"/>
      <c r="BR60" s="3692"/>
    </row>
    <row r="61" spans="1:70" s="2" customFormat="1" ht="27" customHeight="1" x14ac:dyDescent="0.2">
      <c r="A61" s="3667"/>
      <c r="B61" s="3668"/>
      <c r="C61" s="3271"/>
      <c r="D61" s="3670"/>
      <c r="E61" s="3670"/>
      <c r="F61" s="3276"/>
      <c r="G61" s="3723"/>
      <c r="H61" s="3724"/>
      <c r="I61" s="3725"/>
      <c r="J61" s="2706"/>
      <c r="K61" s="3096"/>
      <c r="L61" s="3096"/>
      <c r="M61" s="2711"/>
      <c r="N61" s="2797"/>
      <c r="O61" s="3141"/>
      <c r="P61" s="2711"/>
      <c r="Q61" s="3096"/>
      <c r="R61" s="3687"/>
      <c r="S61" s="3688"/>
      <c r="T61" s="3096"/>
      <c r="U61" s="3702"/>
      <c r="V61" s="3096"/>
      <c r="W61" s="3688"/>
      <c r="X61" s="2944"/>
      <c r="Y61" s="2944"/>
      <c r="Z61" s="3685"/>
      <c r="AA61" s="2711"/>
      <c r="AB61" s="2799"/>
      <c r="AC61" s="2799"/>
      <c r="AD61" s="2799"/>
      <c r="AE61" s="2799"/>
      <c r="AF61" s="2799"/>
      <c r="AG61" s="2799"/>
      <c r="AH61" s="2799"/>
      <c r="AI61" s="2799"/>
      <c r="AJ61" s="2799"/>
      <c r="AK61" s="2799"/>
      <c r="AL61" s="2799"/>
      <c r="AM61" s="2799"/>
      <c r="AN61" s="2799"/>
      <c r="AO61" s="2799"/>
      <c r="AP61" s="2799"/>
      <c r="AQ61" s="2799"/>
      <c r="AR61" s="2799"/>
      <c r="AS61" s="2799"/>
      <c r="AT61" s="2799"/>
      <c r="AU61" s="2799"/>
      <c r="AV61" s="2799"/>
      <c r="AW61" s="2799"/>
      <c r="AX61" s="2799"/>
      <c r="AY61" s="2799"/>
      <c r="AZ61" s="2799"/>
      <c r="BA61" s="2799"/>
      <c r="BB61" s="2799"/>
      <c r="BC61" s="2799"/>
      <c r="BD61" s="2799"/>
      <c r="BE61" s="2799"/>
      <c r="BF61" s="2799"/>
      <c r="BG61" s="2799"/>
      <c r="BH61" s="2799"/>
      <c r="BI61" s="3708"/>
      <c r="BJ61" s="3708"/>
      <c r="BK61" s="3710"/>
      <c r="BL61" s="2709"/>
      <c r="BM61" s="2709"/>
      <c r="BN61" s="3690"/>
      <c r="BO61" s="3705"/>
      <c r="BP61" s="3690"/>
      <c r="BQ61" s="3690"/>
      <c r="BR61" s="3692"/>
    </row>
    <row r="62" spans="1:70" s="2" customFormat="1" ht="41.25" customHeight="1" x14ac:dyDescent="0.2">
      <c r="A62" s="3667"/>
      <c r="B62" s="3668"/>
      <c r="C62" s="3271"/>
      <c r="D62" s="3670"/>
      <c r="E62" s="3670"/>
      <c r="F62" s="3276"/>
      <c r="G62" s="3723"/>
      <c r="H62" s="3724"/>
      <c r="I62" s="3725"/>
      <c r="J62" s="2706">
        <v>49</v>
      </c>
      <c r="K62" s="3096" t="s">
        <v>2188</v>
      </c>
      <c r="L62" s="3096" t="s">
        <v>2189</v>
      </c>
      <c r="M62" s="2711">
        <v>1</v>
      </c>
      <c r="N62" s="2797">
        <v>1</v>
      </c>
      <c r="O62" s="3141"/>
      <c r="P62" s="2711"/>
      <c r="Q62" s="3096"/>
      <c r="R62" s="3687">
        <f>(W62)/S56</f>
        <v>1.0461710140884364E-2</v>
      </c>
      <c r="S62" s="3688"/>
      <c r="T62" s="3096"/>
      <c r="U62" s="3702"/>
      <c r="V62" s="3096" t="s">
        <v>2190</v>
      </c>
      <c r="W62" s="3688">
        <f>5000000-1250000</f>
        <v>3750000</v>
      </c>
      <c r="X62" s="2944">
        <v>3750000</v>
      </c>
      <c r="Y62" s="2944"/>
      <c r="Z62" s="3685">
        <v>20</v>
      </c>
      <c r="AA62" s="2711" t="s">
        <v>2127</v>
      </c>
      <c r="AB62" s="2799"/>
      <c r="AC62" s="2799"/>
      <c r="AD62" s="2799"/>
      <c r="AE62" s="2799"/>
      <c r="AF62" s="2799"/>
      <c r="AG62" s="2799"/>
      <c r="AH62" s="2799"/>
      <c r="AI62" s="2799"/>
      <c r="AJ62" s="2799"/>
      <c r="AK62" s="2799"/>
      <c r="AL62" s="2799"/>
      <c r="AM62" s="2799"/>
      <c r="AN62" s="2799"/>
      <c r="AO62" s="2799"/>
      <c r="AP62" s="2799"/>
      <c r="AQ62" s="2799"/>
      <c r="AR62" s="2799"/>
      <c r="AS62" s="2799"/>
      <c r="AT62" s="2799"/>
      <c r="AU62" s="2799"/>
      <c r="AV62" s="2799"/>
      <c r="AW62" s="2799"/>
      <c r="AX62" s="2799"/>
      <c r="AY62" s="2799"/>
      <c r="AZ62" s="2799"/>
      <c r="BA62" s="2799"/>
      <c r="BB62" s="2799"/>
      <c r="BC62" s="2799"/>
      <c r="BD62" s="2799"/>
      <c r="BE62" s="2799"/>
      <c r="BF62" s="2799"/>
      <c r="BG62" s="2799"/>
      <c r="BH62" s="2799"/>
      <c r="BI62" s="3708"/>
      <c r="BJ62" s="3708"/>
      <c r="BK62" s="3710"/>
      <c r="BL62" s="2709"/>
      <c r="BM62" s="2709"/>
      <c r="BN62" s="3690"/>
      <c r="BO62" s="3705"/>
      <c r="BP62" s="3690"/>
      <c r="BQ62" s="3690"/>
      <c r="BR62" s="3692"/>
    </row>
    <row r="63" spans="1:70" s="2" customFormat="1" ht="41.25" customHeight="1" x14ac:dyDescent="0.2">
      <c r="A63" s="3667"/>
      <c r="B63" s="3668"/>
      <c r="C63" s="3271"/>
      <c r="D63" s="3670"/>
      <c r="E63" s="3670"/>
      <c r="F63" s="3276"/>
      <c r="G63" s="3723"/>
      <c r="H63" s="3724"/>
      <c r="I63" s="3725"/>
      <c r="J63" s="2706"/>
      <c r="K63" s="3096"/>
      <c r="L63" s="3096"/>
      <c r="M63" s="2711"/>
      <c r="N63" s="2797"/>
      <c r="O63" s="3141"/>
      <c r="P63" s="2711"/>
      <c r="Q63" s="3096"/>
      <c r="R63" s="3687"/>
      <c r="S63" s="3688"/>
      <c r="T63" s="3096"/>
      <c r="U63" s="3702"/>
      <c r="V63" s="3096"/>
      <c r="W63" s="3688"/>
      <c r="X63" s="2944"/>
      <c r="Y63" s="2944"/>
      <c r="Z63" s="3685"/>
      <c r="AA63" s="2711"/>
      <c r="AB63" s="2799"/>
      <c r="AC63" s="2799"/>
      <c r="AD63" s="2799"/>
      <c r="AE63" s="2799"/>
      <c r="AF63" s="2799"/>
      <c r="AG63" s="2799"/>
      <c r="AH63" s="2799"/>
      <c r="AI63" s="2799"/>
      <c r="AJ63" s="2799"/>
      <c r="AK63" s="2799"/>
      <c r="AL63" s="2799"/>
      <c r="AM63" s="2799"/>
      <c r="AN63" s="2799"/>
      <c r="AO63" s="2799"/>
      <c r="AP63" s="2799"/>
      <c r="AQ63" s="2799"/>
      <c r="AR63" s="2799"/>
      <c r="AS63" s="2799"/>
      <c r="AT63" s="2799"/>
      <c r="AU63" s="2799"/>
      <c r="AV63" s="2799"/>
      <c r="AW63" s="2799"/>
      <c r="AX63" s="2799"/>
      <c r="AY63" s="2799"/>
      <c r="AZ63" s="2799"/>
      <c r="BA63" s="2799"/>
      <c r="BB63" s="2799"/>
      <c r="BC63" s="2799"/>
      <c r="BD63" s="2799"/>
      <c r="BE63" s="2799"/>
      <c r="BF63" s="2799"/>
      <c r="BG63" s="2799"/>
      <c r="BH63" s="2799"/>
      <c r="BI63" s="3708"/>
      <c r="BJ63" s="3708"/>
      <c r="BK63" s="3710"/>
      <c r="BL63" s="2709"/>
      <c r="BM63" s="2709"/>
      <c r="BN63" s="3690"/>
      <c r="BO63" s="3705"/>
      <c r="BP63" s="3690"/>
      <c r="BQ63" s="3690"/>
      <c r="BR63" s="3692"/>
    </row>
    <row r="64" spans="1:70" s="2" customFormat="1" ht="41.25" customHeight="1" x14ac:dyDescent="0.2">
      <c r="A64" s="3667"/>
      <c r="B64" s="3668"/>
      <c r="C64" s="3271"/>
      <c r="D64" s="3670"/>
      <c r="E64" s="3670"/>
      <c r="F64" s="3276"/>
      <c r="G64" s="3723"/>
      <c r="H64" s="3724"/>
      <c r="I64" s="3725"/>
      <c r="J64" s="2706"/>
      <c r="K64" s="3096"/>
      <c r="L64" s="3096"/>
      <c r="M64" s="2711"/>
      <c r="N64" s="2797"/>
      <c r="O64" s="3081"/>
      <c r="P64" s="2711"/>
      <c r="Q64" s="3096"/>
      <c r="R64" s="3687"/>
      <c r="S64" s="3688"/>
      <c r="T64" s="3096"/>
      <c r="U64" s="3702"/>
      <c r="V64" s="3096"/>
      <c r="W64" s="3688"/>
      <c r="X64" s="2944"/>
      <c r="Y64" s="2944"/>
      <c r="Z64" s="3685"/>
      <c r="AA64" s="2711"/>
      <c r="AB64" s="2800"/>
      <c r="AC64" s="2800"/>
      <c r="AD64" s="2800"/>
      <c r="AE64" s="2800"/>
      <c r="AF64" s="2800"/>
      <c r="AG64" s="2800"/>
      <c r="AH64" s="2800"/>
      <c r="AI64" s="2800"/>
      <c r="AJ64" s="2800"/>
      <c r="AK64" s="2800"/>
      <c r="AL64" s="2800"/>
      <c r="AM64" s="2800"/>
      <c r="AN64" s="2800"/>
      <c r="AO64" s="2800"/>
      <c r="AP64" s="2800"/>
      <c r="AQ64" s="2800"/>
      <c r="AR64" s="2800"/>
      <c r="AS64" s="2800"/>
      <c r="AT64" s="2800"/>
      <c r="AU64" s="2800"/>
      <c r="AV64" s="2800"/>
      <c r="AW64" s="2800"/>
      <c r="AX64" s="2800"/>
      <c r="AY64" s="2800"/>
      <c r="AZ64" s="2800"/>
      <c r="BA64" s="2800"/>
      <c r="BB64" s="2800"/>
      <c r="BC64" s="2800"/>
      <c r="BD64" s="2800"/>
      <c r="BE64" s="2800"/>
      <c r="BF64" s="2800"/>
      <c r="BG64" s="2800"/>
      <c r="BH64" s="2800"/>
      <c r="BI64" s="2943"/>
      <c r="BJ64" s="2943"/>
      <c r="BK64" s="3711"/>
      <c r="BL64" s="2710"/>
      <c r="BM64" s="2710"/>
      <c r="BN64" s="3691"/>
      <c r="BO64" s="3706"/>
      <c r="BP64" s="3691"/>
      <c r="BQ64" s="3691"/>
      <c r="BR64" s="3692"/>
    </row>
    <row r="65" spans="1:70" ht="27" customHeight="1" x14ac:dyDescent="0.2">
      <c r="A65" s="3667"/>
      <c r="B65" s="3668"/>
      <c r="C65" s="3271"/>
      <c r="D65" s="2130">
        <v>3</v>
      </c>
      <c r="E65" s="2156" t="s">
        <v>2191</v>
      </c>
      <c r="F65" s="92"/>
      <c r="G65" s="92"/>
      <c r="H65" s="92"/>
      <c r="I65" s="92"/>
      <c r="J65" s="92"/>
      <c r="K65" s="92"/>
      <c r="L65" s="92"/>
      <c r="M65" s="92"/>
      <c r="N65" s="92"/>
      <c r="O65" s="92"/>
      <c r="P65" s="92"/>
      <c r="Q65" s="2157"/>
      <c r="R65" s="92"/>
      <c r="S65" s="92"/>
      <c r="T65" s="92"/>
      <c r="U65" s="92"/>
      <c r="V65" s="92"/>
      <c r="W65" s="92"/>
      <c r="X65" s="92"/>
      <c r="Y65" s="92"/>
      <c r="Z65" s="92"/>
      <c r="AA65" s="2158"/>
      <c r="AB65" s="2158"/>
      <c r="AC65" s="2158"/>
      <c r="AD65" s="2158"/>
      <c r="AE65" s="2158"/>
      <c r="AF65" s="2158"/>
      <c r="AG65" s="2158"/>
      <c r="AH65" s="2158"/>
      <c r="AI65" s="2158"/>
      <c r="AJ65" s="2158"/>
      <c r="AK65" s="2158"/>
      <c r="AL65" s="2158"/>
      <c r="AM65" s="2158"/>
      <c r="AN65" s="2158"/>
      <c r="AO65" s="2158"/>
      <c r="AP65" s="2158"/>
      <c r="AQ65" s="2158"/>
      <c r="AR65" s="2158"/>
      <c r="AS65" s="2158"/>
      <c r="AT65" s="2158"/>
      <c r="AU65" s="2158"/>
      <c r="AV65" s="2158"/>
      <c r="AW65" s="2158"/>
      <c r="AX65" s="2158"/>
      <c r="AY65" s="2158"/>
      <c r="AZ65" s="2158"/>
      <c r="BA65" s="2158"/>
      <c r="BB65" s="2158"/>
      <c r="BC65" s="2158"/>
      <c r="BD65" s="2158"/>
      <c r="BE65" s="2158"/>
      <c r="BF65" s="2158"/>
      <c r="BG65" s="2158"/>
      <c r="BH65" s="92"/>
      <c r="BI65" s="92"/>
      <c r="BJ65" s="92"/>
      <c r="BK65" s="92"/>
      <c r="BL65" s="92"/>
      <c r="BM65" s="92"/>
      <c r="BN65" s="92"/>
      <c r="BO65" s="92"/>
      <c r="BP65" s="92"/>
      <c r="BQ65" s="92"/>
      <c r="BR65" s="2159"/>
    </row>
    <row r="66" spans="1:70" ht="27" customHeight="1" x14ac:dyDescent="0.2">
      <c r="A66" s="3667"/>
      <c r="B66" s="3668"/>
      <c r="C66" s="3271"/>
      <c r="D66" s="3730"/>
      <c r="E66" s="3731"/>
      <c r="F66" s="3732"/>
      <c r="G66" s="2151">
        <v>11</v>
      </c>
      <c r="H66" s="2152" t="s">
        <v>2192</v>
      </c>
      <c r="I66" s="692"/>
      <c r="J66" s="692"/>
      <c r="K66" s="692"/>
      <c r="L66" s="692"/>
      <c r="M66" s="692"/>
      <c r="N66" s="692"/>
      <c r="O66" s="692"/>
      <c r="P66" s="692"/>
      <c r="Q66" s="693"/>
      <c r="R66" s="692"/>
      <c r="S66" s="692"/>
      <c r="T66" s="692"/>
      <c r="U66" s="692"/>
      <c r="V66" s="692"/>
      <c r="W66" s="692"/>
      <c r="X66" s="692"/>
      <c r="Y66" s="692"/>
      <c r="Z66" s="692"/>
      <c r="AA66" s="694"/>
      <c r="AB66" s="694"/>
      <c r="AC66" s="694"/>
      <c r="AD66" s="694"/>
      <c r="AE66" s="694"/>
      <c r="AF66" s="694"/>
      <c r="AG66" s="694"/>
      <c r="AH66" s="694"/>
      <c r="AI66" s="694"/>
      <c r="AJ66" s="694"/>
      <c r="AK66" s="694"/>
      <c r="AL66" s="694"/>
      <c r="AM66" s="694"/>
      <c r="AN66" s="694"/>
      <c r="AO66" s="694"/>
      <c r="AP66" s="694"/>
      <c r="AQ66" s="694"/>
      <c r="AR66" s="694"/>
      <c r="AS66" s="694"/>
      <c r="AT66" s="694"/>
      <c r="AU66" s="694"/>
      <c r="AV66" s="694"/>
      <c r="AW66" s="694"/>
      <c r="AX66" s="694"/>
      <c r="AY66" s="694"/>
      <c r="AZ66" s="694"/>
      <c r="BA66" s="694"/>
      <c r="BB66" s="694"/>
      <c r="BC66" s="694"/>
      <c r="BD66" s="694"/>
      <c r="BE66" s="694"/>
      <c r="BF66" s="694"/>
      <c r="BG66" s="694"/>
      <c r="BH66" s="692"/>
      <c r="BI66" s="692"/>
      <c r="BJ66" s="692"/>
      <c r="BK66" s="692"/>
      <c r="BL66" s="692"/>
      <c r="BM66" s="692"/>
      <c r="BN66" s="692"/>
      <c r="BO66" s="692"/>
      <c r="BP66" s="692"/>
      <c r="BQ66" s="692"/>
      <c r="BR66" s="2153"/>
    </row>
    <row r="67" spans="1:70" ht="27" customHeight="1" x14ac:dyDescent="0.2">
      <c r="A67" s="3667"/>
      <c r="B67" s="3668"/>
      <c r="C67" s="3271"/>
      <c r="D67" s="3733"/>
      <c r="E67" s="2953"/>
      <c r="F67" s="3734"/>
      <c r="G67" s="3735"/>
      <c r="H67" s="3735"/>
      <c r="I67" s="3735"/>
      <c r="J67" s="3141">
        <v>50</v>
      </c>
      <c r="K67" s="3142" t="s">
        <v>2193</v>
      </c>
      <c r="L67" s="3142" t="s">
        <v>2194</v>
      </c>
      <c r="M67" s="3141">
        <v>3</v>
      </c>
      <c r="N67" s="3155">
        <v>2</v>
      </c>
      <c r="O67" s="3080" t="s">
        <v>2195</v>
      </c>
      <c r="P67" s="3080" t="s">
        <v>2196</v>
      </c>
      <c r="Q67" s="3078" t="s">
        <v>2197</v>
      </c>
      <c r="R67" s="3072">
        <f>+W67/S67</f>
        <v>0.80006709158000666</v>
      </c>
      <c r="S67" s="3040">
        <f>+W67+W70</f>
        <v>149050000</v>
      </c>
      <c r="T67" s="3078" t="s">
        <v>2198</v>
      </c>
      <c r="U67" s="3736" t="s">
        <v>2199</v>
      </c>
      <c r="V67" s="3738" t="s">
        <v>2200</v>
      </c>
      <c r="W67" s="3740">
        <f>+'[2]Metas y Proyectos'!O33</f>
        <v>119250000</v>
      </c>
      <c r="X67" s="3741">
        <f>+'[2]Metas y Proyectos'!P33</f>
        <v>103530000</v>
      </c>
      <c r="Y67" s="3741">
        <v>59686000</v>
      </c>
      <c r="Z67" s="3033">
        <v>20</v>
      </c>
      <c r="AA67" s="3080" t="s">
        <v>2127</v>
      </c>
      <c r="AB67" s="3748">
        <v>294321</v>
      </c>
      <c r="AC67" s="3155">
        <f>+AB67*30%</f>
        <v>88296.3</v>
      </c>
      <c r="AD67" s="3745">
        <v>283947</v>
      </c>
      <c r="AE67" s="3155">
        <f>+AD67*30%</f>
        <v>85184.099999999991</v>
      </c>
      <c r="AF67" s="3745">
        <v>135754</v>
      </c>
      <c r="AG67" s="3155">
        <f>+AF67*30%</f>
        <v>40726.199999999997</v>
      </c>
      <c r="AH67" s="3745">
        <v>44640</v>
      </c>
      <c r="AI67" s="3155">
        <f>+AH67*30%</f>
        <v>13392</v>
      </c>
      <c r="AJ67" s="3054">
        <v>308178</v>
      </c>
      <c r="AK67" s="3054">
        <f>+AJ67*30%</f>
        <v>92453.4</v>
      </c>
      <c r="AL67" s="3745">
        <v>89696</v>
      </c>
      <c r="AM67" s="3155">
        <f>+AL67*30%</f>
        <v>26908.799999999999</v>
      </c>
      <c r="AN67" s="3084"/>
      <c r="AO67" s="2160"/>
      <c r="AP67" s="2160"/>
      <c r="AQ67" s="3084"/>
      <c r="AR67" s="2160"/>
      <c r="AS67" s="3084"/>
      <c r="AT67" s="2160"/>
      <c r="AU67" s="3084"/>
      <c r="AV67" s="2160"/>
      <c r="AW67" s="3084"/>
      <c r="AX67" s="2160"/>
      <c r="AY67" s="3084"/>
      <c r="AZ67" s="2160"/>
      <c r="BA67" s="3084"/>
      <c r="BB67" s="2160"/>
      <c r="BC67" s="3084"/>
      <c r="BD67" s="2160"/>
      <c r="BE67" s="3084"/>
      <c r="BF67" s="3745">
        <f>+AB67+AD67</f>
        <v>578268</v>
      </c>
      <c r="BG67" s="3155">
        <f>+BF67*30%</f>
        <v>173480.4</v>
      </c>
      <c r="BH67" s="3155">
        <v>7</v>
      </c>
      <c r="BI67" s="3040">
        <f>SUM(X67:X71)</f>
        <v>116780000</v>
      </c>
      <c r="BJ67" s="3040">
        <f>SUM(Y67:Y71)</f>
        <v>70286000</v>
      </c>
      <c r="BK67" s="3071">
        <f>BJ67/BI67</f>
        <v>0.60186675800650802</v>
      </c>
      <c r="BL67" s="3155" t="s">
        <v>2201</v>
      </c>
      <c r="BM67" s="3155" t="s">
        <v>2202</v>
      </c>
      <c r="BN67" s="3689">
        <v>43467</v>
      </c>
      <c r="BO67" s="3689">
        <v>43488</v>
      </c>
      <c r="BP67" s="3689">
        <v>43830</v>
      </c>
      <c r="BQ67" s="3689">
        <v>43656</v>
      </c>
      <c r="BR67" s="3752" t="s">
        <v>2130</v>
      </c>
    </row>
    <row r="68" spans="1:70" ht="27" customHeight="1" x14ac:dyDescent="0.2">
      <c r="A68" s="3667"/>
      <c r="B68" s="3668"/>
      <c r="C68" s="3271"/>
      <c r="D68" s="3733"/>
      <c r="E68" s="2953"/>
      <c r="F68" s="3734"/>
      <c r="G68" s="3735"/>
      <c r="H68" s="3735"/>
      <c r="I68" s="3735"/>
      <c r="J68" s="3141"/>
      <c r="K68" s="3142"/>
      <c r="L68" s="3142"/>
      <c r="M68" s="3141"/>
      <c r="N68" s="3156"/>
      <c r="O68" s="3141"/>
      <c r="P68" s="3141"/>
      <c r="Q68" s="3142"/>
      <c r="R68" s="3072"/>
      <c r="S68" s="3041"/>
      <c r="T68" s="3142"/>
      <c r="U68" s="3737"/>
      <c r="V68" s="3739"/>
      <c r="W68" s="3740"/>
      <c r="X68" s="3742"/>
      <c r="Y68" s="3742"/>
      <c r="Z68" s="3034"/>
      <c r="AA68" s="3141"/>
      <c r="AB68" s="3749"/>
      <c r="AC68" s="3156"/>
      <c r="AD68" s="3746"/>
      <c r="AE68" s="3156"/>
      <c r="AF68" s="3746"/>
      <c r="AG68" s="3156"/>
      <c r="AH68" s="3746"/>
      <c r="AI68" s="3156"/>
      <c r="AJ68" s="3055"/>
      <c r="AK68" s="3055"/>
      <c r="AL68" s="3746"/>
      <c r="AM68" s="3156"/>
      <c r="AN68" s="3751"/>
      <c r="AO68" s="2161"/>
      <c r="AP68" s="2161"/>
      <c r="AQ68" s="3751"/>
      <c r="AR68" s="2161"/>
      <c r="AS68" s="3751"/>
      <c r="AT68" s="2161"/>
      <c r="AU68" s="3751"/>
      <c r="AV68" s="2161"/>
      <c r="AW68" s="3751"/>
      <c r="AX68" s="2161"/>
      <c r="AY68" s="3751"/>
      <c r="AZ68" s="2161"/>
      <c r="BA68" s="3751"/>
      <c r="BB68" s="2161"/>
      <c r="BC68" s="3751"/>
      <c r="BD68" s="2161"/>
      <c r="BE68" s="3751"/>
      <c r="BF68" s="3746"/>
      <c r="BG68" s="3156"/>
      <c r="BH68" s="3156"/>
      <c r="BI68" s="3041"/>
      <c r="BJ68" s="3041"/>
      <c r="BK68" s="3072"/>
      <c r="BL68" s="3156"/>
      <c r="BM68" s="3156"/>
      <c r="BN68" s="3690"/>
      <c r="BO68" s="3690"/>
      <c r="BP68" s="3690"/>
      <c r="BQ68" s="3690"/>
      <c r="BR68" s="3753"/>
    </row>
    <row r="69" spans="1:70" ht="27" customHeight="1" x14ac:dyDescent="0.2">
      <c r="A69" s="3667"/>
      <c r="B69" s="3668"/>
      <c r="C69" s="3271"/>
      <c r="D69" s="3733"/>
      <c r="E69" s="2953"/>
      <c r="F69" s="3734"/>
      <c r="G69" s="3735"/>
      <c r="H69" s="3735"/>
      <c r="I69" s="3735"/>
      <c r="J69" s="3141"/>
      <c r="K69" s="3142"/>
      <c r="L69" s="3142"/>
      <c r="M69" s="3141"/>
      <c r="N69" s="3157"/>
      <c r="O69" s="3141"/>
      <c r="P69" s="3141"/>
      <c r="Q69" s="3142"/>
      <c r="R69" s="3072"/>
      <c r="S69" s="3041"/>
      <c r="T69" s="3142"/>
      <c r="U69" s="3737"/>
      <c r="V69" s="3739"/>
      <c r="W69" s="3740"/>
      <c r="X69" s="3743"/>
      <c r="Y69" s="3743"/>
      <c r="Z69" s="3034"/>
      <c r="AA69" s="3141"/>
      <c r="AB69" s="3749"/>
      <c r="AC69" s="3156"/>
      <c r="AD69" s="3746"/>
      <c r="AE69" s="3156"/>
      <c r="AF69" s="3746"/>
      <c r="AG69" s="3156"/>
      <c r="AH69" s="3746"/>
      <c r="AI69" s="3156"/>
      <c r="AJ69" s="3055"/>
      <c r="AK69" s="3055"/>
      <c r="AL69" s="3746"/>
      <c r="AM69" s="3156"/>
      <c r="AN69" s="3751"/>
      <c r="AO69" s="2161"/>
      <c r="AP69" s="2161"/>
      <c r="AQ69" s="3751"/>
      <c r="AR69" s="2161"/>
      <c r="AS69" s="3751"/>
      <c r="AT69" s="2161"/>
      <c r="AU69" s="3751"/>
      <c r="AV69" s="2161"/>
      <c r="AW69" s="3751"/>
      <c r="AX69" s="2161"/>
      <c r="AY69" s="3751"/>
      <c r="AZ69" s="2161"/>
      <c r="BA69" s="3751"/>
      <c r="BB69" s="2161"/>
      <c r="BC69" s="3751"/>
      <c r="BD69" s="2161"/>
      <c r="BE69" s="3751"/>
      <c r="BF69" s="3746"/>
      <c r="BG69" s="3156"/>
      <c r="BH69" s="3156"/>
      <c r="BI69" s="3041"/>
      <c r="BJ69" s="3041"/>
      <c r="BK69" s="3072"/>
      <c r="BL69" s="3156"/>
      <c r="BM69" s="3156"/>
      <c r="BN69" s="3690"/>
      <c r="BO69" s="3690"/>
      <c r="BP69" s="3690"/>
      <c r="BQ69" s="3690"/>
      <c r="BR69" s="3753"/>
    </row>
    <row r="70" spans="1:70" ht="27" customHeight="1" x14ac:dyDescent="0.2">
      <c r="A70" s="3667"/>
      <c r="B70" s="3668"/>
      <c r="C70" s="3271"/>
      <c r="D70" s="3733"/>
      <c r="E70" s="2953"/>
      <c r="F70" s="3734"/>
      <c r="G70" s="3735"/>
      <c r="H70" s="3735"/>
      <c r="I70" s="3735"/>
      <c r="J70" s="3080">
        <v>51</v>
      </c>
      <c r="K70" s="3078" t="s">
        <v>2203</v>
      </c>
      <c r="L70" s="3078" t="s">
        <v>2204</v>
      </c>
      <c r="M70" s="3080">
        <v>1</v>
      </c>
      <c r="N70" s="3726">
        <v>0.7</v>
      </c>
      <c r="O70" s="3141"/>
      <c r="P70" s="3141"/>
      <c r="Q70" s="3142"/>
      <c r="R70" s="3728">
        <f>+W70/S67</f>
        <v>0.19993290841999328</v>
      </c>
      <c r="S70" s="3041"/>
      <c r="T70" s="3142"/>
      <c r="U70" s="3737"/>
      <c r="V70" s="3738" t="s">
        <v>2205</v>
      </c>
      <c r="W70" s="3740">
        <f>+'[2]Metas y Proyectos'!O34</f>
        <v>29800000</v>
      </c>
      <c r="X70" s="3741">
        <f>+'[2]Metas y Proyectos'!P34</f>
        <v>13250000</v>
      </c>
      <c r="Y70" s="3040">
        <v>10600000</v>
      </c>
      <c r="Z70" s="3034"/>
      <c r="AA70" s="3141"/>
      <c r="AB70" s="3749"/>
      <c r="AC70" s="3156"/>
      <c r="AD70" s="3746"/>
      <c r="AE70" s="3156"/>
      <c r="AF70" s="3746"/>
      <c r="AG70" s="3156"/>
      <c r="AH70" s="3746"/>
      <c r="AI70" s="3156"/>
      <c r="AJ70" s="3055"/>
      <c r="AK70" s="3055"/>
      <c r="AL70" s="3746"/>
      <c r="AM70" s="3156"/>
      <c r="AN70" s="3751"/>
      <c r="AO70" s="2161"/>
      <c r="AP70" s="2161"/>
      <c r="AQ70" s="3751"/>
      <c r="AR70" s="2161"/>
      <c r="AS70" s="3751"/>
      <c r="AT70" s="2161"/>
      <c r="AU70" s="3751"/>
      <c r="AV70" s="2161"/>
      <c r="AW70" s="3751"/>
      <c r="AX70" s="2161"/>
      <c r="AY70" s="3751"/>
      <c r="AZ70" s="2161"/>
      <c r="BA70" s="3751"/>
      <c r="BB70" s="2161"/>
      <c r="BC70" s="3751"/>
      <c r="BD70" s="2161"/>
      <c r="BE70" s="3751"/>
      <c r="BF70" s="3746"/>
      <c r="BG70" s="3156"/>
      <c r="BH70" s="3156"/>
      <c r="BI70" s="3041"/>
      <c r="BJ70" s="3041"/>
      <c r="BK70" s="3072"/>
      <c r="BL70" s="3156"/>
      <c r="BM70" s="3156"/>
      <c r="BN70" s="3690"/>
      <c r="BO70" s="3690"/>
      <c r="BP70" s="3690"/>
      <c r="BQ70" s="3690"/>
      <c r="BR70" s="3753"/>
    </row>
    <row r="71" spans="1:70" ht="40.5" customHeight="1" x14ac:dyDescent="0.2">
      <c r="A71" s="3667"/>
      <c r="B71" s="3668"/>
      <c r="C71" s="3271"/>
      <c r="D71" s="3733"/>
      <c r="E71" s="2953"/>
      <c r="F71" s="3734"/>
      <c r="G71" s="3735"/>
      <c r="H71" s="3735"/>
      <c r="I71" s="3735"/>
      <c r="J71" s="3141"/>
      <c r="K71" s="3142"/>
      <c r="L71" s="3142"/>
      <c r="M71" s="3141"/>
      <c r="N71" s="3727"/>
      <c r="O71" s="3081"/>
      <c r="P71" s="3081"/>
      <c r="Q71" s="3079"/>
      <c r="R71" s="3729"/>
      <c r="S71" s="3041"/>
      <c r="T71" s="3142"/>
      <c r="U71" s="3737"/>
      <c r="V71" s="3744"/>
      <c r="W71" s="3740"/>
      <c r="X71" s="3743"/>
      <c r="Y71" s="3042"/>
      <c r="Z71" s="3035"/>
      <c r="AA71" s="3081"/>
      <c r="AB71" s="3750"/>
      <c r="AC71" s="3157"/>
      <c r="AD71" s="3747"/>
      <c r="AE71" s="3157"/>
      <c r="AF71" s="3747"/>
      <c r="AG71" s="3157"/>
      <c r="AH71" s="3747"/>
      <c r="AI71" s="3157"/>
      <c r="AJ71" s="3188"/>
      <c r="AK71" s="3188"/>
      <c r="AL71" s="3747"/>
      <c r="AM71" s="3157"/>
      <c r="AN71" s="3085"/>
      <c r="AO71" s="2162"/>
      <c r="AP71" s="2162"/>
      <c r="AQ71" s="3085"/>
      <c r="AR71" s="2162"/>
      <c r="AS71" s="3085"/>
      <c r="AT71" s="2162"/>
      <c r="AU71" s="3085"/>
      <c r="AV71" s="2162"/>
      <c r="AW71" s="3085"/>
      <c r="AX71" s="2162"/>
      <c r="AY71" s="3085"/>
      <c r="AZ71" s="2162"/>
      <c r="BA71" s="3085"/>
      <c r="BB71" s="2162"/>
      <c r="BC71" s="3085"/>
      <c r="BD71" s="2162"/>
      <c r="BE71" s="3085"/>
      <c r="BF71" s="3747"/>
      <c r="BG71" s="3157"/>
      <c r="BH71" s="3156"/>
      <c r="BI71" s="3042"/>
      <c r="BJ71" s="3042"/>
      <c r="BK71" s="3158"/>
      <c r="BL71" s="3157"/>
      <c r="BM71" s="3157"/>
      <c r="BN71" s="3691"/>
      <c r="BO71" s="3691"/>
      <c r="BP71" s="3691"/>
      <c r="BQ71" s="3691"/>
      <c r="BR71" s="3754"/>
    </row>
    <row r="72" spans="1:70" ht="27" customHeight="1" x14ac:dyDescent="0.2">
      <c r="A72" s="3667"/>
      <c r="B72" s="3668"/>
      <c r="C72" s="3271"/>
      <c r="D72" s="3733"/>
      <c r="E72" s="2953"/>
      <c r="F72" s="3734"/>
      <c r="G72" s="2151">
        <v>12</v>
      </c>
      <c r="H72" s="2152" t="s">
        <v>2206</v>
      </c>
      <c r="I72" s="692"/>
      <c r="J72" s="692"/>
      <c r="K72" s="693"/>
      <c r="L72" s="693"/>
      <c r="M72" s="692"/>
      <c r="N72" s="1751"/>
      <c r="O72" s="784"/>
      <c r="P72" s="724"/>
      <c r="Q72" s="693"/>
      <c r="R72" s="2163"/>
      <c r="S72" s="2164"/>
      <c r="T72" s="693"/>
      <c r="U72" s="693"/>
      <c r="V72" s="693"/>
      <c r="W72" s="2165"/>
      <c r="X72" s="2166"/>
      <c r="Y72" s="2165"/>
      <c r="Z72" s="699"/>
      <c r="AA72" s="694"/>
      <c r="AB72" s="2167"/>
      <c r="AC72" s="692"/>
      <c r="AD72" s="2167"/>
      <c r="AE72" s="692"/>
      <c r="AF72" s="2168"/>
      <c r="AG72" s="2168"/>
      <c r="AH72" s="2168"/>
      <c r="AI72" s="2168"/>
      <c r="AJ72" s="2168"/>
      <c r="AK72" s="2168"/>
      <c r="AL72" s="2168"/>
      <c r="AM72" s="692"/>
      <c r="AN72" s="692"/>
      <c r="AO72" s="692"/>
      <c r="AP72" s="692"/>
      <c r="AQ72" s="692"/>
      <c r="AR72" s="692"/>
      <c r="AS72" s="692"/>
      <c r="AT72" s="692"/>
      <c r="AU72" s="692"/>
      <c r="AV72" s="692"/>
      <c r="AW72" s="692"/>
      <c r="AX72" s="692"/>
      <c r="AY72" s="692"/>
      <c r="AZ72" s="692"/>
      <c r="BA72" s="692"/>
      <c r="BB72" s="692"/>
      <c r="BC72" s="692"/>
      <c r="BD72" s="692"/>
      <c r="BE72" s="692"/>
      <c r="BF72" s="2167"/>
      <c r="BG72" s="692"/>
      <c r="BH72" s="2169"/>
      <c r="BI72" s="2164"/>
      <c r="BJ72" s="2164"/>
      <c r="BK72" s="2170"/>
      <c r="BL72" s="2168"/>
      <c r="BM72" s="2168"/>
      <c r="BN72" s="2171"/>
      <c r="BO72" s="2171"/>
      <c r="BP72" s="2171"/>
      <c r="BQ72" s="700"/>
      <c r="BR72" s="2172"/>
    </row>
    <row r="73" spans="1:70" ht="33.75" customHeight="1" x14ac:dyDescent="0.2">
      <c r="A73" s="3667"/>
      <c r="B73" s="3668"/>
      <c r="C73" s="3271"/>
      <c r="D73" s="3733"/>
      <c r="E73" s="2953"/>
      <c r="F73" s="3734"/>
      <c r="G73" s="3759"/>
      <c r="H73" s="3759"/>
      <c r="I73" s="3759"/>
      <c r="J73" s="3080">
        <v>52</v>
      </c>
      <c r="K73" s="3078" t="s">
        <v>2207</v>
      </c>
      <c r="L73" s="3078" t="s">
        <v>2208</v>
      </c>
      <c r="M73" s="3086">
        <v>3</v>
      </c>
      <c r="N73" s="3080">
        <v>2</v>
      </c>
      <c r="O73" s="3080" t="s">
        <v>2209</v>
      </c>
      <c r="P73" s="3090" t="s">
        <v>2210</v>
      </c>
      <c r="Q73" s="3078" t="s">
        <v>2211</v>
      </c>
      <c r="R73" s="3071">
        <f>SUM(W73:W84)/S73</f>
        <v>1</v>
      </c>
      <c r="S73" s="2854">
        <f>SUM(W73:W84)</f>
        <v>119240000</v>
      </c>
      <c r="T73" s="3078" t="s">
        <v>2212</v>
      </c>
      <c r="U73" s="3736" t="s">
        <v>2213</v>
      </c>
      <c r="V73" s="3738" t="s">
        <v>2214</v>
      </c>
      <c r="W73" s="3758">
        <v>25000000</v>
      </c>
      <c r="X73" s="3741">
        <v>25000000</v>
      </c>
      <c r="Y73" s="3040">
        <v>10400000</v>
      </c>
      <c r="Z73" s="3033">
        <v>20</v>
      </c>
      <c r="AA73" s="3080" t="s">
        <v>2215</v>
      </c>
      <c r="AB73" s="3762">
        <v>294321</v>
      </c>
      <c r="AC73" s="3155">
        <v>88296</v>
      </c>
      <c r="AD73" s="3745">
        <v>283947</v>
      </c>
      <c r="AE73" s="3155">
        <v>85184</v>
      </c>
      <c r="AF73" s="3155">
        <v>135754</v>
      </c>
      <c r="AG73" s="3155">
        <v>40726</v>
      </c>
      <c r="AH73" s="3155">
        <v>44640</v>
      </c>
      <c r="AI73" s="3155">
        <v>13392</v>
      </c>
      <c r="AJ73" s="3054">
        <v>308178</v>
      </c>
      <c r="AK73" s="3054">
        <v>92453</v>
      </c>
      <c r="AL73" s="3155">
        <v>89696</v>
      </c>
      <c r="AM73" s="3155">
        <v>26909</v>
      </c>
      <c r="AN73" s="3155"/>
      <c r="AO73" s="2173"/>
      <c r="AP73" s="2173"/>
      <c r="AQ73" s="3155"/>
      <c r="AR73" s="2173"/>
      <c r="AS73" s="3155"/>
      <c r="AT73" s="2173"/>
      <c r="AU73" s="3155"/>
      <c r="AV73" s="2173"/>
      <c r="AW73" s="3155"/>
      <c r="AX73" s="2173"/>
      <c r="AY73" s="3155"/>
      <c r="AZ73" s="2173"/>
      <c r="BA73" s="3155"/>
      <c r="BB73" s="2173"/>
      <c r="BC73" s="3155"/>
      <c r="BD73" s="2173"/>
      <c r="BE73" s="3084"/>
      <c r="BF73" s="3745">
        <f>+AB73+AD73</f>
        <v>578268</v>
      </c>
      <c r="BG73" s="3155">
        <v>173480</v>
      </c>
      <c r="BH73" s="3155">
        <v>4</v>
      </c>
      <c r="BI73" s="3040">
        <f>SUM(X73:X84)</f>
        <v>89510000</v>
      </c>
      <c r="BJ73" s="3040">
        <f>SUM(Y73:Y84)</f>
        <v>29116000</v>
      </c>
      <c r="BK73" s="3071">
        <f>BJ73/BI73</f>
        <v>0.32528209138643727</v>
      </c>
      <c r="BL73" s="3155" t="s">
        <v>2201</v>
      </c>
      <c r="BM73" s="3155" t="s">
        <v>2216</v>
      </c>
      <c r="BN73" s="3689">
        <v>43467</v>
      </c>
      <c r="BO73" s="3689">
        <v>43488</v>
      </c>
      <c r="BP73" s="3689">
        <v>43830</v>
      </c>
      <c r="BQ73" s="3755">
        <v>43652</v>
      </c>
      <c r="BR73" s="3752" t="s">
        <v>2130</v>
      </c>
    </row>
    <row r="74" spans="1:70" ht="49.5" customHeight="1" x14ac:dyDescent="0.2">
      <c r="A74" s="3667"/>
      <c r="B74" s="3668"/>
      <c r="C74" s="3271"/>
      <c r="D74" s="3733"/>
      <c r="E74" s="2953"/>
      <c r="F74" s="3734"/>
      <c r="G74" s="3759"/>
      <c r="H74" s="3759"/>
      <c r="I74" s="3759"/>
      <c r="J74" s="3141"/>
      <c r="K74" s="3142"/>
      <c r="L74" s="3142"/>
      <c r="M74" s="3087"/>
      <c r="N74" s="3141"/>
      <c r="O74" s="3141"/>
      <c r="P74" s="3092"/>
      <c r="Q74" s="3142"/>
      <c r="R74" s="3072"/>
      <c r="S74" s="2855"/>
      <c r="T74" s="3142"/>
      <c r="U74" s="3737"/>
      <c r="V74" s="3744"/>
      <c r="W74" s="3758"/>
      <c r="X74" s="3743"/>
      <c r="Y74" s="3042"/>
      <c r="Z74" s="3034"/>
      <c r="AA74" s="3141"/>
      <c r="AB74" s="3763"/>
      <c r="AC74" s="3156"/>
      <c r="AD74" s="3746"/>
      <c r="AE74" s="3156"/>
      <c r="AF74" s="3156"/>
      <c r="AG74" s="3156"/>
      <c r="AH74" s="3156"/>
      <c r="AI74" s="3156"/>
      <c r="AJ74" s="3055"/>
      <c r="AK74" s="3055"/>
      <c r="AL74" s="3156"/>
      <c r="AM74" s="3156"/>
      <c r="AN74" s="3156"/>
      <c r="AO74" s="2174"/>
      <c r="AP74" s="2174"/>
      <c r="AQ74" s="3156"/>
      <c r="AR74" s="2174"/>
      <c r="AS74" s="3156"/>
      <c r="AT74" s="2174"/>
      <c r="AU74" s="3156"/>
      <c r="AV74" s="2174"/>
      <c r="AW74" s="3156"/>
      <c r="AX74" s="2174"/>
      <c r="AY74" s="3156"/>
      <c r="AZ74" s="2174"/>
      <c r="BA74" s="3156"/>
      <c r="BB74" s="2174"/>
      <c r="BC74" s="3156"/>
      <c r="BD74" s="2174"/>
      <c r="BE74" s="3751"/>
      <c r="BF74" s="3746"/>
      <c r="BG74" s="3156"/>
      <c r="BH74" s="3156"/>
      <c r="BI74" s="3041"/>
      <c r="BJ74" s="3041"/>
      <c r="BK74" s="3072"/>
      <c r="BL74" s="3156"/>
      <c r="BM74" s="3156"/>
      <c r="BN74" s="3690"/>
      <c r="BO74" s="3690"/>
      <c r="BP74" s="3690"/>
      <c r="BQ74" s="3756"/>
      <c r="BR74" s="3753"/>
    </row>
    <row r="75" spans="1:70" ht="33.75" customHeight="1" x14ac:dyDescent="0.2">
      <c r="A75" s="3667"/>
      <c r="B75" s="3668"/>
      <c r="C75" s="3271"/>
      <c r="D75" s="3733"/>
      <c r="E75" s="2953"/>
      <c r="F75" s="3734"/>
      <c r="G75" s="3759"/>
      <c r="H75" s="3759"/>
      <c r="I75" s="3759"/>
      <c r="J75" s="3141"/>
      <c r="K75" s="3142"/>
      <c r="L75" s="3142"/>
      <c r="M75" s="3087"/>
      <c r="N75" s="3141"/>
      <c r="O75" s="3141"/>
      <c r="P75" s="3092"/>
      <c r="Q75" s="3142"/>
      <c r="R75" s="3072"/>
      <c r="S75" s="2855"/>
      <c r="T75" s="3142"/>
      <c r="U75" s="3737"/>
      <c r="V75" s="3738" t="s">
        <v>2217</v>
      </c>
      <c r="W75" s="3758">
        <v>25000000</v>
      </c>
      <c r="X75" s="3741">
        <f>11250000+605000</f>
        <v>11855000</v>
      </c>
      <c r="Y75" s="3040">
        <v>2798000</v>
      </c>
      <c r="Z75" s="3034"/>
      <c r="AA75" s="3141"/>
      <c r="AB75" s="3763"/>
      <c r="AC75" s="3156"/>
      <c r="AD75" s="3746"/>
      <c r="AE75" s="3156"/>
      <c r="AF75" s="3156"/>
      <c r="AG75" s="3156"/>
      <c r="AH75" s="3156"/>
      <c r="AI75" s="3156"/>
      <c r="AJ75" s="3055"/>
      <c r="AK75" s="3055"/>
      <c r="AL75" s="3156"/>
      <c r="AM75" s="3156"/>
      <c r="AN75" s="3156"/>
      <c r="AO75" s="2174"/>
      <c r="AP75" s="2174"/>
      <c r="AQ75" s="3156"/>
      <c r="AR75" s="2174"/>
      <c r="AS75" s="3156"/>
      <c r="AT75" s="2174"/>
      <c r="AU75" s="3156"/>
      <c r="AV75" s="2174"/>
      <c r="AW75" s="3156"/>
      <c r="AX75" s="2174"/>
      <c r="AY75" s="3156"/>
      <c r="AZ75" s="2174"/>
      <c r="BA75" s="3156"/>
      <c r="BB75" s="2174"/>
      <c r="BC75" s="3156"/>
      <c r="BD75" s="2174"/>
      <c r="BE75" s="3751"/>
      <c r="BF75" s="3746"/>
      <c r="BG75" s="3156"/>
      <c r="BH75" s="3156"/>
      <c r="BI75" s="3041"/>
      <c r="BJ75" s="3041"/>
      <c r="BK75" s="3072"/>
      <c r="BL75" s="3156"/>
      <c r="BM75" s="3156"/>
      <c r="BN75" s="3690"/>
      <c r="BO75" s="3690"/>
      <c r="BP75" s="3690"/>
      <c r="BQ75" s="3756"/>
      <c r="BR75" s="3753"/>
    </row>
    <row r="76" spans="1:70" ht="33.75" customHeight="1" x14ac:dyDescent="0.2">
      <c r="A76" s="3667"/>
      <c r="B76" s="3668"/>
      <c r="C76" s="3271"/>
      <c r="D76" s="3733"/>
      <c r="E76" s="2953"/>
      <c r="F76" s="3734"/>
      <c r="G76" s="3759"/>
      <c r="H76" s="3759"/>
      <c r="I76" s="3759"/>
      <c r="J76" s="3141"/>
      <c r="K76" s="3142"/>
      <c r="L76" s="3142"/>
      <c r="M76" s="3087"/>
      <c r="N76" s="3141"/>
      <c r="O76" s="3141"/>
      <c r="P76" s="3092"/>
      <c r="Q76" s="3142"/>
      <c r="R76" s="3072"/>
      <c r="S76" s="2855"/>
      <c r="T76" s="3142"/>
      <c r="U76" s="3737"/>
      <c r="V76" s="3744"/>
      <c r="W76" s="3758"/>
      <c r="X76" s="3743"/>
      <c r="Y76" s="3042"/>
      <c r="Z76" s="3034"/>
      <c r="AA76" s="3141"/>
      <c r="AB76" s="3763"/>
      <c r="AC76" s="3156"/>
      <c r="AD76" s="3746"/>
      <c r="AE76" s="3156"/>
      <c r="AF76" s="3156"/>
      <c r="AG76" s="3156"/>
      <c r="AH76" s="3156"/>
      <c r="AI76" s="3156"/>
      <c r="AJ76" s="3055"/>
      <c r="AK76" s="3055"/>
      <c r="AL76" s="3156"/>
      <c r="AM76" s="3156"/>
      <c r="AN76" s="3156"/>
      <c r="AO76" s="2174"/>
      <c r="AP76" s="2174"/>
      <c r="AQ76" s="3156"/>
      <c r="AR76" s="2174"/>
      <c r="AS76" s="3156"/>
      <c r="AT76" s="2174"/>
      <c r="AU76" s="3156"/>
      <c r="AV76" s="2174"/>
      <c r="AW76" s="3156"/>
      <c r="AX76" s="2174"/>
      <c r="AY76" s="3156"/>
      <c r="AZ76" s="2174"/>
      <c r="BA76" s="3156"/>
      <c r="BB76" s="2174"/>
      <c r="BC76" s="3156"/>
      <c r="BD76" s="2174"/>
      <c r="BE76" s="3751"/>
      <c r="BF76" s="3746"/>
      <c r="BG76" s="3156"/>
      <c r="BH76" s="3156"/>
      <c r="BI76" s="3041"/>
      <c r="BJ76" s="3041"/>
      <c r="BK76" s="3072"/>
      <c r="BL76" s="3156"/>
      <c r="BM76" s="3156"/>
      <c r="BN76" s="3690"/>
      <c r="BO76" s="3690"/>
      <c r="BP76" s="3690"/>
      <c r="BQ76" s="3756"/>
      <c r="BR76" s="3753"/>
    </row>
    <row r="77" spans="1:70" ht="33.75" customHeight="1" x14ac:dyDescent="0.2">
      <c r="A77" s="3667"/>
      <c r="B77" s="3668"/>
      <c r="C77" s="3271"/>
      <c r="D77" s="3733"/>
      <c r="E77" s="2953"/>
      <c r="F77" s="3734"/>
      <c r="G77" s="3759"/>
      <c r="H77" s="3759"/>
      <c r="I77" s="3759"/>
      <c r="J77" s="3141"/>
      <c r="K77" s="3142"/>
      <c r="L77" s="3142"/>
      <c r="M77" s="3087"/>
      <c r="N77" s="3141"/>
      <c r="O77" s="3141"/>
      <c r="P77" s="3092"/>
      <c r="Q77" s="3142"/>
      <c r="R77" s="3072"/>
      <c r="S77" s="2855"/>
      <c r="T77" s="3142"/>
      <c r="U77" s="3737"/>
      <c r="V77" s="3738" t="s">
        <v>2218</v>
      </c>
      <c r="W77" s="3758">
        <v>30000000</v>
      </c>
      <c r="X77" s="3741">
        <v>30000000</v>
      </c>
      <c r="Y77" s="3040">
        <v>7595000</v>
      </c>
      <c r="Z77" s="3034"/>
      <c r="AA77" s="3141"/>
      <c r="AB77" s="3763"/>
      <c r="AC77" s="3156"/>
      <c r="AD77" s="3746"/>
      <c r="AE77" s="3156"/>
      <c r="AF77" s="3156"/>
      <c r="AG77" s="3156"/>
      <c r="AH77" s="3156"/>
      <c r="AI77" s="3156"/>
      <c r="AJ77" s="3055"/>
      <c r="AK77" s="3055"/>
      <c r="AL77" s="3156"/>
      <c r="AM77" s="3156"/>
      <c r="AN77" s="3156"/>
      <c r="AO77" s="2174"/>
      <c r="AP77" s="2174"/>
      <c r="AQ77" s="3156"/>
      <c r="AR77" s="2174"/>
      <c r="AS77" s="3156"/>
      <c r="AT77" s="2174"/>
      <c r="AU77" s="3156"/>
      <c r="AV77" s="2174"/>
      <c r="AW77" s="3156"/>
      <c r="AX77" s="2174"/>
      <c r="AY77" s="3156"/>
      <c r="AZ77" s="2174"/>
      <c r="BA77" s="3156"/>
      <c r="BB77" s="2174"/>
      <c r="BC77" s="3156"/>
      <c r="BD77" s="2174"/>
      <c r="BE77" s="3751"/>
      <c r="BF77" s="3746"/>
      <c r="BG77" s="3156"/>
      <c r="BH77" s="3156"/>
      <c r="BI77" s="3041"/>
      <c r="BJ77" s="3041"/>
      <c r="BK77" s="3072"/>
      <c r="BL77" s="3156"/>
      <c r="BM77" s="3156"/>
      <c r="BN77" s="3690"/>
      <c r="BO77" s="3690"/>
      <c r="BP77" s="3690"/>
      <c r="BQ77" s="3756"/>
      <c r="BR77" s="3753"/>
    </row>
    <row r="78" spans="1:70" ht="33.75" customHeight="1" x14ac:dyDescent="0.2">
      <c r="A78" s="3667"/>
      <c r="B78" s="3668"/>
      <c r="C78" s="3271"/>
      <c r="D78" s="3733"/>
      <c r="E78" s="2953"/>
      <c r="F78" s="3734"/>
      <c r="G78" s="3759"/>
      <c r="H78" s="3759"/>
      <c r="I78" s="3759"/>
      <c r="J78" s="3141"/>
      <c r="K78" s="3142"/>
      <c r="L78" s="3142"/>
      <c r="M78" s="3087"/>
      <c r="N78" s="3141"/>
      <c r="O78" s="3141"/>
      <c r="P78" s="3092"/>
      <c r="Q78" s="3142"/>
      <c r="R78" s="3072"/>
      <c r="S78" s="2855"/>
      <c r="T78" s="3142"/>
      <c r="U78" s="3737"/>
      <c r="V78" s="3744"/>
      <c r="W78" s="3758"/>
      <c r="X78" s="3743"/>
      <c r="Y78" s="3042"/>
      <c r="Z78" s="3034"/>
      <c r="AA78" s="3141"/>
      <c r="AB78" s="3763"/>
      <c r="AC78" s="3156"/>
      <c r="AD78" s="3746"/>
      <c r="AE78" s="3156"/>
      <c r="AF78" s="3156"/>
      <c r="AG78" s="3156"/>
      <c r="AH78" s="3156"/>
      <c r="AI78" s="3156"/>
      <c r="AJ78" s="3055"/>
      <c r="AK78" s="3055"/>
      <c r="AL78" s="3156"/>
      <c r="AM78" s="3156"/>
      <c r="AN78" s="3156"/>
      <c r="AO78" s="2174"/>
      <c r="AP78" s="2174"/>
      <c r="AQ78" s="3156"/>
      <c r="AR78" s="2174"/>
      <c r="AS78" s="3156"/>
      <c r="AT78" s="2174"/>
      <c r="AU78" s="3156"/>
      <c r="AV78" s="2174"/>
      <c r="AW78" s="3156"/>
      <c r="AX78" s="2174"/>
      <c r="AY78" s="3156"/>
      <c r="AZ78" s="2174"/>
      <c r="BA78" s="3156"/>
      <c r="BB78" s="2174"/>
      <c r="BC78" s="3156"/>
      <c r="BD78" s="2174"/>
      <c r="BE78" s="3751"/>
      <c r="BF78" s="3746"/>
      <c r="BG78" s="3156"/>
      <c r="BH78" s="3156"/>
      <c r="BI78" s="3041"/>
      <c r="BJ78" s="3041"/>
      <c r="BK78" s="3072"/>
      <c r="BL78" s="3156"/>
      <c r="BM78" s="3156"/>
      <c r="BN78" s="3690"/>
      <c r="BO78" s="3690"/>
      <c r="BP78" s="3690"/>
      <c r="BQ78" s="3756"/>
      <c r="BR78" s="3753"/>
    </row>
    <row r="79" spans="1:70" ht="33.75" customHeight="1" x14ac:dyDescent="0.2">
      <c r="A79" s="3667"/>
      <c r="B79" s="3668"/>
      <c r="C79" s="3271"/>
      <c r="D79" s="3733"/>
      <c r="E79" s="2953"/>
      <c r="F79" s="3734"/>
      <c r="G79" s="3759"/>
      <c r="H79" s="3759"/>
      <c r="I79" s="3759"/>
      <c r="J79" s="3141"/>
      <c r="K79" s="3142"/>
      <c r="L79" s="3142"/>
      <c r="M79" s="3087"/>
      <c r="N79" s="3141"/>
      <c r="O79" s="3141"/>
      <c r="P79" s="3092"/>
      <c r="Q79" s="3142"/>
      <c r="R79" s="3072"/>
      <c r="S79" s="2855"/>
      <c r="T79" s="3142"/>
      <c r="U79" s="3737"/>
      <c r="V79" s="3738" t="s">
        <v>2219</v>
      </c>
      <c r="W79" s="3758">
        <v>12000000</v>
      </c>
      <c r="X79" s="3741"/>
      <c r="Y79" s="3040"/>
      <c r="Z79" s="3034"/>
      <c r="AA79" s="3141"/>
      <c r="AB79" s="3763"/>
      <c r="AC79" s="3156"/>
      <c r="AD79" s="3746"/>
      <c r="AE79" s="3156"/>
      <c r="AF79" s="3156"/>
      <c r="AG79" s="3156"/>
      <c r="AH79" s="3156"/>
      <c r="AI79" s="3156"/>
      <c r="AJ79" s="3055"/>
      <c r="AK79" s="3055"/>
      <c r="AL79" s="3156"/>
      <c r="AM79" s="3156"/>
      <c r="AN79" s="3156"/>
      <c r="AO79" s="2174"/>
      <c r="AP79" s="2174"/>
      <c r="AQ79" s="3156"/>
      <c r="AR79" s="2174"/>
      <c r="AS79" s="3156"/>
      <c r="AT79" s="2174"/>
      <c r="AU79" s="3156"/>
      <c r="AV79" s="2174"/>
      <c r="AW79" s="3156"/>
      <c r="AX79" s="2174"/>
      <c r="AY79" s="3156"/>
      <c r="AZ79" s="2174"/>
      <c r="BA79" s="3156"/>
      <c r="BB79" s="2174"/>
      <c r="BC79" s="3156"/>
      <c r="BD79" s="2174"/>
      <c r="BE79" s="3751"/>
      <c r="BF79" s="3746"/>
      <c r="BG79" s="3156"/>
      <c r="BH79" s="3156"/>
      <c r="BI79" s="3041"/>
      <c r="BJ79" s="3041"/>
      <c r="BK79" s="3072"/>
      <c r="BL79" s="3156"/>
      <c r="BM79" s="3156"/>
      <c r="BN79" s="3690"/>
      <c r="BO79" s="3690"/>
      <c r="BP79" s="3690"/>
      <c r="BQ79" s="3756"/>
      <c r="BR79" s="3753"/>
    </row>
    <row r="80" spans="1:70" ht="54" customHeight="1" x14ac:dyDescent="0.2">
      <c r="A80" s="3667"/>
      <c r="B80" s="3668"/>
      <c r="C80" s="3271"/>
      <c r="D80" s="3733"/>
      <c r="E80" s="2953"/>
      <c r="F80" s="3734"/>
      <c r="G80" s="3759"/>
      <c r="H80" s="3759"/>
      <c r="I80" s="3759"/>
      <c r="J80" s="3141"/>
      <c r="K80" s="3142"/>
      <c r="L80" s="3142"/>
      <c r="M80" s="3087"/>
      <c r="N80" s="3141"/>
      <c r="O80" s="3141"/>
      <c r="P80" s="3092"/>
      <c r="Q80" s="3142"/>
      <c r="R80" s="3072"/>
      <c r="S80" s="2855"/>
      <c r="T80" s="3142"/>
      <c r="U80" s="3737"/>
      <c r="V80" s="3744"/>
      <c r="W80" s="3758"/>
      <c r="X80" s="3743"/>
      <c r="Y80" s="3042"/>
      <c r="Z80" s="3034"/>
      <c r="AA80" s="3141"/>
      <c r="AB80" s="3763"/>
      <c r="AC80" s="3156"/>
      <c r="AD80" s="3746"/>
      <c r="AE80" s="3156"/>
      <c r="AF80" s="3156"/>
      <c r="AG80" s="3156"/>
      <c r="AH80" s="3156"/>
      <c r="AI80" s="3156"/>
      <c r="AJ80" s="3055"/>
      <c r="AK80" s="3055"/>
      <c r="AL80" s="3156"/>
      <c r="AM80" s="3156"/>
      <c r="AN80" s="3156"/>
      <c r="AO80" s="2174"/>
      <c r="AP80" s="2174"/>
      <c r="AQ80" s="3156"/>
      <c r="AR80" s="2174"/>
      <c r="AS80" s="3156"/>
      <c r="AT80" s="2174"/>
      <c r="AU80" s="3156"/>
      <c r="AV80" s="2174"/>
      <c r="AW80" s="3156"/>
      <c r="AX80" s="2174"/>
      <c r="AY80" s="3156"/>
      <c r="AZ80" s="2174"/>
      <c r="BA80" s="3156"/>
      <c r="BB80" s="2174"/>
      <c r="BC80" s="3156"/>
      <c r="BD80" s="2174"/>
      <c r="BE80" s="3751"/>
      <c r="BF80" s="3746"/>
      <c r="BG80" s="3156"/>
      <c r="BH80" s="3156"/>
      <c r="BI80" s="3041"/>
      <c r="BJ80" s="3041"/>
      <c r="BK80" s="3072"/>
      <c r="BL80" s="3156"/>
      <c r="BM80" s="3156"/>
      <c r="BN80" s="3690"/>
      <c r="BO80" s="3690"/>
      <c r="BP80" s="3690"/>
      <c r="BQ80" s="3756"/>
      <c r="BR80" s="3753"/>
    </row>
    <row r="81" spans="1:72" ht="42.75" customHeight="1" x14ac:dyDescent="0.2">
      <c r="A81" s="3667"/>
      <c r="B81" s="3668"/>
      <c r="C81" s="3271"/>
      <c r="D81" s="3733"/>
      <c r="E81" s="2953"/>
      <c r="F81" s="3734"/>
      <c r="G81" s="3759"/>
      <c r="H81" s="3759"/>
      <c r="I81" s="3759"/>
      <c r="J81" s="3141"/>
      <c r="K81" s="3142"/>
      <c r="L81" s="3142"/>
      <c r="M81" s="3087"/>
      <c r="N81" s="3141"/>
      <c r="O81" s="3141"/>
      <c r="P81" s="3092"/>
      <c r="Q81" s="3142"/>
      <c r="R81" s="3072"/>
      <c r="S81" s="2855"/>
      <c r="T81" s="3142"/>
      <c r="U81" s="3737"/>
      <c r="V81" s="3738" t="s">
        <v>2220</v>
      </c>
      <c r="W81" s="3758">
        <v>4740000</v>
      </c>
      <c r="X81" s="3741">
        <v>4740000</v>
      </c>
      <c r="Y81" s="3040">
        <v>4740000</v>
      </c>
      <c r="Z81" s="3034"/>
      <c r="AA81" s="3141"/>
      <c r="AB81" s="3763"/>
      <c r="AC81" s="3156"/>
      <c r="AD81" s="3746"/>
      <c r="AE81" s="3156"/>
      <c r="AF81" s="3156"/>
      <c r="AG81" s="3156"/>
      <c r="AH81" s="3156"/>
      <c r="AI81" s="3156"/>
      <c r="AJ81" s="3055"/>
      <c r="AK81" s="3055"/>
      <c r="AL81" s="3156"/>
      <c r="AM81" s="3156"/>
      <c r="AN81" s="3156"/>
      <c r="AO81" s="2174"/>
      <c r="AP81" s="2174"/>
      <c r="AQ81" s="3156"/>
      <c r="AR81" s="2174"/>
      <c r="AS81" s="3156"/>
      <c r="AT81" s="2174"/>
      <c r="AU81" s="3156"/>
      <c r="AV81" s="2174"/>
      <c r="AW81" s="3156"/>
      <c r="AX81" s="2174"/>
      <c r="AY81" s="3156"/>
      <c r="AZ81" s="2174"/>
      <c r="BA81" s="3156"/>
      <c r="BB81" s="2174"/>
      <c r="BC81" s="3156"/>
      <c r="BD81" s="2174"/>
      <c r="BE81" s="3751"/>
      <c r="BF81" s="3746"/>
      <c r="BG81" s="3156"/>
      <c r="BH81" s="3156"/>
      <c r="BI81" s="3041"/>
      <c r="BJ81" s="3041"/>
      <c r="BK81" s="3072"/>
      <c r="BL81" s="3156"/>
      <c r="BM81" s="3156"/>
      <c r="BN81" s="3690"/>
      <c r="BO81" s="3690"/>
      <c r="BP81" s="3690"/>
      <c r="BQ81" s="3756"/>
      <c r="BR81" s="3753"/>
    </row>
    <row r="82" spans="1:72" ht="33.75" customHeight="1" x14ac:dyDescent="0.2">
      <c r="A82" s="3667"/>
      <c r="B82" s="3668"/>
      <c r="C82" s="3271"/>
      <c r="D82" s="3733"/>
      <c r="E82" s="2953"/>
      <c r="F82" s="3734"/>
      <c r="G82" s="3759"/>
      <c r="H82" s="3759"/>
      <c r="I82" s="3759"/>
      <c r="J82" s="3141"/>
      <c r="K82" s="3142"/>
      <c r="L82" s="3142"/>
      <c r="M82" s="3087"/>
      <c r="N82" s="3141"/>
      <c r="O82" s="3141"/>
      <c r="P82" s="3092"/>
      <c r="Q82" s="3142"/>
      <c r="R82" s="3072"/>
      <c r="S82" s="2855"/>
      <c r="T82" s="3142"/>
      <c r="U82" s="3737"/>
      <c r="V82" s="3744"/>
      <c r="W82" s="3758"/>
      <c r="X82" s="3743"/>
      <c r="Y82" s="3042"/>
      <c r="Z82" s="3034"/>
      <c r="AA82" s="3141"/>
      <c r="AB82" s="3763"/>
      <c r="AC82" s="3156"/>
      <c r="AD82" s="3746"/>
      <c r="AE82" s="3156"/>
      <c r="AF82" s="3156"/>
      <c r="AG82" s="3156"/>
      <c r="AH82" s="3156"/>
      <c r="AI82" s="3156"/>
      <c r="AJ82" s="3055"/>
      <c r="AK82" s="3055"/>
      <c r="AL82" s="3156"/>
      <c r="AM82" s="3156"/>
      <c r="AN82" s="3156"/>
      <c r="AO82" s="2174"/>
      <c r="AP82" s="2174"/>
      <c r="AQ82" s="3156"/>
      <c r="AR82" s="2174"/>
      <c r="AS82" s="3156"/>
      <c r="AT82" s="2174"/>
      <c r="AU82" s="3156"/>
      <c r="AV82" s="2174"/>
      <c r="AW82" s="3156"/>
      <c r="AX82" s="2174"/>
      <c r="AY82" s="3156"/>
      <c r="AZ82" s="2174"/>
      <c r="BA82" s="3156"/>
      <c r="BB82" s="2174"/>
      <c r="BC82" s="3156"/>
      <c r="BD82" s="2174"/>
      <c r="BE82" s="3751"/>
      <c r="BF82" s="3746"/>
      <c r="BG82" s="3156"/>
      <c r="BH82" s="3156"/>
      <c r="BI82" s="3041"/>
      <c r="BJ82" s="3041"/>
      <c r="BK82" s="3072"/>
      <c r="BL82" s="3156"/>
      <c r="BM82" s="3156"/>
      <c r="BN82" s="3690"/>
      <c r="BO82" s="3690"/>
      <c r="BP82" s="3690"/>
      <c r="BQ82" s="3756"/>
      <c r="BR82" s="3753"/>
    </row>
    <row r="83" spans="1:72" ht="33.75" customHeight="1" x14ac:dyDescent="0.2">
      <c r="A83" s="3667"/>
      <c r="B83" s="3668"/>
      <c r="C83" s="3271"/>
      <c r="D83" s="3733"/>
      <c r="E83" s="2953"/>
      <c r="F83" s="3734"/>
      <c r="G83" s="3759"/>
      <c r="H83" s="3759"/>
      <c r="I83" s="3759"/>
      <c r="J83" s="3141"/>
      <c r="K83" s="3142"/>
      <c r="L83" s="3142"/>
      <c r="M83" s="3087"/>
      <c r="N83" s="3141"/>
      <c r="O83" s="3141"/>
      <c r="P83" s="3092"/>
      <c r="Q83" s="3142"/>
      <c r="R83" s="3072"/>
      <c r="S83" s="2855"/>
      <c r="T83" s="3142"/>
      <c r="U83" s="3737"/>
      <c r="V83" s="3738" t="s">
        <v>2221</v>
      </c>
      <c r="W83" s="3758">
        <v>22500000</v>
      </c>
      <c r="X83" s="3741">
        <v>17915000</v>
      </c>
      <c r="Y83" s="3040">
        <v>3583000</v>
      </c>
      <c r="Z83" s="3034"/>
      <c r="AA83" s="3141"/>
      <c r="AB83" s="3763"/>
      <c r="AC83" s="3156"/>
      <c r="AD83" s="3746"/>
      <c r="AE83" s="3156"/>
      <c r="AF83" s="3156"/>
      <c r="AG83" s="3156"/>
      <c r="AH83" s="3156"/>
      <c r="AI83" s="3156"/>
      <c r="AJ83" s="3055"/>
      <c r="AK83" s="3055"/>
      <c r="AL83" s="3156"/>
      <c r="AM83" s="3156"/>
      <c r="AN83" s="3156"/>
      <c r="AO83" s="2174"/>
      <c r="AP83" s="2174"/>
      <c r="AQ83" s="3156"/>
      <c r="AR83" s="2174"/>
      <c r="AS83" s="3156"/>
      <c r="AT83" s="2174"/>
      <c r="AU83" s="3156"/>
      <c r="AV83" s="2174"/>
      <c r="AW83" s="3156"/>
      <c r="AX83" s="2174"/>
      <c r="AY83" s="3156"/>
      <c r="AZ83" s="2174"/>
      <c r="BA83" s="3156"/>
      <c r="BB83" s="2174"/>
      <c r="BC83" s="3156"/>
      <c r="BD83" s="2174"/>
      <c r="BE83" s="3751"/>
      <c r="BF83" s="3746"/>
      <c r="BG83" s="3156"/>
      <c r="BH83" s="3156"/>
      <c r="BI83" s="3041"/>
      <c r="BJ83" s="3041"/>
      <c r="BK83" s="3072"/>
      <c r="BL83" s="3156"/>
      <c r="BM83" s="3156"/>
      <c r="BN83" s="3690"/>
      <c r="BO83" s="3690"/>
      <c r="BP83" s="3690"/>
      <c r="BQ83" s="3756"/>
      <c r="BR83" s="3753"/>
    </row>
    <row r="84" spans="1:72" ht="33.75" customHeight="1" x14ac:dyDescent="0.2">
      <c r="A84" s="3667"/>
      <c r="B84" s="3668"/>
      <c r="C84" s="3271"/>
      <c r="D84" s="3733"/>
      <c r="E84" s="2953"/>
      <c r="F84" s="3734"/>
      <c r="G84" s="3759"/>
      <c r="H84" s="3759"/>
      <c r="I84" s="3759"/>
      <c r="J84" s="3081"/>
      <c r="K84" s="3079"/>
      <c r="L84" s="3079"/>
      <c r="M84" s="3088"/>
      <c r="N84" s="3081"/>
      <c r="O84" s="3081"/>
      <c r="P84" s="3094"/>
      <c r="Q84" s="3079"/>
      <c r="R84" s="3158"/>
      <c r="S84" s="2856"/>
      <c r="T84" s="3079"/>
      <c r="U84" s="3765"/>
      <c r="V84" s="3744"/>
      <c r="W84" s="3758"/>
      <c r="X84" s="3743"/>
      <c r="Y84" s="3042"/>
      <c r="Z84" s="3035"/>
      <c r="AA84" s="3081"/>
      <c r="AB84" s="3764"/>
      <c r="AC84" s="3157"/>
      <c r="AD84" s="3747"/>
      <c r="AE84" s="3157"/>
      <c r="AF84" s="3157"/>
      <c r="AG84" s="3157"/>
      <c r="AH84" s="3157"/>
      <c r="AI84" s="3157"/>
      <c r="AJ84" s="3188"/>
      <c r="AK84" s="3188"/>
      <c r="AL84" s="3157"/>
      <c r="AM84" s="3157"/>
      <c r="AN84" s="3157"/>
      <c r="AO84" s="82"/>
      <c r="AP84" s="82"/>
      <c r="AQ84" s="3157"/>
      <c r="AR84" s="82"/>
      <c r="AS84" s="3157"/>
      <c r="AT84" s="82"/>
      <c r="AU84" s="3157"/>
      <c r="AV84" s="82"/>
      <c r="AW84" s="3157"/>
      <c r="AX84" s="82"/>
      <c r="AY84" s="3157"/>
      <c r="AZ84" s="82"/>
      <c r="BA84" s="3157"/>
      <c r="BB84" s="82"/>
      <c r="BC84" s="3157"/>
      <c r="BD84" s="82"/>
      <c r="BE84" s="3085"/>
      <c r="BF84" s="3747"/>
      <c r="BG84" s="3157"/>
      <c r="BH84" s="3156"/>
      <c r="BI84" s="3042"/>
      <c r="BJ84" s="3042"/>
      <c r="BK84" s="3158"/>
      <c r="BL84" s="3157"/>
      <c r="BM84" s="3157"/>
      <c r="BN84" s="3691"/>
      <c r="BO84" s="3691"/>
      <c r="BP84" s="3691"/>
      <c r="BQ84" s="3757"/>
      <c r="BR84" s="3754"/>
    </row>
    <row r="85" spans="1:72" ht="27" customHeight="1" x14ac:dyDescent="0.2">
      <c r="A85" s="3667"/>
      <c r="B85" s="3668"/>
      <c r="C85" s="3271"/>
      <c r="D85" s="3733"/>
      <c r="E85" s="2953"/>
      <c r="F85" s="3734"/>
      <c r="G85" s="2151">
        <v>13</v>
      </c>
      <c r="H85" s="2152" t="s">
        <v>2222</v>
      </c>
      <c r="I85" s="692"/>
      <c r="J85" s="692"/>
      <c r="K85" s="692"/>
      <c r="L85" s="692"/>
      <c r="M85" s="692"/>
      <c r="N85" s="692"/>
      <c r="O85" s="692"/>
      <c r="P85" s="692"/>
      <c r="Q85" s="693"/>
      <c r="R85" s="692"/>
      <c r="S85" s="692"/>
      <c r="T85" s="692"/>
      <c r="U85" s="692"/>
      <c r="V85" s="692"/>
      <c r="W85" s="692"/>
      <c r="X85" s="692"/>
      <c r="Y85" s="692"/>
      <c r="Z85" s="692"/>
      <c r="AA85" s="694"/>
      <c r="AB85" s="694"/>
      <c r="AC85" s="694"/>
      <c r="AD85" s="694"/>
      <c r="AE85" s="694"/>
      <c r="AF85" s="694"/>
      <c r="AG85" s="694"/>
      <c r="AH85" s="694"/>
      <c r="AI85" s="694"/>
      <c r="AJ85" s="694"/>
      <c r="AK85" s="694"/>
      <c r="AL85" s="694"/>
      <c r="AM85" s="694"/>
      <c r="AN85" s="694"/>
      <c r="AO85" s="694"/>
      <c r="AP85" s="694"/>
      <c r="AQ85" s="694"/>
      <c r="AR85" s="694"/>
      <c r="AS85" s="694"/>
      <c r="AT85" s="694"/>
      <c r="AU85" s="694"/>
      <c r="AV85" s="694"/>
      <c r="AW85" s="694"/>
      <c r="AX85" s="694"/>
      <c r="AY85" s="694"/>
      <c r="AZ85" s="694"/>
      <c r="BA85" s="694"/>
      <c r="BB85" s="694"/>
      <c r="BC85" s="694"/>
      <c r="BD85" s="694"/>
      <c r="BE85" s="694"/>
      <c r="BF85" s="694"/>
      <c r="BG85" s="694"/>
      <c r="BH85" s="692"/>
      <c r="BI85" s="692"/>
      <c r="BJ85" s="692"/>
      <c r="BK85" s="692"/>
      <c r="BL85" s="692"/>
      <c r="BM85" s="692"/>
      <c r="BN85" s="692"/>
      <c r="BO85" s="692"/>
      <c r="BP85" s="692"/>
      <c r="BQ85" s="692"/>
      <c r="BR85" s="2153"/>
    </row>
    <row r="86" spans="1:72" ht="49.5" customHeight="1" x14ac:dyDescent="0.2">
      <c r="A86" s="3667"/>
      <c r="B86" s="3668"/>
      <c r="C86" s="3271"/>
      <c r="D86" s="3733"/>
      <c r="E86" s="2953"/>
      <c r="F86" s="3734"/>
      <c r="G86" s="3730"/>
      <c r="H86" s="3731"/>
      <c r="I86" s="3732"/>
      <c r="J86" s="2708">
        <v>53</v>
      </c>
      <c r="K86" s="3080" t="s">
        <v>2223</v>
      </c>
      <c r="L86" s="3080" t="s">
        <v>2224</v>
      </c>
      <c r="M86" s="3080">
        <v>1</v>
      </c>
      <c r="N86" s="3487">
        <v>0.7</v>
      </c>
      <c r="O86" s="3080" t="s">
        <v>2225</v>
      </c>
      <c r="P86" s="3080" t="s">
        <v>2226</v>
      </c>
      <c r="Q86" s="3078" t="s">
        <v>2227</v>
      </c>
      <c r="R86" s="3728">
        <f>SUM(W86:W91)/S86</f>
        <v>1</v>
      </c>
      <c r="S86" s="3767">
        <f>SUM(W86:W91)</f>
        <v>1431890390</v>
      </c>
      <c r="T86" s="3080" t="s">
        <v>2228</v>
      </c>
      <c r="U86" s="3054" t="s">
        <v>2229</v>
      </c>
      <c r="V86" s="3096" t="s">
        <v>2230</v>
      </c>
      <c r="W86" s="2175">
        <f>+'[2]Metas y Proyectos'!O36</f>
        <v>248604326</v>
      </c>
      <c r="X86" s="2175">
        <v>183820611</v>
      </c>
      <c r="Y86" s="2175">
        <v>162574611</v>
      </c>
      <c r="Z86" s="2149">
        <v>20</v>
      </c>
      <c r="AA86" s="2176" t="s">
        <v>86</v>
      </c>
      <c r="AB86" s="3761">
        <v>294321</v>
      </c>
      <c r="AC86" s="3685">
        <v>88296</v>
      </c>
      <c r="AD86" s="3766">
        <v>283947</v>
      </c>
      <c r="AE86" s="3685">
        <v>85184</v>
      </c>
      <c r="AF86" s="3685">
        <v>135754</v>
      </c>
      <c r="AG86" s="3685">
        <v>40726</v>
      </c>
      <c r="AH86" s="3685">
        <v>44640</v>
      </c>
      <c r="AI86" s="3685">
        <v>13392</v>
      </c>
      <c r="AJ86" s="3769">
        <v>308178</v>
      </c>
      <c r="AK86" s="3769">
        <v>92453</v>
      </c>
      <c r="AL86" s="3685">
        <v>89696</v>
      </c>
      <c r="AM86" s="3685">
        <v>26909</v>
      </c>
      <c r="AN86" s="3115"/>
      <c r="AO86" s="3115"/>
      <c r="AP86" s="3115"/>
      <c r="AQ86" s="3115"/>
      <c r="AR86" s="3115"/>
      <c r="AS86" s="3115"/>
      <c r="AT86" s="3115"/>
      <c r="AU86" s="3115"/>
      <c r="AV86" s="3115"/>
      <c r="AW86" s="3115"/>
      <c r="AX86" s="3115"/>
      <c r="AY86" s="3115"/>
      <c r="AZ86" s="3115"/>
      <c r="BA86" s="3115"/>
      <c r="BB86" s="3115"/>
      <c r="BC86" s="3115"/>
      <c r="BD86" s="3115"/>
      <c r="BE86" s="3115"/>
      <c r="BF86" s="3766">
        <f>+AB86+AD86</f>
        <v>578268</v>
      </c>
      <c r="BG86" s="3685">
        <v>173480</v>
      </c>
      <c r="BH86" s="3685">
        <v>5</v>
      </c>
      <c r="BI86" s="3740">
        <f>SUM(X86:X91)</f>
        <v>969822000</v>
      </c>
      <c r="BJ86" s="3740">
        <f>SUM(Y86:Y91)</f>
        <v>697576000</v>
      </c>
      <c r="BK86" s="3778">
        <f>BJ86/BI86</f>
        <v>0.71928250751168776</v>
      </c>
      <c r="BL86" s="3685" t="s">
        <v>2231</v>
      </c>
      <c r="BM86" s="3685" t="s">
        <v>2232</v>
      </c>
      <c r="BN86" s="3770">
        <v>43467</v>
      </c>
      <c r="BO86" s="3770">
        <v>43487</v>
      </c>
      <c r="BP86" s="3770">
        <v>43830</v>
      </c>
      <c r="BQ86" s="3771">
        <v>43830</v>
      </c>
      <c r="BR86" s="3769" t="s">
        <v>2130</v>
      </c>
    </row>
    <row r="87" spans="1:72" ht="49.5" customHeight="1" x14ac:dyDescent="0.2">
      <c r="A87" s="3667"/>
      <c r="B87" s="3668"/>
      <c r="C87" s="3271"/>
      <c r="D87" s="3733"/>
      <c r="E87" s="2953"/>
      <c r="F87" s="3734"/>
      <c r="G87" s="3733"/>
      <c r="H87" s="2953"/>
      <c r="I87" s="3734"/>
      <c r="J87" s="2709"/>
      <c r="K87" s="3141"/>
      <c r="L87" s="3141"/>
      <c r="M87" s="3141"/>
      <c r="N87" s="3488"/>
      <c r="O87" s="3141"/>
      <c r="P87" s="3141"/>
      <c r="Q87" s="3142"/>
      <c r="R87" s="3729"/>
      <c r="S87" s="3768"/>
      <c r="T87" s="3141"/>
      <c r="U87" s="3055"/>
      <c r="V87" s="3096"/>
      <c r="W87" s="2175">
        <v>413395674</v>
      </c>
      <c r="X87" s="2175">
        <v>330001389</v>
      </c>
      <c r="Y87" s="2175">
        <v>99000000</v>
      </c>
      <c r="Z87" s="2149">
        <v>52</v>
      </c>
      <c r="AA87" s="2176" t="s">
        <v>2233</v>
      </c>
      <c r="AB87" s="3761"/>
      <c r="AC87" s="3685"/>
      <c r="AD87" s="3766"/>
      <c r="AE87" s="3685"/>
      <c r="AF87" s="3685"/>
      <c r="AG87" s="3685"/>
      <c r="AH87" s="3685"/>
      <c r="AI87" s="3685"/>
      <c r="AJ87" s="3769"/>
      <c r="AK87" s="3769"/>
      <c r="AL87" s="3685"/>
      <c r="AM87" s="3685"/>
      <c r="AN87" s="3115"/>
      <c r="AO87" s="3115"/>
      <c r="AP87" s="3115"/>
      <c r="AQ87" s="3115"/>
      <c r="AR87" s="3115"/>
      <c r="AS87" s="3115"/>
      <c r="AT87" s="3115"/>
      <c r="AU87" s="3115"/>
      <c r="AV87" s="3115"/>
      <c r="AW87" s="3115"/>
      <c r="AX87" s="3115"/>
      <c r="AY87" s="3115"/>
      <c r="AZ87" s="3115"/>
      <c r="BA87" s="3115"/>
      <c r="BB87" s="3115"/>
      <c r="BC87" s="3115"/>
      <c r="BD87" s="3115"/>
      <c r="BE87" s="3115"/>
      <c r="BF87" s="3766"/>
      <c r="BG87" s="3685"/>
      <c r="BH87" s="3685"/>
      <c r="BI87" s="3740"/>
      <c r="BJ87" s="3740"/>
      <c r="BK87" s="3778"/>
      <c r="BL87" s="3685"/>
      <c r="BM87" s="3685"/>
      <c r="BN87" s="3770"/>
      <c r="BO87" s="3770"/>
      <c r="BP87" s="3770"/>
      <c r="BQ87" s="3771"/>
      <c r="BR87" s="3769"/>
    </row>
    <row r="88" spans="1:72" ht="49.5" customHeight="1" x14ac:dyDescent="0.2">
      <c r="A88" s="3667"/>
      <c r="B88" s="3668"/>
      <c r="C88" s="3271"/>
      <c r="D88" s="3733"/>
      <c r="E88" s="2953"/>
      <c r="F88" s="3734"/>
      <c r="G88" s="3733"/>
      <c r="H88" s="2953"/>
      <c r="I88" s="3734"/>
      <c r="J88" s="2709"/>
      <c r="K88" s="3141"/>
      <c r="L88" s="3141"/>
      <c r="M88" s="3141"/>
      <c r="N88" s="3488"/>
      <c r="O88" s="3141"/>
      <c r="P88" s="3141"/>
      <c r="Q88" s="3142"/>
      <c r="R88" s="3729"/>
      <c r="S88" s="3768"/>
      <c r="T88" s="3141"/>
      <c r="U88" s="3055"/>
      <c r="V88" s="3096"/>
      <c r="W88" s="2175">
        <f>+'[2]Metas y Proyectos'!O38</f>
        <v>528998611</v>
      </c>
      <c r="X88" s="2175">
        <v>383033100</v>
      </c>
      <c r="Y88" s="2175">
        <v>363034489</v>
      </c>
      <c r="Z88" s="2177">
        <v>88</v>
      </c>
      <c r="AA88" s="588" t="s">
        <v>131</v>
      </c>
      <c r="AB88" s="3761"/>
      <c r="AC88" s="3685"/>
      <c r="AD88" s="3766"/>
      <c r="AE88" s="3685"/>
      <c r="AF88" s="3685"/>
      <c r="AG88" s="3685"/>
      <c r="AH88" s="3685"/>
      <c r="AI88" s="3685"/>
      <c r="AJ88" s="3769"/>
      <c r="AK88" s="3769"/>
      <c r="AL88" s="3685"/>
      <c r="AM88" s="3685"/>
      <c r="AN88" s="3115"/>
      <c r="AO88" s="3115"/>
      <c r="AP88" s="3115"/>
      <c r="AQ88" s="3115"/>
      <c r="AR88" s="3115"/>
      <c r="AS88" s="3115"/>
      <c r="AT88" s="3115"/>
      <c r="AU88" s="3115"/>
      <c r="AV88" s="3115"/>
      <c r="AW88" s="3115"/>
      <c r="AX88" s="3115"/>
      <c r="AY88" s="3115"/>
      <c r="AZ88" s="3115"/>
      <c r="BA88" s="3115"/>
      <c r="BB88" s="3115"/>
      <c r="BC88" s="3115"/>
      <c r="BD88" s="3115"/>
      <c r="BE88" s="3115"/>
      <c r="BF88" s="3766"/>
      <c r="BG88" s="3685"/>
      <c r="BH88" s="3685"/>
      <c r="BI88" s="3740"/>
      <c r="BJ88" s="3740"/>
      <c r="BK88" s="3778"/>
      <c r="BL88" s="3685"/>
      <c r="BM88" s="3685"/>
      <c r="BN88" s="3770"/>
      <c r="BO88" s="3770"/>
      <c r="BP88" s="3770"/>
      <c r="BQ88" s="3771"/>
      <c r="BR88" s="3769"/>
    </row>
    <row r="89" spans="1:72" ht="49.5" customHeight="1" thickBot="1" x14ac:dyDescent="0.25">
      <c r="A89" s="3667"/>
      <c r="B89" s="3668"/>
      <c r="C89" s="3271"/>
      <c r="D89" s="3733"/>
      <c r="E89" s="2953"/>
      <c r="F89" s="3734"/>
      <c r="G89" s="3733"/>
      <c r="H89" s="2953"/>
      <c r="I89" s="3734"/>
      <c r="J89" s="2709"/>
      <c r="K89" s="3141"/>
      <c r="L89" s="3141"/>
      <c r="M89" s="3141"/>
      <c r="N89" s="3488"/>
      <c r="O89" s="3141"/>
      <c r="P89" s="3141"/>
      <c r="Q89" s="3142"/>
      <c r="R89" s="3729"/>
      <c r="S89" s="3768"/>
      <c r="T89" s="3141"/>
      <c r="U89" s="3055"/>
      <c r="V89" s="3760"/>
      <c r="W89" s="2178">
        <f>+'[2]Metas y Proyectos'!O39</f>
        <v>72966900</v>
      </c>
      <c r="X89" s="2178">
        <v>72966900</v>
      </c>
      <c r="Y89" s="2178">
        <v>72966900</v>
      </c>
      <c r="Z89" s="2179">
        <v>94</v>
      </c>
      <c r="AA89" s="2180" t="s">
        <v>2234</v>
      </c>
      <c r="AB89" s="3761"/>
      <c r="AC89" s="3685"/>
      <c r="AD89" s="3766"/>
      <c r="AE89" s="3685"/>
      <c r="AF89" s="3685"/>
      <c r="AG89" s="3685"/>
      <c r="AH89" s="3685"/>
      <c r="AI89" s="3685"/>
      <c r="AJ89" s="3769"/>
      <c r="AK89" s="3769"/>
      <c r="AL89" s="3685"/>
      <c r="AM89" s="3685"/>
      <c r="AN89" s="3115"/>
      <c r="AO89" s="3115"/>
      <c r="AP89" s="3115"/>
      <c r="AQ89" s="3115"/>
      <c r="AR89" s="3115"/>
      <c r="AS89" s="3115"/>
      <c r="AT89" s="3115"/>
      <c r="AU89" s="3115"/>
      <c r="AV89" s="3115"/>
      <c r="AW89" s="3115"/>
      <c r="AX89" s="3115"/>
      <c r="AY89" s="3115"/>
      <c r="AZ89" s="3115"/>
      <c r="BA89" s="3115"/>
      <c r="BB89" s="3115"/>
      <c r="BC89" s="3115"/>
      <c r="BD89" s="3115"/>
      <c r="BE89" s="3115"/>
      <c r="BF89" s="3766"/>
      <c r="BG89" s="3685"/>
      <c r="BH89" s="3685"/>
      <c r="BI89" s="3740"/>
      <c r="BJ89" s="3740"/>
      <c r="BK89" s="3778"/>
      <c r="BL89" s="3685"/>
      <c r="BM89" s="3685"/>
      <c r="BN89" s="3770"/>
      <c r="BO89" s="3770"/>
      <c r="BP89" s="3770"/>
      <c r="BQ89" s="3771"/>
      <c r="BR89" s="3769"/>
    </row>
    <row r="90" spans="1:72" s="2" customFormat="1" ht="43.5" customHeight="1" x14ac:dyDescent="0.2">
      <c r="A90" s="3667"/>
      <c r="B90" s="3668"/>
      <c r="C90" s="3271"/>
      <c r="D90" s="3733"/>
      <c r="E90" s="2953"/>
      <c r="F90" s="3734"/>
      <c r="G90" s="3733"/>
      <c r="H90" s="2953"/>
      <c r="I90" s="3734"/>
      <c r="J90" s="2709"/>
      <c r="K90" s="3141"/>
      <c r="L90" s="3141"/>
      <c r="M90" s="3141"/>
      <c r="N90" s="3488"/>
      <c r="O90" s="3141"/>
      <c r="P90" s="3141"/>
      <c r="Q90" s="3142"/>
      <c r="R90" s="3729"/>
      <c r="S90" s="3768"/>
      <c r="T90" s="3141"/>
      <c r="U90" s="3055"/>
      <c r="V90" s="3096" t="s">
        <v>2235</v>
      </c>
      <c r="W90" s="3772">
        <v>167924879</v>
      </c>
      <c r="X90" s="3740"/>
      <c r="Y90" s="3740"/>
      <c r="Z90" s="3774">
        <v>52</v>
      </c>
      <c r="AA90" s="3776" t="s">
        <v>2233</v>
      </c>
      <c r="AB90" s="3761"/>
      <c r="AC90" s="3685"/>
      <c r="AD90" s="3766"/>
      <c r="AE90" s="3685"/>
      <c r="AF90" s="3685"/>
      <c r="AG90" s="3685"/>
      <c r="AH90" s="3685"/>
      <c r="AI90" s="3685"/>
      <c r="AJ90" s="3769"/>
      <c r="AK90" s="3769"/>
      <c r="AL90" s="3685"/>
      <c r="AM90" s="3685"/>
      <c r="AN90" s="3115"/>
      <c r="AO90" s="3115"/>
      <c r="AP90" s="3115"/>
      <c r="AQ90" s="3115"/>
      <c r="AR90" s="3115"/>
      <c r="AS90" s="3115"/>
      <c r="AT90" s="3115"/>
      <c r="AU90" s="3115"/>
      <c r="AV90" s="3115"/>
      <c r="AW90" s="3115"/>
      <c r="AX90" s="3115"/>
      <c r="AY90" s="3115"/>
      <c r="AZ90" s="3115"/>
      <c r="BA90" s="3115"/>
      <c r="BB90" s="3115"/>
      <c r="BC90" s="3115"/>
      <c r="BD90" s="3115"/>
      <c r="BE90" s="3115"/>
      <c r="BF90" s="3766"/>
      <c r="BG90" s="3685"/>
      <c r="BH90" s="3685"/>
      <c r="BI90" s="3740"/>
      <c r="BJ90" s="3740"/>
      <c r="BK90" s="3778"/>
      <c r="BL90" s="3685"/>
      <c r="BM90" s="3685"/>
      <c r="BN90" s="3770"/>
      <c r="BO90" s="3770"/>
      <c r="BP90" s="3770"/>
      <c r="BQ90" s="3771"/>
      <c r="BR90" s="3769"/>
      <c r="BS90" s="920"/>
      <c r="BT90" s="920"/>
    </row>
    <row r="91" spans="1:72" s="2" customFormat="1" ht="59.25" customHeight="1" x14ac:dyDescent="0.2">
      <c r="A91" s="3667"/>
      <c r="B91" s="3668"/>
      <c r="C91" s="3271"/>
      <c r="D91" s="3733"/>
      <c r="E91" s="2953"/>
      <c r="F91" s="3734"/>
      <c r="G91" s="3733"/>
      <c r="H91" s="2953"/>
      <c r="I91" s="3734"/>
      <c r="J91" s="2709"/>
      <c r="K91" s="3141"/>
      <c r="L91" s="3141"/>
      <c r="M91" s="3141"/>
      <c r="N91" s="3488"/>
      <c r="O91" s="3141"/>
      <c r="P91" s="3141"/>
      <c r="Q91" s="3142"/>
      <c r="R91" s="3729"/>
      <c r="S91" s="3768"/>
      <c r="T91" s="3141"/>
      <c r="U91" s="3055"/>
      <c r="V91" s="3078"/>
      <c r="W91" s="3773"/>
      <c r="X91" s="3040"/>
      <c r="Y91" s="3040"/>
      <c r="Z91" s="3775"/>
      <c r="AA91" s="3777"/>
      <c r="AB91" s="3762"/>
      <c r="AC91" s="3155"/>
      <c r="AD91" s="3745"/>
      <c r="AE91" s="3155"/>
      <c r="AF91" s="3155"/>
      <c r="AG91" s="3155"/>
      <c r="AH91" s="3155"/>
      <c r="AI91" s="3155"/>
      <c r="AJ91" s="3054"/>
      <c r="AK91" s="3054"/>
      <c r="AL91" s="3155"/>
      <c r="AM91" s="3155"/>
      <c r="AN91" s="3487"/>
      <c r="AO91" s="3487"/>
      <c r="AP91" s="3487"/>
      <c r="AQ91" s="3487"/>
      <c r="AR91" s="3487"/>
      <c r="AS91" s="3487"/>
      <c r="AT91" s="3487"/>
      <c r="AU91" s="3487"/>
      <c r="AV91" s="3487"/>
      <c r="AW91" s="3487"/>
      <c r="AX91" s="3487"/>
      <c r="AY91" s="3487"/>
      <c r="AZ91" s="3487"/>
      <c r="BA91" s="3487"/>
      <c r="BB91" s="3487"/>
      <c r="BC91" s="3487"/>
      <c r="BD91" s="3487"/>
      <c r="BE91" s="3487"/>
      <c r="BF91" s="3745"/>
      <c r="BG91" s="3155"/>
      <c r="BH91" s="3155"/>
      <c r="BI91" s="3040"/>
      <c r="BJ91" s="3040"/>
      <c r="BK91" s="3071"/>
      <c r="BL91" s="3155"/>
      <c r="BM91" s="3155"/>
      <c r="BN91" s="3689"/>
      <c r="BO91" s="3689"/>
      <c r="BP91" s="3689"/>
      <c r="BQ91" s="3755"/>
      <c r="BR91" s="3054"/>
      <c r="BS91" s="920"/>
      <c r="BT91" s="920"/>
    </row>
    <row r="92" spans="1:72" s="2" customFormat="1" ht="27" customHeight="1" x14ac:dyDescent="0.25">
      <c r="A92" s="2181"/>
      <c r="B92" s="2182"/>
      <c r="C92" s="2182"/>
      <c r="D92" s="2182"/>
      <c r="E92" s="2182"/>
      <c r="F92" s="2182"/>
      <c r="G92" s="2182"/>
      <c r="H92" s="2182"/>
      <c r="I92" s="2182"/>
      <c r="J92" s="2182"/>
      <c r="K92" s="2183"/>
      <c r="L92" s="2184"/>
      <c r="M92" s="2184"/>
      <c r="N92" s="2184"/>
      <c r="O92" s="2184"/>
      <c r="P92" s="2184"/>
      <c r="Q92" s="2185" t="s">
        <v>104</v>
      </c>
      <c r="R92" s="2186"/>
      <c r="S92" s="2187">
        <f>SUM(S13:S91)</f>
        <v>2910880390</v>
      </c>
      <c r="T92" s="2188"/>
      <c r="U92" s="2183"/>
      <c r="V92" s="2189"/>
      <c r="W92" s="2187">
        <f>SUM(W13:W91)</f>
        <v>2910880390</v>
      </c>
      <c r="X92" s="2190">
        <f>SUM(X13:X91)</f>
        <v>1885812000</v>
      </c>
      <c r="Y92" s="2190">
        <f>SUM(Y13:Y91)</f>
        <v>1295619000</v>
      </c>
      <c r="Z92" s="2191"/>
      <c r="AA92" s="2183"/>
      <c r="AB92" s="2192"/>
      <c r="AC92" s="2192"/>
      <c r="AD92" s="2192"/>
      <c r="AE92" s="2192"/>
      <c r="AF92" s="2182"/>
      <c r="AG92" s="2182"/>
      <c r="AH92" s="2182"/>
      <c r="AI92" s="2182"/>
      <c r="AJ92" s="2182"/>
      <c r="AK92" s="2182"/>
      <c r="AL92" s="2182"/>
      <c r="AM92" s="2182"/>
      <c r="AN92" s="2182"/>
      <c r="AO92" s="2182"/>
      <c r="AP92" s="2182"/>
      <c r="AQ92" s="2182"/>
      <c r="AR92" s="2182"/>
      <c r="AS92" s="2182"/>
      <c r="AT92" s="2182"/>
      <c r="AU92" s="2182"/>
      <c r="AV92" s="2182"/>
      <c r="AW92" s="2182"/>
      <c r="AX92" s="2182"/>
      <c r="AY92" s="2182"/>
      <c r="AZ92" s="2182"/>
      <c r="BA92" s="2182"/>
      <c r="BB92" s="2182"/>
      <c r="BC92" s="2182"/>
      <c r="BD92" s="2182"/>
      <c r="BE92" s="2182"/>
      <c r="BF92" s="2192"/>
      <c r="BG92" s="2192"/>
      <c r="BH92" s="2192"/>
      <c r="BI92" s="2193">
        <f>SUM(BI13:BI91)</f>
        <v>1885812000</v>
      </c>
      <c r="BJ92" s="2193">
        <f>SUM(BJ13:BJ91)</f>
        <v>1295619000</v>
      </c>
      <c r="BK92" s="2192"/>
      <c r="BL92" s="2192"/>
      <c r="BM92" s="2192"/>
      <c r="BN92" s="2194"/>
      <c r="BO92" s="2194"/>
      <c r="BP92" s="2194"/>
      <c r="BQ92" s="2194"/>
      <c r="BR92" s="2195"/>
    </row>
    <row r="95" spans="1:72" s="2" customFormat="1" ht="43.5" customHeight="1" x14ac:dyDescent="0.2">
      <c r="A95" s="657"/>
      <c r="B95" s="657"/>
      <c r="C95" s="657"/>
      <c r="D95" s="657"/>
      <c r="E95" s="657"/>
      <c r="F95" s="657"/>
      <c r="G95" s="657"/>
      <c r="H95" s="657"/>
      <c r="I95" s="657"/>
      <c r="J95" s="657"/>
      <c r="K95" s="657"/>
      <c r="L95" s="657"/>
      <c r="M95" s="657"/>
      <c r="N95" s="659"/>
      <c r="O95" s="657"/>
      <c r="P95" s="657"/>
      <c r="Q95" s="1310"/>
      <c r="R95" s="657"/>
      <c r="S95" s="2196"/>
      <c r="T95" s="657"/>
      <c r="U95" s="657"/>
      <c r="V95" s="657"/>
      <c r="W95" s="2197"/>
      <c r="X95" s="2197"/>
      <c r="Y95" s="2197"/>
      <c r="Z95" s="657"/>
      <c r="AA95" s="1841"/>
      <c r="AB95" s="659"/>
      <c r="AC95" s="659"/>
      <c r="AD95" s="659"/>
      <c r="AE95" s="659"/>
      <c r="AF95" s="659"/>
      <c r="AG95" s="659"/>
      <c r="AH95" s="659"/>
      <c r="AI95" s="659"/>
      <c r="AJ95" s="659"/>
      <c r="AK95" s="659"/>
      <c r="AL95" s="659"/>
      <c r="AM95" s="659"/>
      <c r="AN95" s="659"/>
      <c r="AO95" s="659"/>
      <c r="AP95" s="659"/>
      <c r="AQ95" s="659"/>
      <c r="AR95" s="659"/>
      <c r="AS95" s="659"/>
      <c r="AT95" s="659"/>
      <c r="AU95" s="659"/>
      <c r="AV95" s="659"/>
      <c r="AW95" s="659"/>
      <c r="AX95" s="659"/>
      <c r="AY95" s="659"/>
      <c r="AZ95" s="659"/>
      <c r="BA95" s="659"/>
      <c r="BB95" s="659"/>
      <c r="BC95" s="659"/>
      <c r="BD95" s="659"/>
      <c r="BE95" s="659"/>
      <c r="BF95" s="659"/>
      <c r="BG95" s="659"/>
      <c r="BH95" s="659"/>
      <c r="BI95" s="2197"/>
      <c r="BJ95" s="2197"/>
      <c r="BK95" s="2198"/>
      <c r="BL95" s="659"/>
      <c r="BM95" s="2199"/>
      <c r="BN95" s="659"/>
      <c r="BO95" s="659"/>
      <c r="BP95" s="659"/>
      <c r="BQ95" s="659"/>
      <c r="BR95" s="659"/>
      <c r="BS95" s="920"/>
      <c r="BT95" s="920"/>
    </row>
    <row r="96" spans="1:72" s="2" customFormat="1" ht="43.5" customHeight="1" x14ac:dyDescent="0.2">
      <c r="A96" s="2200"/>
      <c r="B96" s="920"/>
      <c r="C96" s="920"/>
      <c r="D96" s="2201"/>
      <c r="E96" s="2201"/>
      <c r="F96" s="2201"/>
      <c r="G96" s="2201"/>
      <c r="H96" s="2201"/>
      <c r="I96" s="2201"/>
      <c r="J96" s="2201"/>
      <c r="K96" s="918"/>
      <c r="L96" s="913"/>
      <c r="M96" s="913"/>
      <c r="N96" s="913"/>
      <c r="O96" s="913"/>
      <c r="P96" s="913"/>
      <c r="Q96" s="912"/>
      <c r="R96" s="1790"/>
      <c r="S96" s="2202"/>
      <c r="T96" s="918"/>
      <c r="U96" s="918"/>
      <c r="V96" s="918"/>
      <c r="W96" s="915"/>
      <c r="X96" s="915"/>
      <c r="Y96" s="915"/>
      <c r="Z96" s="917"/>
      <c r="AA96" s="918"/>
      <c r="AB96" s="2203"/>
      <c r="AC96" s="2203"/>
      <c r="AD96" s="2203"/>
      <c r="AE96" s="2203"/>
      <c r="AF96" s="920"/>
      <c r="AG96" s="920"/>
      <c r="AH96" s="920"/>
      <c r="AI96" s="920"/>
      <c r="AJ96" s="920"/>
      <c r="AK96" s="920"/>
      <c r="AL96" s="920"/>
      <c r="AM96" s="920"/>
      <c r="AN96" s="920"/>
      <c r="AO96" s="920"/>
      <c r="AP96" s="920"/>
      <c r="AQ96" s="920"/>
      <c r="AR96" s="920"/>
      <c r="AS96" s="920"/>
      <c r="AT96" s="920"/>
      <c r="AU96" s="920"/>
      <c r="AV96" s="920"/>
      <c r="AW96" s="920"/>
      <c r="AX96" s="920"/>
      <c r="AY96" s="920"/>
      <c r="AZ96" s="920"/>
      <c r="BA96" s="920"/>
      <c r="BB96" s="920"/>
      <c r="BC96" s="920"/>
      <c r="BD96" s="920"/>
      <c r="BE96" s="920"/>
      <c r="BF96" s="2203"/>
      <c r="BG96" s="2203"/>
      <c r="BH96" s="2203"/>
      <c r="BI96" s="2203"/>
      <c r="BJ96" s="2203"/>
      <c r="BK96" s="2203"/>
      <c r="BL96" s="2203"/>
      <c r="BM96" s="2203"/>
      <c r="BN96" s="2204"/>
      <c r="BO96" s="2204"/>
      <c r="BP96" s="2204"/>
      <c r="BQ96" s="2204"/>
      <c r="BR96" s="911"/>
      <c r="BS96" s="920"/>
      <c r="BT96" s="920"/>
    </row>
    <row r="97" spans="1:72" s="2" customFormat="1" ht="43.5" customHeight="1" x14ac:dyDescent="0.25">
      <c r="A97" s="2200"/>
      <c r="B97" s="920"/>
      <c r="C97" s="920"/>
      <c r="D97" s="2735" t="s">
        <v>2236</v>
      </c>
      <c r="E97" s="2735"/>
      <c r="F97" s="2735"/>
      <c r="G97" s="2735"/>
      <c r="H97" s="2735"/>
      <c r="I97" s="2735"/>
      <c r="J97" s="2735"/>
      <c r="K97" s="918"/>
      <c r="L97" s="913"/>
      <c r="M97" s="913"/>
      <c r="N97" s="913"/>
      <c r="O97" s="913"/>
      <c r="P97" s="913"/>
      <c r="Q97" s="912"/>
      <c r="R97" s="1790"/>
      <c r="S97" s="2202"/>
      <c r="T97" s="918"/>
      <c r="U97" s="918"/>
      <c r="V97" s="918"/>
      <c r="W97" s="915"/>
      <c r="X97" s="915"/>
      <c r="Y97" s="915"/>
      <c r="Z97" s="917"/>
      <c r="AA97" s="918"/>
      <c r="AB97" s="2203"/>
      <c r="AC97" s="2203"/>
      <c r="AD97" s="2203"/>
      <c r="AE97" s="2203"/>
      <c r="AF97" s="920"/>
      <c r="AG97" s="920"/>
      <c r="AH97" s="920"/>
      <c r="AI97" s="920"/>
      <c r="AJ97" s="920"/>
      <c r="AK97" s="920"/>
      <c r="AL97" s="920"/>
      <c r="AM97" s="920"/>
      <c r="AN97" s="920"/>
      <c r="AO97" s="920"/>
      <c r="AP97" s="920"/>
      <c r="AQ97" s="920"/>
      <c r="AR97" s="920"/>
      <c r="AS97" s="920"/>
      <c r="AT97" s="920"/>
      <c r="AU97" s="920"/>
      <c r="AV97" s="920"/>
      <c r="AW97" s="920"/>
      <c r="AX97" s="920"/>
      <c r="AY97" s="920"/>
      <c r="AZ97" s="920"/>
      <c r="BA97" s="920"/>
      <c r="BB97" s="920"/>
      <c r="BC97" s="920"/>
      <c r="BD97" s="920"/>
      <c r="BE97" s="920"/>
      <c r="BF97" s="2203"/>
      <c r="BG97" s="2203"/>
      <c r="BH97" s="2203"/>
      <c r="BI97" s="2203"/>
      <c r="BJ97" s="2203"/>
      <c r="BK97" s="2203"/>
      <c r="BL97" s="2203"/>
      <c r="BM97" s="2203"/>
      <c r="BN97" s="2204"/>
      <c r="BO97" s="2204"/>
      <c r="BP97" s="2204"/>
      <c r="BQ97" s="2204"/>
      <c r="BR97" s="911"/>
      <c r="BS97" s="920"/>
      <c r="BT97" s="920"/>
    </row>
    <row r="98" spans="1:72" ht="15.75" x14ac:dyDescent="0.25">
      <c r="A98" s="2200"/>
      <c r="B98" s="920"/>
      <c r="C98" s="920"/>
      <c r="D98" s="924" t="s">
        <v>2237</v>
      </c>
      <c r="E98" s="924"/>
      <c r="F98" s="924"/>
      <c r="G98" s="920"/>
      <c r="H98" s="920"/>
      <c r="I98" s="920"/>
      <c r="J98" s="920"/>
      <c r="K98" s="918"/>
      <c r="L98" s="913"/>
      <c r="M98" s="913"/>
      <c r="N98" s="913"/>
      <c r="O98" s="913"/>
      <c r="P98" s="913"/>
      <c r="Q98" s="912"/>
      <c r="R98" s="1790"/>
      <c r="S98" s="2202"/>
      <c r="T98" s="918"/>
      <c r="U98" s="918"/>
      <c r="V98" s="918"/>
      <c r="W98" s="915"/>
      <c r="X98" s="915"/>
      <c r="Y98" s="915"/>
      <c r="Z98" s="917"/>
      <c r="AA98" s="918"/>
      <c r="AB98" s="2203"/>
      <c r="AC98" s="2203"/>
      <c r="AD98" s="2203"/>
      <c r="AE98" s="2203"/>
      <c r="AF98" s="920"/>
      <c r="AG98" s="920"/>
      <c r="AH98" s="920"/>
      <c r="AI98" s="920"/>
      <c r="AJ98" s="920"/>
      <c r="AK98" s="920"/>
      <c r="AL98" s="920"/>
      <c r="AM98" s="920"/>
      <c r="AN98" s="920"/>
      <c r="AO98" s="920"/>
      <c r="AP98" s="920"/>
      <c r="AQ98" s="920"/>
      <c r="AR98" s="920"/>
      <c r="AS98" s="920"/>
      <c r="AT98" s="920"/>
      <c r="AU98" s="920"/>
      <c r="AV98" s="920"/>
      <c r="AW98" s="920"/>
      <c r="AX98" s="920"/>
      <c r="AY98" s="920"/>
      <c r="AZ98" s="920"/>
      <c r="BA98" s="920"/>
      <c r="BB98" s="920"/>
      <c r="BC98" s="920"/>
      <c r="BD98" s="920"/>
      <c r="BE98" s="920"/>
      <c r="BF98" s="2203"/>
      <c r="BG98" s="2203"/>
      <c r="BH98" s="2203"/>
      <c r="BI98" s="2203"/>
      <c r="BJ98" s="2203"/>
      <c r="BK98" s="2203"/>
      <c r="BL98" s="2203"/>
      <c r="BM98" s="2203"/>
      <c r="BN98" s="2204"/>
      <c r="BO98" s="2204"/>
      <c r="BP98" s="2204"/>
      <c r="BQ98" s="2204"/>
      <c r="BR98" s="911"/>
    </row>
    <row r="102" spans="1:72" ht="11.25" customHeight="1" x14ac:dyDescent="0.2"/>
  </sheetData>
  <sheetProtection password="CBEB" sheet="1" objects="1" scenarios="1"/>
  <mergeCells count="618">
    <mergeCell ref="D97:J97"/>
    <mergeCell ref="BP86:BP91"/>
    <mergeCell ref="BQ86:BQ91"/>
    <mergeCell ref="BR86:BR91"/>
    <mergeCell ref="V90:V91"/>
    <mergeCell ref="W90:W91"/>
    <mergeCell ref="X90:X91"/>
    <mergeCell ref="Y90:Y91"/>
    <mergeCell ref="Z90:Z91"/>
    <mergeCell ref="AA90:AA91"/>
    <mergeCell ref="BJ86:BJ91"/>
    <mergeCell ref="BK86:BK91"/>
    <mergeCell ref="BL86:BL91"/>
    <mergeCell ref="BM86:BM91"/>
    <mergeCell ref="BN86:BN91"/>
    <mergeCell ref="BO86:BO91"/>
    <mergeCell ref="BD86:BD91"/>
    <mergeCell ref="BE86:BE91"/>
    <mergeCell ref="BF86:BF91"/>
    <mergeCell ref="BG86:BG91"/>
    <mergeCell ref="BH86:BH91"/>
    <mergeCell ref="BI86:BI91"/>
    <mergeCell ref="AX86:AX91"/>
    <mergeCell ref="AY86:AY91"/>
    <mergeCell ref="AZ86:AZ91"/>
    <mergeCell ref="BA86:BA91"/>
    <mergeCell ref="BB86:BB91"/>
    <mergeCell ref="BC86:BC91"/>
    <mergeCell ref="AR86:AR91"/>
    <mergeCell ref="AS86:AS91"/>
    <mergeCell ref="AT86:AT91"/>
    <mergeCell ref="AU86:AU91"/>
    <mergeCell ref="AV86:AV91"/>
    <mergeCell ref="AW86:AW91"/>
    <mergeCell ref="AL86:AL91"/>
    <mergeCell ref="AM86:AM91"/>
    <mergeCell ref="AN86:AN91"/>
    <mergeCell ref="AO86:AO91"/>
    <mergeCell ref="AP86:AP91"/>
    <mergeCell ref="AQ86:AQ91"/>
    <mergeCell ref="AF86:AF91"/>
    <mergeCell ref="AG86:AG91"/>
    <mergeCell ref="AH86:AH91"/>
    <mergeCell ref="AI86:AI91"/>
    <mergeCell ref="AJ86:AJ91"/>
    <mergeCell ref="AK86:AK91"/>
    <mergeCell ref="AC86:AC91"/>
    <mergeCell ref="AD86:AD91"/>
    <mergeCell ref="AE86:AE91"/>
    <mergeCell ref="O86:O91"/>
    <mergeCell ref="P86:P91"/>
    <mergeCell ref="Q86:Q91"/>
    <mergeCell ref="R86:R91"/>
    <mergeCell ref="S86:S91"/>
    <mergeCell ref="T86:T91"/>
    <mergeCell ref="G73:I84"/>
    <mergeCell ref="J73:J84"/>
    <mergeCell ref="K73:K84"/>
    <mergeCell ref="L73:L84"/>
    <mergeCell ref="M73:M84"/>
    <mergeCell ref="N73:N84"/>
    <mergeCell ref="U86:U91"/>
    <mergeCell ref="V86:V89"/>
    <mergeCell ref="AB86:AB91"/>
    <mergeCell ref="AA73:AA84"/>
    <mergeCell ref="AB73:AB84"/>
    <mergeCell ref="O73:O84"/>
    <mergeCell ref="P73:P84"/>
    <mergeCell ref="Q73:Q84"/>
    <mergeCell ref="R73:R84"/>
    <mergeCell ref="S73:S84"/>
    <mergeCell ref="T73:T84"/>
    <mergeCell ref="U73:U84"/>
    <mergeCell ref="AC73:AC84"/>
    <mergeCell ref="AD73:AD84"/>
    <mergeCell ref="AE73:AE84"/>
    <mergeCell ref="AF73:AF84"/>
    <mergeCell ref="V73:V74"/>
    <mergeCell ref="V83:V84"/>
    <mergeCell ref="W83:W84"/>
    <mergeCell ref="X83:X84"/>
    <mergeCell ref="Y83:Y84"/>
    <mergeCell ref="W73:W74"/>
    <mergeCell ref="X73:X74"/>
    <mergeCell ref="Y73:Y74"/>
    <mergeCell ref="Z73:Z84"/>
    <mergeCell ref="W77:W78"/>
    <mergeCell ref="X77:X78"/>
    <mergeCell ref="Y77:Y78"/>
    <mergeCell ref="V79:V80"/>
    <mergeCell ref="W79:W80"/>
    <mergeCell ref="X79:X80"/>
    <mergeCell ref="Y79:Y80"/>
    <mergeCell ref="V81:V82"/>
    <mergeCell ref="W81:W82"/>
    <mergeCell ref="X81:X82"/>
    <mergeCell ref="Y81:Y82"/>
    <mergeCell ref="BN73:BN84"/>
    <mergeCell ref="BO73:BO84"/>
    <mergeCell ref="AU73:AU84"/>
    <mergeCell ref="AW73:AW84"/>
    <mergeCell ref="AG73:AG84"/>
    <mergeCell ref="AH73:AH84"/>
    <mergeCell ref="AI73:AI84"/>
    <mergeCell ref="AJ73:AJ84"/>
    <mergeCell ref="AK73:AK84"/>
    <mergeCell ref="AL73:AL84"/>
    <mergeCell ref="BP73:BP84"/>
    <mergeCell ref="BQ73:BQ84"/>
    <mergeCell ref="BR73:BR84"/>
    <mergeCell ref="V75:V76"/>
    <mergeCell ref="W75:W76"/>
    <mergeCell ref="X75:X76"/>
    <mergeCell ref="Y75:Y76"/>
    <mergeCell ref="V77:V78"/>
    <mergeCell ref="BH73:BH84"/>
    <mergeCell ref="BI73:BI84"/>
    <mergeCell ref="BJ73:BJ84"/>
    <mergeCell ref="BK73:BK84"/>
    <mergeCell ref="BL73:BL84"/>
    <mergeCell ref="BM73:BM84"/>
    <mergeCell ref="AY73:AY84"/>
    <mergeCell ref="BA73:BA84"/>
    <mergeCell ref="BC73:BC84"/>
    <mergeCell ref="BE73:BE84"/>
    <mergeCell ref="BF73:BF84"/>
    <mergeCell ref="BG73:BG84"/>
    <mergeCell ref="AM73:AM84"/>
    <mergeCell ref="AN73:AN84"/>
    <mergeCell ref="AQ73:AQ84"/>
    <mergeCell ref="AS73:AS84"/>
    <mergeCell ref="BM67:BM71"/>
    <mergeCell ref="BN67:BN71"/>
    <mergeCell ref="BO67:BO71"/>
    <mergeCell ref="BP67:BP71"/>
    <mergeCell ref="BQ67:BQ71"/>
    <mergeCell ref="BR67:BR71"/>
    <mergeCell ref="BG67:BG71"/>
    <mergeCell ref="BH67:BH71"/>
    <mergeCell ref="BI67:BI71"/>
    <mergeCell ref="BJ67:BJ71"/>
    <mergeCell ref="BK67:BK71"/>
    <mergeCell ref="BL67:BL71"/>
    <mergeCell ref="AW67:AW71"/>
    <mergeCell ref="AY67:AY71"/>
    <mergeCell ref="BA67:BA71"/>
    <mergeCell ref="BC67:BC71"/>
    <mergeCell ref="BE67:BE71"/>
    <mergeCell ref="BF67:BF71"/>
    <mergeCell ref="AL67:AL71"/>
    <mergeCell ref="AM67:AM71"/>
    <mergeCell ref="AN67:AN71"/>
    <mergeCell ref="AQ67:AQ71"/>
    <mergeCell ref="AS67:AS71"/>
    <mergeCell ref="AU67:AU71"/>
    <mergeCell ref="AF67:AF71"/>
    <mergeCell ref="AG67:AG71"/>
    <mergeCell ref="AH67:AH71"/>
    <mergeCell ref="AI67:AI71"/>
    <mergeCell ref="AJ67:AJ71"/>
    <mergeCell ref="AK67:AK71"/>
    <mergeCell ref="Z67:Z71"/>
    <mergeCell ref="AA67:AA71"/>
    <mergeCell ref="AB67:AB71"/>
    <mergeCell ref="AC67:AC71"/>
    <mergeCell ref="AD67:AD71"/>
    <mergeCell ref="AE67:AE71"/>
    <mergeCell ref="T67:T71"/>
    <mergeCell ref="U67:U71"/>
    <mergeCell ref="V67:V69"/>
    <mergeCell ref="W67:W69"/>
    <mergeCell ref="X67:X69"/>
    <mergeCell ref="Y67:Y69"/>
    <mergeCell ref="V70:V71"/>
    <mergeCell ref="W70:W71"/>
    <mergeCell ref="X70:X71"/>
    <mergeCell ref="Y70:Y71"/>
    <mergeCell ref="N67:N69"/>
    <mergeCell ref="O67:O71"/>
    <mergeCell ref="P67:P71"/>
    <mergeCell ref="Q67:Q71"/>
    <mergeCell ref="R67:R69"/>
    <mergeCell ref="S67:S71"/>
    <mergeCell ref="N70:N71"/>
    <mergeCell ref="R70:R71"/>
    <mergeCell ref="D66:F91"/>
    <mergeCell ref="G67:I71"/>
    <mergeCell ref="J67:J69"/>
    <mergeCell ref="K67:K69"/>
    <mergeCell ref="L67:L69"/>
    <mergeCell ref="M67:M69"/>
    <mergeCell ref="J70:J71"/>
    <mergeCell ref="K70:K71"/>
    <mergeCell ref="L70:L71"/>
    <mergeCell ref="M70:M71"/>
    <mergeCell ref="G86:I91"/>
    <mergeCell ref="J86:J91"/>
    <mergeCell ref="K86:K91"/>
    <mergeCell ref="L86:L91"/>
    <mergeCell ref="M86:M91"/>
    <mergeCell ref="N86:N91"/>
    <mergeCell ref="R62:R64"/>
    <mergeCell ref="N59:N61"/>
    <mergeCell ref="R59:R61"/>
    <mergeCell ref="U59:U64"/>
    <mergeCell ref="O56:O64"/>
    <mergeCell ref="P56:P64"/>
    <mergeCell ref="Q56:Q64"/>
    <mergeCell ref="R56:R58"/>
    <mergeCell ref="S56:S64"/>
    <mergeCell ref="T56:T64"/>
    <mergeCell ref="U56:U58"/>
    <mergeCell ref="BP56:BP64"/>
    <mergeCell ref="BQ56:BQ64"/>
    <mergeCell ref="BR56:BR64"/>
    <mergeCell ref="W57:W58"/>
    <mergeCell ref="X57:X58"/>
    <mergeCell ref="Y57:Y58"/>
    <mergeCell ref="Z57:Z58"/>
    <mergeCell ref="AA57:AA58"/>
    <mergeCell ref="Y59:Y61"/>
    <mergeCell ref="Z59:Z61"/>
    <mergeCell ref="BJ56:BJ64"/>
    <mergeCell ref="BK56:BK64"/>
    <mergeCell ref="BL56:BL64"/>
    <mergeCell ref="BM56:BM64"/>
    <mergeCell ref="BN56:BN64"/>
    <mergeCell ref="BO56:BO64"/>
    <mergeCell ref="BD56:BD64"/>
    <mergeCell ref="BE56:BE64"/>
    <mergeCell ref="BF56:BF64"/>
    <mergeCell ref="BG56:BG64"/>
    <mergeCell ref="BH56:BH64"/>
    <mergeCell ref="BI56:BI64"/>
    <mergeCell ref="AX56:AX64"/>
    <mergeCell ref="AY56:AY64"/>
    <mergeCell ref="AZ56:AZ64"/>
    <mergeCell ref="BA56:BA64"/>
    <mergeCell ref="BB56:BB64"/>
    <mergeCell ref="BC56:BC64"/>
    <mergeCell ref="AR56:AR64"/>
    <mergeCell ref="AS56:AS64"/>
    <mergeCell ref="AT56:AT64"/>
    <mergeCell ref="AU56:AU64"/>
    <mergeCell ref="AV56:AV64"/>
    <mergeCell ref="AW56:AW64"/>
    <mergeCell ref="AL56:AL64"/>
    <mergeCell ref="AM56:AM64"/>
    <mergeCell ref="AN56:AN64"/>
    <mergeCell ref="AO56:AO64"/>
    <mergeCell ref="AP56:AP64"/>
    <mergeCell ref="AQ56:AQ64"/>
    <mergeCell ref="AF56:AF64"/>
    <mergeCell ref="AG56:AG64"/>
    <mergeCell ref="AH56:AH64"/>
    <mergeCell ref="AI56:AI64"/>
    <mergeCell ref="AJ56:AJ64"/>
    <mergeCell ref="AK56:AK64"/>
    <mergeCell ref="V56:V58"/>
    <mergeCell ref="AB56:AB64"/>
    <mergeCell ref="AC56:AC64"/>
    <mergeCell ref="AD56:AD64"/>
    <mergeCell ref="AE56:AE64"/>
    <mergeCell ref="AA59:AA61"/>
    <mergeCell ref="Y62:Y64"/>
    <mergeCell ref="Z62:Z64"/>
    <mergeCell ref="AA62:AA64"/>
    <mergeCell ref="V59:V61"/>
    <mergeCell ref="W59:W61"/>
    <mergeCell ref="X59:X61"/>
    <mergeCell ref="V62:V64"/>
    <mergeCell ref="W62:W64"/>
    <mergeCell ref="X62:X64"/>
    <mergeCell ref="G56:I64"/>
    <mergeCell ref="J56:J58"/>
    <mergeCell ref="K56:K58"/>
    <mergeCell ref="L56:L58"/>
    <mergeCell ref="M56:M58"/>
    <mergeCell ref="N56:N58"/>
    <mergeCell ref="J59:J61"/>
    <mergeCell ref="K59:K61"/>
    <mergeCell ref="L59:L61"/>
    <mergeCell ref="M59:M61"/>
    <mergeCell ref="J62:J64"/>
    <mergeCell ref="K62:K64"/>
    <mergeCell ref="L62:L64"/>
    <mergeCell ref="M62:M64"/>
    <mergeCell ref="N62:N64"/>
    <mergeCell ref="Y52:Y54"/>
    <mergeCell ref="Z52:Z54"/>
    <mergeCell ref="AA52:AA54"/>
    <mergeCell ref="J51:J54"/>
    <mergeCell ref="K51:K54"/>
    <mergeCell ref="L51:L54"/>
    <mergeCell ref="M51:M54"/>
    <mergeCell ref="N51:N54"/>
    <mergeCell ref="R51:R54"/>
    <mergeCell ref="Y47:Y50"/>
    <mergeCell ref="Z47:Z50"/>
    <mergeCell ref="AA47:AA50"/>
    <mergeCell ref="J47:J50"/>
    <mergeCell ref="K47:K50"/>
    <mergeCell ref="L47:L50"/>
    <mergeCell ref="M47:M50"/>
    <mergeCell ref="N47:N50"/>
    <mergeCell ref="R47:R50"/>
    <mergeCell ref="Y39:Y42"/>
    <mergeCell ref="Z39:Z42"/>
    <mergeCell ref="AA39:AA42"/>
    <mergeCell ref="V43:V46"/>
    <mergeCell ref="W43:W46"/>
    <mergeCell ref="X43:X46"/>
    <mergeCell ref="Y43:Y46"/>
    <mergeCell ref="Z43:Z46"/>
    <mergeCell ref="AA43:AA46"/>
    <mergeCell ref="N39:N46"/>
    <mergeCell ref="R39:R46"/>
    <mergeCell ref="U39:U54"/>
    <mergeCell ref="V39:V42"/>
    <mergeCell ref="W39:W42"/>
    <mergeCell ref="T33:T54"/>
    <mergeCell ref="U33:U38"/>
    <mergeCell ref="V33:V35"/>
    <mergeCell ref="X39:X42"/>
    <mergeCell ref="V47:V50"/>
    <mergeCell ref="W47:W50"/>
    <mergeCell ref="X47:X50"/>
    <mergeCell ref="V51:V54"/>
    <mergeCell ref="W52:W54"/>
    <mergeCell ref="X52:X54"/>
    <mergeCell ref="BO33:BO54"/>
    <mergeCell ref="BP33:BP54"/>
    <mergeCell ref="BQ33:BQ54"/>
    <mergeCell ref="BR33:BR54"/>
    <mergeCell ref="W34:W35"/>
    <mergeCell ref="X34:X35"/>
    <mergeCell ref="Y34:Y35"/>
    <mergeCell ref="Z34:Z35"/>
    <mergeCell ref="AA34:AA35"/>
    <mergeCell ref="W36:W38"/>
    <mergeCell ref="BI33:BI54"/>
    <mergeCell ref="BJ33:BJ54"/>
    <mergeCell ref="BK33:BK54"/>
    <mergeCell ref="BL33:BL54"/>
    <mergeCell ref="BM33:BM54"/>
    <mergeCell ref="BN33:BN54"/>
    <mergeCell ref="BC33:BC54"/>
    <mergeCell ref="BD33:BD54"/>
    <mergeCell ref="BE33:BE54"/>
    <mergeCell ref="BF33:BF54"/>
    <mergeCell ref="BG33:BG54"/>
    <mergeCell ref="BH33:BH54"/>
    <mergeCell ref="AW33:AW54"/>
    <mergeCell ref="AX33:AX54"/>
    <mergeCell ref="AY33:AY54"/>
    <mergeCell ref="AZ33:AZ54"/>
    <mergeCell ref="BA33:BA54"/>
    <mergeCell ref="BB33:BB54"/>
    <mergeCell ref="AQ33:AQ54"/>
    <mergeCell ref="AR33:AR54"/>
    <mergeCell ref="AS33:AS54"/>
    <mergeCell ref="AT33:AT54"/>
    <mergeCell ref="AU33:AU54"/>
    <mergeCell ref="AV33:AV54"/>
    <mergeCell ref="AK33:AK54"/>
    <mergeCell ref="AL33:AL54"/>
    <mergeCell ref="AM33:AM54"/>
    <mergeCell ref="AN33:AN54"/>
    <mergeCell ref="AO33:AO54"/>
    <mergeCell ref="AP33:AP54"/>
    <mergeCell ref="AE33:AE54"/>
    <mergeCell ref="AF33:AF54"/>
    <mergeCell ref="AG33:AG54"/>
    <mergeCell ref="AH33:AH54"/>
    <mergeCell ref="AI33:AI54"/>
    <mergeCell ref="AJ33:AJ54"/>
    <mergeCell ref="AA29:AA31"/>
    <mergeCell ref="G33:I54"/>
    <mergeCell ref="J33:J38"/>
    <mergeCell ref="K33:K38"/>
    <mergeCell ref="L33:L38"/>
    <mergeCell ref="M33:M38"/>
    <mergeCell ref="AB33:AB54"/>
    <mergeCell ref="AC33:AC54"/>
    <mergeCell ref="AD33:AD54"/>
    <mergeCell ref="V36:V38"/>
    <mergeCell ref="X36:X38"/>
    <mergeCell ref="Y36:Y38"/>
    <mergeCell ref="Z36:Z38"/>
    <mergeCell ref="N33:N38"/>
    <mergeCell ref="O33:O54"/>
    <mergeCell ref="P33:P54"/>
    <mergeCell ref="Q33:Q54"/>
    <mergeCell ref="R33:R38"/>
    <mergeCell ref="S33:S54"/>
    <mergeCell ref="AA36:AA38"/>
    <mergeCell ref="J39:J46"/>
    <mergeCell ref="K39:K46"/>
    <mergeCell ref="L39:L46"/>
    <mergeCell ref="M39:M46"/>
    <mergeCell ref="Y26:Y28"/>
    <mergeCell ref="Z26:Z28"/>
    <mergeCell ref="AA26:AA28"/>
    <mergeCell ref="J29:J31"/>
    <mergeCell ref="K29:K31"/>
    <mergeCell ref="L29:L31"/>
    <mergeCell ref="M29:M31"/>
    <mergeCell ref="N29:N31"/>
    <mergeCell ref="R29:R31"/>
    <mergeCell ref="V29:V31"/>
    <mergeCell ref="J26:J28"/>
    <mergeCell ref="K26:K28"/>
    <mergeCell ref="L26:L28"/>
    <mergeCell ref="M26:M28"/>
    <mergeCell ref="N26:N28"/>
    <mergeCell ref="R26:R28"/>
    <mergeCell ref="S23:S31"/>
    <mergeCell ref="T23:T31"/>
    <mergeCell ref="U23:U25"/>
    <mergeCell ref="V23:V25"/>
    <mergeCell ref="W29:W31"/>
    <mergeCell ref="X29:X31"/>
    <mergeCell ref="Y29:Y31"/>
    <mergeCell ref="Z29:Z31"/>
    <mergeCell ref="BN23:BN31"/>
    <mergeCell ref="BO23:BO31"/>
    <mergeCell ref="BP23:BP31"/>
    <mergeCell ref="BQ23:BQ31"/>
    <mergeCell ref="BR23:BR31"/>
    <mergeCell ref="W24:W25"/>
    <mergeCell ref="X24:X25"/>
    <mergeCell ref="Y24:Y25"/>
    <mergeCell ref="Z24:Z25"/>
    <mergeCell ref="AA24:AA25"/>
    <mergeCell ref="BH23:BH31"/>
    <mergeCell ref="BI23:BI31"/>
    <mergeCell ref="BJ23:BJ31"/>
    <mergeCell ref="BK23:BK31"/>
    <mergeCell ref="BL23:BL31"/>
    <mergeCell ref="BM23:BM31"/>
    <mergeCell ref="BB23:BB31"/>
    <mergeCell ref="BC23:BC31"/>
    <mergeCell ref="BD23:BD31"/>
    <mergeCell ref="BE23:BE31"/>
    <mergeCell ref="BF23:BF31"/>
    <mergeCell ref="BG23:BG31"/>
    <mergeCell ref="AV23:AV31"/>
    <mergeCell ref="AW23:AW31"/>
    <mergeCell ref="AX23:AX31"/>
    <mergeCell ref="AY23:AY31"/>
    <mergeCell ref="AZ23:AZ31"/>
    <mergeCell ref="BA23:BA31"/>
    <mergeCell ref="AP23:AP31"/>
    <mergeCell ref="AQ23:AQ31"/>
    <mergeCell ref="AR23:AR31"/>
    <mergeCell ref="AS23:AS31"/>
    <mergeCell ref="AT23:AT31"/>
    <mergeCell ref="AU23:AU31"/>
    <mergeCell ref="AJ23:AJ31"/>
    <mergeCell ref="AK23:AK31"/>
    <mergeCell ref="AL23:AL31"/>
    <mergeCell ref="AM23:AM31"/>
    <mergeCell ref="AN23:AN31"/>
    <mergeCell ref="AO23:AO31"/>
    <mergeCell ref="AD23:AD31"/>
    <mergeCell ref="AE23:AE31"/>
    <mergeCell ref="AF23:AF31"/>
    <mergeCell ref="AG23:AG31"/>
    <mergeCell ref="AH23:AH31"/>
    <mergeCell ref="AI23:AI31"/>
    <mergeCell ref="AB23:AB31"/>
    <mergeCell ref="AC23:AC31"/>
    <mergeCell ref="U26:U31"/>
    <mergeCell ref="V26:V28"/>
    <mergeCell ref="W26:W28"/>
    <mergeCell ref="X26:X28"/>
    <mergeCell ref="AA17:AA22"/>
    <mergeCell ref="J23:J25"/>
    <mergeCell ref="K23:K25"/>
    <mergeCell ref="L23:L25"/>
    <mergeCell ref="M23:M25"/>
    <mergeCell ref="N23:N25"/>
    <mergeCell ref="O23:O31"/>
    <mergeCell ref="P23:P31"/>
    <mergeCell ref="Q23:Q31"/>
    <mergeCell ref="R23:R25"/>
    <mergeCell ref="J17:J22"/>
    <mergeCell ref="K17:K22"/>
    <mergeCell ref="L17:L22"/>
    <mergeCell ref="M17:M22"/>
    <mergeCell ref="N17:N22"/>
    <mergeCell ref="R17:R22"/>
    <mergeCell ref="U13:U22"/>
    <mergeCell ref="V13:V14"/>
    <mergeCell ref="BP13:BP22"/>
    <mergeCell ref="BQ13:BQ22"/>
    <mergeCell ref="BR13:BR22"/>
    <mergeCell ref="V15:V16"/>
    <mergeCell ref="W15:W16"/>
    <mergeCell ref="X15:X16"/>
    <mergeCell ref="Y15:Y16"/>
    <mergeCell ref="Z15:Z16"/>
    <mergeCell ref="AA15:AA16"/>
    <mergeCell ref="V17:V22"/>
    <mergeCell ref="BJ13:BJ22"/>
    <mergeCell ref="BK13:BK22"/>
    <mergeCell ref="BL13:BL22"/>
    <mergeCell ref="BM13:BM22"/>
    <mergeCell ref="BN13:BN22"/>
    <mergeCell ref="BO13:BO22"/>
    <mergeCell ref="BD13:BD22"/>
    <mergeCell ref="BE13:BE22"/>
    <mergeCell ref="BF13:BF22"/>
    <mergeCell ref="BG13:BG22"/>
    <mergeCell ref="BH13:BH22"/>
    <mergeCell ref="BI13:BI22"/>
    <mergeCell ref="AX13:AX22"/>
    <mergeCell ref="AY13:AY22"/>
    <mergeCell ref="AZ13:AZ22"/>
    <mergeCell ref="BA13:BA22"/>
    <mergeCell ref="BB13:BB22"/>
    <mergeCell ref="BC13:BC22"/>
    <mergeCell ref="AR13:AR22"/>
    <mergeCell ref="AS13:AS22"/>
    <mergeCell ref="AT13:AT22"/>
    <mergeCell ref="AU13:AU22"/>
    <mergeCell ref="AV13:AV22"/>
    <mergeCell ref="AW13:AW22"/>
    <mergeCell ref="AO13:AO22"/>
    <mergeCell ref="AP13:AP22"/>
    <mergeCell ref="AQ13:AQ22"/>
    <mergeCell ref="AF13:AF22"/>
    <mergeCell ref="AG13:AG22"/>
    <mergeCell ref="AH13:AH22"/>
    <mergeCell ref="AI13:AI22"/>
    <mergeCell ref="AJ13:AJ22"/>
    <mergeCell ref="AK13:AK22"/>
    <mergeCell ref="O13:O22"/>
    <mergeCell ref="P13:P22"/>
    <mergeCell ref="Q13:Q22"/>
    <mergeCell ref="R13:R16"/>
    <mergeCell ref="S13:S22"/>
    <mergeCell ref="T13:T22"/>
    <mergeCell ref="AL13:AL22"/>
    <mergeCell ref="AM13:AM22"/>
    <mergeCell ref="AN13:AN22"/>
    <mergeCell ref="S7:S9"/>
    <mergeCell ref="T7:T9"/>
    <mergeCell ref="U7:U9"/>
    <mergeCell ref="AB13:AB22"/>
    <mergeCell ref="AC13:AC22"/>
    <mergeCell ref="AD13:AD22"/>
    <mergeCell ref="AE13:AE22"/>
    <mergeCell ref="W17:W22"/>
    <mergeCell ref="X17:X22"/>
    <mergeCell ref="Y17:Y22"/>
    <mergeCell ref="Z17:Z22"/>
    <mergeCell ref="AB7:AD7"/>
    <mergeCell ref="V7:V9"/>
    <mergeCell ref="AF7:AK7"/>
    <mergeCell ref="AL7:AM7"/>
    <mergeCell ref="BL8:BL9"/>
    <mergeCell ref="BM8:BM9"/>
    <mergeCell ref="A11:C91"/>
    <mergeCell ref="D12:F64"/>
    <mergeCell ref="G13:I31"/>
    <mergeCell ref="J13:J16"/>
    <mergeCell ref="K13:K16"/>
    <mergeCell ref="L13:L16"/>
    <mergeCell ref="M13:M16"/>
    <mergeCell ref="N13:N16"/>
    <mergeCell ref="BB8:BC8"/>
    <mergeCell ref="BD8:BE8"/>
    <mergeCell ref="BH8:BH9"/>
    <mergeCell ref="BI8:BI9"/>
    <mergeCell ref="BJ8:BJ9"/>
    <mergeCell ref="BK8:BK9"/>
    <mergeCell ref="W7:Y8"/>
    <mergeCell ref="Z7:Z9"/>
    <mergeCell ref="AA7:AA9"/>
    <mergeCell ref="Q7:Q9"/>
    <mergeCell ref="R7:R9"/>
    <mergeCell ref="AN8:AO8"/>
    <mergeCell ref="AR8:AS8"/>
    <mergeCell ref="AN7:AY7"/>
    <mergeCell ref="AZ7:BE7"/>
    <mergeCell ref="BF7:BG8"/>
    <mergeCell ref="BH7:BM7"/>
    <mergeCell ref="BN7:BO8"/>
    <mergeCell ref="BP7:BQ8"/>
    <mergeCell ref="AT8:AU8"/>
    <mergeCell ref="AV8:AW8"/>
    <mergeCell ref="AX8:AY8"/>
    <mergeCell ref="AZ8:BA8"/>
    <mergeCell ref="J7:J9"/>
    <mergeCell ref="K7:K9"/>
    <mergeCell ref="L7:L9"/>
    <mergeCell ref="M7:N8"/>
    <mergeCell ref="O7:O9"/>
    <mergeCell ref="P7:P9"/>
    <mergeCell ref="A1:BN4"/>
    <mergeCell ref="A5:M6"/>
    <mergeCell ref="O5:BR5"/>
    <mergeCell ref="AB6:BD6"/>
    <mergeCell ref="A7:A9"/>
    <mergeCell ref="B7:C9"/>
    <mergeCell ref="D7:D9"/>
    <mergeCell ref="E7:F9"/>
    <mergeCell ref="G7:G9"/>
    <mergeCell ref="H7:I9"/>
    <mergeCell ref="BR7:BR9"/>
    <mergeCell ref="AB8:AC8"/>
    <mergeCell ref="AD8:AE8"/>
    <mergeCell ref="AF8:AG8"/>
    <mergeCell ref="AH8:AI8"/>
    <mergeCell ref="AJ8:AK8"/>
    <mergeCell ref="AL8:AM8"/>
    <mergeCell ref="AP8:AQ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CI80"/>
  <sheetViews>
    <sheetView showGridLines="0" topLeftCell="AT1" zoomScale="70" zoomScaleNormal="70" workbookViewId="0">
      <selection activeCell="BN1" sqref="BN1"/>
    </sheetView>
  </sheetViews>
  <sheetFormatPr baseColWidth="10" defaultColWidth="11.42578125" defaultRowHeight="14.25" x14ac:dyDescent="0.25"/>
  <cols>
    <col min="1" max="1" width="14" style="1481" bestFit="1" customWidth="1"/>
    <col min="2" max="2" width="25.42578125" style="1335" customWidth="1"/>
    <col min="3" max="3" width="12.28515625" style="1335" bestFit="1" customWidth="1"/>
    <col min="4" max="4" width="21.5703125" style="1335" customWidth="1"/>
    <col min="5" max="5" width="12.28515625" style="1335" bestFit="1" customWidth="1"/>
    <col min="6" max="6" width="20.85546875" style="1335" customWidth="1"/>
    <col min="7" max="7" width="9.42578125" style="659" customWidth="1"/>
    <col min="8" max="8" width="35.5703125" style="1299" customWidth="1"/>
    <col min="9" max="9" width="31" style="1268" customWidth="1"/>
    <col min="10" max="11" width="10.7109375" style="1268" customWidth="1"/>
    <col min="12" max="12" width="33.5703125" style="1268" customWidth="1"/>
    <col min="13" max="13" width="21.28515625" style="658" customWidth="1"/>
    <col min="14" max="14" width="22.140625" style="1299" customWidth="1"/>
    <col min="15" max="15" width="19" style="1483" customWidth="1"/>
    <col min="16" max="16" width="25.42578125" style="1302" customWidth="1"/>
    <col min="17" max="17" width="29.7109375" style="1299" customWidth="1"/>
    <col min="18" max="18" width="29.140625" style="1299" customWidth="1"/>
    <col min="19" max="19" width="33.5703125" style="1299" customWidth="1"/>
    <col min="20" max="22" width="25" style="1311" customWidth="1"/>
    <col min="23" max="23" width="11.7109375" style="1304" customWidth="1"/>
    <col min="24" max="24" width="17.28515625" style="658" customWidth="1"/>
    <col min="25" max="26" width="9.140625" style="1335" customWidth="1"/>
    <col min="27" max="28" width="9.7109375" style="1335" customWidth="1"/>
    <col min="29" max="30" width="9.85546875" style="1335" customWidth="1"/>
    <col min="31" max="32" width="7.28515625" style="1335" customWidth="1"/>
    <col min="33" max="34" width="10.42578125" style="1335" customWidth="1"/>
    <col min="35" max="36" width="9.42578125" style="1335" customWidth="1"/>
    <col min="37" max="54" width="7.28515625" style="1335" customWidth="1"/>
    <col min="55" max="56" width="9.85546875" style="1335" customWidth="1"/>
    <col min="57" max="57" width="13.28515625" style="1335" customWidth="1"/>
    <col min="58" max="58" width="24.28515625" style="1484" customWidth="1"/>
    <col min="59" max="59" width="23.7109375" style="1484" customWidth="1"/>
    <col min="60" max="60" width="16.7109375" style="1485" customWidth="1"/>
    <col min="61" max="61" width="16.140625" style="1335" customWidth="1"/>
    <col min="62" max="62" width="19.28515625" style="1335" customWidth="1"/>
    <col min="63" max="63" width="23.28515625" style="1308" customWidth="1"/>
    <col min="64" max="64" width="22.7109375" style="1308" customWidth="1"/>
    <col min="65" max="65" width="23.28515625" style="1486" customWidth="1"/>
    <col min="66" max="66" width="21.7109375" style="1486" customWidth="1"/>
    <col min="67" max="67" width="20.85546875" style="1310" customWidth="1"/>
    <col min="68" max="283" width="11.42578125" style="1335"/>
    <col min="284" max="284" width="13.140625" style="1335" customWidth="1"/>
    <col min="285" max="285" width="35.28515625" style="1335" customWidth="1"/>
    <col min="286" max="286" width="12.85546875" style="1335" customWidth="1"/>
    <col min="287" max="287" width="19.5703125" style="1335" customWidth="1"/>
    <col min="288" max="288" width="12.28515625" style="1335" customWidth="1"/>
    <col min="289" max="289" width="21.28515625" style="1335" customWidth="1"/>
    <col min="290" max="290" width="11.5703125" style="1335" customWidth="1"/>
    <col min="291" max="291" width="33.140625" style="1335" customWidth="1"/>
    <col min="292" max="292" width="22.7109375" style="1335" customWidth="1"/>
    <col min="293" max="293" width="10.7109375" style="1335" customWidth="1"/>
    <col min="294" max="294" width="27.7109375" style="1335" customWidth="1"/>
    <col min="295" max="295" width="21.42578125" style="1335" customWidth="1"/>
    <col min="296" max="296" width="22.140625" style="1335" customWidth="1"/>
    <col min="297" max="297" width="12.7109375" style="1335" customWidth="1"/>
    <col min="298" max="298" width="16.42578125" style="1335" customWidth="1"/>
    <col min="299" max="299" width="29.7109375" style="1335" customWidth="1"/>
    <col min="300" max="300" width="29.140625" style="1335" customWidth="1"/>
    <col min="301" max="301" width="33.5703125" style="1335" customWidth="1"/>
    <col min="302" max="302" width="25" style="1335" customWidth="1"/>
    <col min="303" max="303" width="11.7109375" style="1335" customWidth="1"/>
    <col min="304" max="304" width="17.28515625" style="1335" customWidth="1"/>
    <col min="305" max="320" width="7.28515625" style="1335" customWidth="1"/>
    <col min="321" max="322" width="13.7109375" style="1335" customWidth="1"/>
    <col min="323" max="323" width="20.85546875" style="1335" customWidth="1"/>
    <col min="324" max="539" width="11.42578125" style="1335"/>
    <col min="540" max="540" width="13.140625" style="1335" customWidth="1"/>
    <col min="541" max="541" width="35.28515625" style="1335" customWidth="1"/>
    <col min="542" max="542" width="12.85546875" style="1335" customWidth="1"/>
    <col min="543" max="543" width="19.5703125" style="1335" customWidth="1"/>
    <col min="544" max="544" width="12.28515625" style="1335" customWidth="1"/>
    <col min="545" max="545" width="21.28515625" style="1335" customWidth="1"/>
    <col min="546" max="546" width="11.5703125" style="1335" customWidth="1"/>
    <col min="547" max="547" width="33.140625" style="1335" customWidth="1"/>
    <col min="548" max="548" width="22.7109375" style="1335" customWidth="1"/>
    <col min="549" max="549" width="10.7109375" style="1335" customWidth="1"/>
    <col min="550" max="550" width="27.7109375" style="1335" customWidth="1"/>
    <col min="551" max="551" width="21.42578125" style="1335" customWidth="1"/>
    <col min="552" max="552" width="22.140625" style="1335" customWidth="1"/>
    <col min="553" max="553" width="12.7109375" style="1335" customWidth="1"/>
    <col min="554" max="554" width="16.42578125" style="1335" customWidth="1"/>
    <col min="555" max="555" width="29.7109375" style="1335" customWidth="1"/>
    <col min="556" max="556" width="29.140625" style="1335" customWidth="1"/>
    <col min="557" max="557" width="33.5703125" style="1335" customWidth="1"/>
    <col min="558" max="558" width="25" style="1335" customWidth="1"/>
    <col min="559" max="559" width="11.7109375" style="1335" customWidth="1"/>
    <col min="560" max="560" width="17.28515625" style="1335" customWidth="1"/>
    <col min="561" max="576" width="7.28515625" style="1335" customWidth="1"/>
    <col min="577" max="578" width="13.7109375" style="1335" customWidth="1"/>
    <col min="579" max="579" width="20.85546875" style="1335" customWidth="1"/>
    <col min="580" max="795" width="11.42578125" style="1335"/>
    <col min="796" max="796" width="13.140625" style="1335" customWidth="1"/>
    <col min="797" max="797" width="35.28515625" style="1335" customWidth="1"/>
    <col min="798" max="798" width="12.85546875" style="1335" customWidth="1"/>
    <col min="799" max="799" width="19.5703125" style="1335" customWidth="1"/>
    <col min="800" max="800" width="12.28515625" style="1335" customWidth="1"/>
    <col min="801" max="801" width="21.28515625" style="1335" customWidth="1"/>
    <col min="802" max="802" width="11.5703125" style="1335" customWidth="1"/>
    <col min="803" max="803" width="33.140625" style="1335" customWidth="1"/>
    <col min="804" max="804" width="22.7109375" style="1335" customWidth="1"/>
    <col min="805" max="805" width="10.7109375" style="1335" customWidth="1"/>
    <col min="806" max="806" width="27.7109375" style="1335" customWidth="1"/>
    <col min="807" max="807" width="21.42578125" style="1335" customWidth="1"/>
    <col min="808" max="808" width="22.140625" style="1335" customWidth="1"/>
    <col min="809" max="809" width="12.7109375" style="1335" customWidth="1"/>
    <col min="810" max="810" width="16.42578125" style="1335" customWidth="1"/>
    <col min="811" max="811" width="29.7109375" style="1335" customWidth="1"/>
    <col min="812" max="812" width="29.140625" style="1335" customWidth="1"/>
    <col min="813" max="813" width="33.5703125" style="1335" customWidth="1"/>
    <col min="814" max="814" width="25" style="1335" customWidth="1"/>
    <col min="815" max="815" width="11.7109375" style="1335" customWidth="1"/>
    <col min="816" max="816" width="17.28515625" style="1335" customWidth="1"/>
    <col min="817" max="832" width="7.28515625" style="1335" customWidth="1"/>
    <col min="833" max="834" width="13.7109375" style="1335" customWidth="1"/>
    <col min="835" max="835" width="20.85546875" style="1335" customWidth="1"/>
    <col min="836" max="1051" width="11.42578125" style="1335"/>
    <col min="1052" max="1052" width="13.140625" style="1335" customWidth="1"/>
    <col min="1053" max="1053" width="35.28515625" style="1335" customWidth="1"/>
    <col min="1054" max="1054" width="12.85546875" style="1335" customWidth="1"/>
    <col min="1055" max="1055" width="19.5703125" style="1335" customWidth="1"/>
    <col min="1056" max="1056" width="12.28515625" style="1335" customWidth="1"/>
    <col min="1057" max="1057" width="21.28515625" style="1335" customWidth="1"/>
    <col min="1058" max="1058" width="11.5703125" style="1335" customWidth="1"/>
    <col min="1059" max="1059" width="33.140625" style="1335" customWidth="1"/>
    <col min="1060" max="1060" width="22.7109375" style="1335" customWidth="1"/>
    <col min="1061" max="1061" width="10.7109375" style="1335" customWidth="1"/>
    <col min="1062" max="1062" width="27.7109375" style="1335" customWidth="1"/>
    <col min="1063" max="1063" width="21.42578125" style="1335" customWidth="1"/>
    <col min="1064" max="1064" width="22.140625" style="1335" customWidth="1"/>
    <col min="1065" max="1065" width="12.7109375" style="1335" customWidth="1"/>
    <col min="1066" max="1066" width="16.42578125" style="1335" customWidth="1"/>
    <col min="1067" max="1067" width="29.7109375" style="1335" customWidth="1"/>
    <col min="1068" max="1068" width="29.140625" style="1335" customWidth="1"/>
    <col min="1069" max="1069" width="33.5703125" style="1335" customWidth="1"/>
    <col min="1070" max="1070" width="25" style="1335" customWidth="1"/>
    <col min="1071" max="1071" width="11.7109375" style="1335" customWidth="1"/>
    <col min="1072" max="1072" width="17.28515625" style="1335" customWidth="1"/>
    <col min="1073" max="1088" width="7.28515625" style="1335" customWidth="1"/>
    <col min="1089" max="1090" width="13.7109375" style="1335" customWidth="1"/>
    <col min="1091" max="1091" width="20.85546875" style="1335" customWidth="1"/>
    <col min="1092" max="1307" width="11.42578125" style="1335"/>
    <col min="1308" max="1308" width="13.140625" style="1335" customWidth="1"/>
    <col min="1309" max="1309" width="35.28515625" style="1335" customWidth="1"/>
    <col min="1310" max="1310" width="12.85546875" style="1335" customWidth="1"/>
    <col min="1311" max="1311" width="19.5703125" style="1335" customWidth="1"/>
    <col min="1312" max="1312" width="12.28515625" style="1335" customWidth="1"/>
    <col min="1313" max="1313" width="21.28515625" style="1335" customWidth="1"/>
    <col min="1314" max="1314" width="11.5703125" style="1335" customWidth="1"/>
    <col min="1315" max="1315" width="33.140625" style="1335" customWidth="1"/>
    <col min="1316" max="1316" width="22.7109375" style="1335" customWidth="1"/>
    <col min="1317" max="1317" width="10.7109375" style="1335" customWidth="1"/>
    <col min="1318" max="1318" width="27.7109375" style="1335" customWidth="1"/>
    <col min="1319" max="1319" width="21.42578125" style="1335" customWidth="1"/>
    <col min="1320" max="1320" width="22.140625" style="1335" customWidth="1"/>
    <col min="1321" max="1321" width="12.7109375" style="1335" customWidth="1"/>
    <col min="1322" max="1322" width="16.42578125" style="1335" customWidth="1"/>
    <col min="1323" max="1323" width="29.7109375" style="1335" customWidth="1"/>
    <col min="1324" max="1324" width="29.140625" style="1335" customWidth="1"/>
    <col min="1325" max="1325" width="33.5703125" style="1335" customWidth="1"/>
    <col min="1326" max="1326" width="25" style="1335" customWidth="1"/>
    <col min="1327" max="1327" width="11.7109375" style="1335" customWidth="1"/>
    <col min="1328" max="1328" width="17.28515625" style="1335" customWidth="1"/>
    <col min="1329" max="1344" width="7.28515625" style="1335" customWidth="1"/>
    <col min="1345" max="1346" width="13.7109375" style="1335" customWidth="1"/>
    <col min="1347" max="1347" width="20.85546875" style="1335" customWidth="1"/>
    <col min="1348" max="1563" width="11.42578125" style="1335"/>
    <col min="1564" max="1564" width="13.140625" style="1335" customWidth="1"/>
    <col min="1565" max="1565" width="35.28515625" style="1335" customWidth="1"/>
    <col min="1566" max="1566" width="12.85546875" style="1335" customWidth="1"/>
    <col min="1567" max="1567" width="19.5703125" style="1335" customWidth="1"/>
    <col min="1568" max="1568" width="12.28515625" style="1335" customWidth="1"/>
    <col min="1569" max="1569" width="21.28515625" style="1335" customWidth="1"/>
    <col min="1570" max="1570" width="11.5703125" style="1335" customWidth="1"/>
    <col min="1571" max="1571" width="33.140625" style="1335" customWidth="1"/>
    <col min="1572" max="1572" width="22.7109375" style="1335" customWidth="1"/>
    <col min="1573" max="1573" width="10.7109375" style="1335" customWidth="1"/>
    <col min="1574" max="1574" width="27.7109375" style="1335" customWidth="1"/>
    <col min="1575" max="1575" width="21.42578125" style="1335" customWidth="1"/>
    <col min="1576" max="1576" width="22.140625" style="1335" customWidth="1"/>
    <col min="1577" max="1577" width="12.7109375" style="1335" customWidth="1"/>
    <col min="1578" max="1578" width="16.42578125" style="1335" customWidth="1"/>
    <col min="1579" max="1579" width="29.7109375" style="1335" customWidth="1"/>
    <col min="1580" max="1580" width="29.140625" style="1335" customWidth="1"/>
    <col min="1581" max="1581" width="33.5703125" style="1335" customWidth="1"/>
    <col min="1582" max="1582" width="25" style="1335" customWidth="1"/>
    <col min="1583" max="1583" width="11.7109375" style="1335" customWidth="1"/>
    <col min="1584" max="1584" width="17.28515625" style="1335" customWidth="1"/>
    <col min="1585" max="1600" width="7.28515625" style="1335" customWidth="1"/>
    <col min="1601" max="1602" width="13.7109375" style="1335" customWidth="1"/>
    <col min="1603" max="1603" width="20.85546875" style="1335" customWidth="1"/>
    <col min="1604" max="1819" width="11.42578125" style="1335"/>
    <col min="1820" max="1820" width="13.140625" style="1335" customWidth="1"/>
    <col min="1821" max="1821" width="35.28515625" style="1335" customWidth="1"/>
    <col min="1822" max="1822" width="12.85546875" style="1335" customWidth="1"/>
    <col min="1823" max="1823" width="19.5703125" style="1335" customWidth="1"/>
    <col min="1824" max="1824" width="12.28515625" style="1335" customWidth="1"/>
    <col min="1825" max="1825" width="21.28515625" style="1335" customWidth="1"/>
    <col min="1826" max="1826" width="11.5703125" style="1335" customWidth="1"/>
    <col min="1827" max="1827" width="33.140625" style="1335" customWidth="1"/>
    <col min="1828" max="1828" width="22.7109375" style="1335" customWidth="1"/>
    <col min="1829" max="1829" width="10.7109375" style="1335" customWidth="1"/>
    <col min="1830" max="1830" width="27.7109375" style="1335" customWidth="1"/>
    <col min="1831" max="1831" width="21.42578125" style="1335" customWidth="1"/>
    <col min="1832" max="1832" width="22.140625" style="1335" customWidth="1"/>
    <col min="1833" max="1833" width="12.7109375" style="1335" customWidth="1"/>
    <col min="1834" max="1834" width="16.42578125" style="1335" customWidth="1"/>
    <col min="1835" max="1835" width="29.7109375" style="1335" customWidth="1"/>
    <col min="1836" max="1836" width="29.140625" style="1335" customWidth="1"/>
    <col min="1837" max="1837" width="33.5703125" style="1335" customWidth="1"/>
    <col min="1838" max="1838" width="25" style="1335" customWidth="1"/>
    <col min="1839" max="1839" width="11.7109375" style="1335" customWidth="1"/>
    <col min="1840" max="1840" width="17.28515625" style="1335" customWidth="1"/>
    <col min="1841" max="1856" width="7.28515625" style="1335" customWidth="1"/>
    <col min="1857" max="1858" width="13.7109375" style="1335" customWidth="1"/>
    <col min="1859" max="1859" width="20.85546875" style="1335" customWidth="1"/>
    <col min="1860" max="2075" width="11.42578125" style="1335"/>
    <col min="2076" max="2076" width="13.140625" style="1335" customWidth="1"/>
    <col min="2077" max="2077" width="35.28515625" style="1335" customWidth="1"/>
    <col min="2078" max="2078" width="12.85546875" style="1335" customWidth="1"/>
    <col min="2079" max="2079" width="19.5703125" style="1335" customWidth="1"/>
    <col min="2080" max="2080" width="12.28515625" style="1335" customWidth="1"/>
    <col min="2081" max="2081" width="21.28515625" style="1335" customWidth="1"/>
    <col min="2082" max="2082" width="11.5703125" style="1335" customWidth="1"/>
    <col min="2083" max="2083" width="33.140625" style="1335" customWidth="1"/>
    <col min="2084" max="2084" width="22.7109375" style="1335" customWidth="1"/>
    <col min="2085" max="2085" width="10.7109375" style="1335" customWidth="1"/>
    <col min="2086" max="2086" width="27.7109375" style="1335" customWidth="1"/>
    <col min="2087" max="2087" width="21.42578125" style="1335" customWidth="1"/>
    <col min="2088" max="2088" width="22.140625" style="1335" customWidth="1"/>
    <col min="2089" max="2089" width="12.7109375" style="1335" customWidth="1"/>
    <col min="2090" max="2090" width="16.42578125" style="1335" customWidth="1"/>
    <col min="2091" max="2091" width="29.7109375" style="1335" customWidth="1"/>
    <col min="2092" max="2092" width="29.140625" style="1335" customWidth="1"/>
    <col min="2093" max="2093" width="33.5703125" style="1335" customWidth="1"/>
    <col min="2094" max="2094" width="25" style="1335" customWidth="1"/>
    <col min="2095" max="2095" width="11.7109375" style="1335" customWidth="1"/>
    <col min="2096" max="2096" width="17.28515625" style="1335" customWidth="1"/>
    <col min="2097" max="2112" width="7.28515625" style="1335" customWidth="1"/>
    <col min="2113" max="2114" width="13.7109375" style="1335" customWidth="1"/>
    <col min="2115" max="2115" width="20.85546875" style="1335" customWidth="1"/>
    <col min="2116" max="2331" width="11.42578125" style="1335"/>
    <col min="2332" max="2332" width="13.140625" style="1335" customWidth="1"/>
    <col min="2333" max="2333" width="35.28515625" style="1335" customWidth="1"/>
    <col min="2334" max="2334" width="12.85546875" style="1335" customWidth="1"/>
    <col min="2335" max="2335" width="19.5703125" style="1335" customWidth="1"/>
    <col min="2336" max="2336" width="12.28515625" style="1335" customWidth="1"/>
    <col min="2337" max="2337" width="21.28515625" style="1335" customWidth="1"/>
    <col min="2338" max="2338" width="11.5703125" style="1335" customWidth="1"/>
    <col min="2339" max="2339" width="33.140625" style="1335" customWidth="1"/>
    <col min="2340" max="2340" width="22.7109375" style="1335" customWidth="1"/>
    <col min="2341" max="2341" width="10.7109375" style="1335" customWidth="1"/>
    <col min="2342" max="2342" width="27.7109375" style="1335" customWidth="1"/>
    <col min="2343" max="2343" width="21.42578125" style="1335" customWidth="1"/>
    <col min="2344" max="2344" width="22.140625" style="1335" customWidth="1"/>
    <col min="2345" max="2345" width="12.7109375" style="1335" customWidth="1"/>
    <col min="2346" max="2346" width="16.42578125" style="1335" customWidth="1"/>
    <col min="2347" max="2347" width="29.7109375" style="1335" customWidth="1"/>
    <col min="2348" max="2348" width="29.140625" style="1335" customWidth="1"/>
    <col min="2349" max="2349" width="33.5703125" style="1335" customWidth="1"/>
    <col min="2350" max="2350" width="25" style="1335" customWidth="1"/>
    <col min="2351" max="2351" width="11.7109375" style="1335" customWidth="1"/>
    <col min="2352" max="2352" width="17.28515625" style="1335" customWidth="1"/>
    <col min="2353" max="2368" width="7.28515625" style="1335" customWidth="1"/>
    <col min="2369" max="2370" width="13.7109375" style="1335" customWidth="1"/>
    <col min="2371" max="2371" width="20.85546875" style="1335" customWidth="1"/>
    <col min="2372" max="2587" width="11.42578125" style="1335"/>
    <col min="2588" max="2588" width="13.140625" style="1335" customWidth="1"/>
    <col min="2589" max="2589" width="35.28515625" style="1335" customWidth="1"/>
    <col min="2590" max="2590" width="12.85546875" style="1335" customWidth="1"/>
    <col min="2591" max="2591" width="19.5703125" style="1335" customWidth="1"/>
    <col min="2592" max="2592" width="12.28515625" style="1335" customWidth="1"/>
    <col min="2593" max="2593" width="21.28515625" style="1335" customWidth="1"/>
    <col min="2594" max="2594" width="11.5703125" style="1335" customWidth="1"/>
    <col min="2595" max="2595" width="33.140625" style="1335" customWidth="1"/>
    <col min="2596" max="2596" width="22.7109375" style="1335" customWidth="1"/>
    <col min="2597" max="2597" width="10.7109375" style="1335" customWidth="1"/>
    <col min="2598" max="2598" width="27.7109375" style="1335" customWidth="1"/>
    <col min="2599" max="2599" width="21.42578125" style="1335" customWidth="1"/>
    <col min="2600" max="2600" width="22.140625" style="1335" customWidth="1"/>
    <col min="2601" max="2601" width="12.7109375" style="1335" customWidth="1"/>
    <col min="2602" max="2602" width="16.42578125" style="1335" customWidth="1"/>
    <col min="2603" max="2603" width="29.7109375" style="1335" customWidth="1"/>
    <col min="2604" max="2604" width="29.140625" style="1335" customWidth="1"/>
    <col min="2605" max="2605" width="33.5703125" style="1335" customWidth="1"/>
    <col min="2606" max="2606" width="25" style="1335" customWidth="1"/>
    <col min="2607" max="2607" width="11.7109375" style="1335" customWidth="1"/>
    <col min="2608" max="2608" width="17.28515625" style="1335" customWidth="1"/>
    <col min="2609" max="2624" width="7.28515625" style="1335" customWidth="1"/>
    <col min="2625" max="2626" width="13.7109375" style="1335" customWidth="1"/>
    <col min="2627" max="2627" width="20.85546875" style="1335" customWidth="1"/>
    <col min="2628" max="2843" width="11.42578125" style="1335"/>
    <col min="2844" max="2844" width="13.140625" style="1335" customWidth="1"/>
    <col min="2845" max="2845" width="35.28515625" style="1335" customWidth="1"/>
    <col min="2846" max="2846" width="12.85546875" style="1335" customWidth="1"/>
    <col min="2847" max="2847" width="19.5703125" style="1335" customWidth="1"/>
    <col min="2848" max="2848" width="12.28515625" style="1335" customWidth="1"/>
    <col min="2849" max="2849" width="21.28515625" style="1335" customWidth="1"/>
    <col min="2850" max="2850" width="11.5703125" style="1335" customWidth="1"/>
    <col min="2851" max="2851" width="33.140625" style="1335" customWidth="1"/>
    <col min="2852" max="2852" width="22.7109375" style="1335" customWidth="1"/>
    <col min="2853" max="2853" width="10.7109375" style="1335" customWidth="1"/>
    <col min="2854" max="2854" width="27.7109375" style="1335" customWidth="1"/>
    <col min="2855" max="2855" width="21.42578125" style="1335" customWidth="1"/>
    <col min="2856" max="2856" width="22.140625" style="1335" customWidth="1"/>
    <col min="2857" max="2857" width="12.7109375" style="1335" customWidth="1"/>
    <col min="2858" max="2858" width="16.42578125" style="1335" customWidth="1"/>
    <col min="2859" max="2859" width="29.7109375" style="1335" customWidth="1"/>
    <col min="2860" max="2860" width="29.140625" style="1335" customWidth="1"/>
    <col min="2861" max="2861" width="33.5703125" style="1335" customWidth="1"/>
    <col min="2862" max="2862" width="25" style="1335" customWidth="1"/>
    <col min="2863" max="2863" width="11.7109375" style="1335" customWidth="1"/>
    <col min="2864" max="2864" width="17.28515625" style="1335" customWidth="1"/>
    <col min="2865" max="2880" width="7.28515625" style="1335" customWidth="1"/>
    <col min="2881" max="2882" width="13.7109375" style="1335" customWidth="1"/>
    <col min="2883" max="2883" width="20.85546875" style="1335" customWidth="1"/>
    <col min="2884" max="3099" width="11.42578125" style="1335"/>
    <col min="3100" max="3100" width="13.140625" style="1335" customWidth="1"/>
    <col min="3101" max="3101" width="35.28515625" style="1335" customWidth="1"/>
    <col min="3102" max="3102" width="12.85546875" style="1335" customWidth="1"/>
    <col min="3103" max="3103" width="19.5703125" style="1335" customWidth="1"/>
    <col min="3104" max="3104" width="12.28515625" style="1335" customWidth="1"/>
    <col min="3105" max="3105" width="21.28515625" style="1335" customWidth="1"/>
    <col min="3106" max="3106" width="11.5703125" style="1335" customWidth="1"/>
    <col min="3107" max="3107" width="33.140625" style="1335" customWidth="1"/>
    <col min="3108" max="3108" width="22.7109375" style="1335" customWidth="1"/>
    <col min="3109" max="3109" width="10.7109375" style="1335" customWidth="1"/>
    <col min="3110" max="3110" width="27.7109375" style="1335" customWidth="1"/>
    <col min="3111" max="3111" width="21.42578125" style="1335" customWidth="1"/>
    <col min="3112" max="3112" width="22.140625" style="1335" customWidth="1"/>
    <col min="3113" max="3113" width="12.7109375" style="1335" customWidth="1"/>
    <col min="3114" max="3114" width="16.42578125" style="1335" customWidth="1"/>
    <col min="3115" max="3115" width="29.7109375" style="1335" customWidth="1"/>
    <col min="3116" max="3116" width="29.140625" style="1335" customWidth="1"/>
    <col min="3117" max="3117" width="33.5703125" style="1335" customWidth="1"/>
    <col min="3118" max="3118" width="25" style="1335" customWidth="1"/>
    <col min="3119" max="3119" width="11.7109375" style="1335" customWidth="1"/>
    <col min="3120" max="3120" width="17.28515625" style="1335" customWidth="1"/>
    <col min="3121" max="3136" width="7.28515625" style="1335" customWidth="1"/>
    <col min="3137" max="3138" width="13.7109375" style="1335" customWidth="1"/>
    <col min="3139" max="3139" width="20.85546875" style="1335" customWidth="1"/>
    <col min="3140" max="3355" width="11.42578125" style="1335"/>
    <col min="3356" max="3356" width="13.140625" style="1335" customWidth="1"/>
    <col min="3357" max="3357" width="35.28515625" style="1335" customWidth="1"/>
    <col min="3358" max="3358" width="12.85546875" style="1335" customWidth="1"/>
    <col min="3359" max="3359" width="19.5703125" style="1335" customWidth="1"/>
    <col min="3360" max="3360" width="12.28515625" style="1335" customWidth="1"/>
    <col min="3361" max="3361" width="21.28515625" style="1335" customWidth="1"/>
    <col min="3362" max="3362" width="11.5703125" style="1335" customWidth="1"/>
    <col min="3363" max="3363" width="33.140625" style="1335" customWidth="1"/>
    <col min="3364" max="3364" width="22.7109375" style="1335" customWidth="1"/>
    <col min="3365" max="3365" width="10.7109375" style="1335" customWidth="1"/>
    <col min="3366" max="3366" width="27.7109375" style="1335" customWidth="1"/>
    <col min="3367" max="3367" width="21.42578125" style="1335" customWidth="1"/>
    <col min="3368" max="3368" width="22.140625" style="1335" customWidth="1"/>
    <col min="3369" max="3369" width="12.7109375" style="1335" customWidth="1"/>
    <col min="3370" max="3370" width="16.42578125" style="1335" customWidth="1"/>
    <col min="3371" max="3371" width="29.7109375" style="1335" customWidth="1"/>
    <col min="3372" max="3372" width="29.140625" style="1335" customWidth="1"/>
    <col min="3373" max="3373" width="33.5703125" style="1335" customWidth="1"/>
    <col min="3374" max="3374" width="25" style="1335" customWidth="1"/>
    <col min="3375" max="3375" width="11.7109375" style="1335" customWidth="1"/>
    <col min="3376" max="3376" width="17.28515625" style="1335" customWidth="1"/>
    <col min="3377" max="3392" width="7.28515625" style="1335" customWidth="1"/>
    <col min="3393" max="3394" width="13.7109375" style="1335" customWidth="1"/>
    <col min="3395" max="3395" width="20.85546875" style="1335" customWidth="1"/>
    <col min="3396" max="3611" width="11.42578125" style="1335"/>
    <col min="3612" max="3612" width="13.140625" style="1335" customWidth="1"/>
    <col min="3613" max="3613" width="35.28515625" style="1335" customWidth="1"/>
    <col min="3614" max="3614" width="12.85546875" style="1335" customWidth="1"/>
    <col min="3615" max="3615" width="19.5703125" style="1335" customWidth="1"/>
    <col min="3616" max="3616" width="12.28515625" style="1335" customWidth="1"/>
    <col min="3617" max="3617" width="21.28515625" style="1335" customWidth="1"/>
    <col min="3618" max="3618" width="11.5703125" style="1335" customWidth="1"/>
    <col min="3619" max="3619" width="33.140625" style="1335" customWidth="1"/>
    <col min="3620" max="3620" width="22.7109375" style="1335" customWidth="1"/>
    <col min="3621" max="3621" width="10.7109375" style="1335" customWidth="1"/>
    <col min="3622" max="3622" width="27.7109375" style="1335" customWidth="1"/>
    <col min="3623" max="3623" width="21.42578125" style="1335" customWidth="1"/>
    <col min="3624" max="3624" width="22.140625" style="1335" customWidth="1"/>
    <col min="3625" max="3625" width="12.7109375" style="1335" customWidth="1"/>
    <col min="3626" max="3626" width="16.42578125" style="1335" customWidth="1"/>
    <col min="3627" max="3627" width="29.7109375" style="1335" customWidth="1"/>
    <col min="3628" max="3628" width="29.140625" style="1335" customWidth="1"/>
    <col min="3629" max="3629" width="33.5703125" style="1335" customWidth="1"/>
    <col min="3630" max="3630" width="25" style="1335" customWidth="1"/>
    <col min="3631" max="3631" width="11.7109375" style="1335" customWidth="1"/>
    <col min="3632" max="3632" width="17.28515625" style="1335" customWidth="1"/>
    <col min="3633" max="3648" width="7.28515625" style="1335" customWidth="1"/>
    <col min="3649" max="3650" width="13.7109375" style="1335" customWidth="1"/>
    <col min="3651" max="3651" width="20.85546875" style="1335" customWidth="1"/>
    <col min="3652" max="3867" width="11.42578125" style="1335"/>
    <col min="3868" max="3868" width="13.140625" style="1335" customWidth="1"/>
    <col min="3869" max="3869" width="35.28515625" style="1335" customWidth="1"/>
    <col min="3870" max="3870" width="12.85546875" style="1335" customWidth="1"/>
    <col min="3871" max="3871" width="19.5703125" style="1335" customWidth="1"/>
    <col min="3872" max="3872" width="12.28515625" style="1335" customWidth="1"/>
    <col min="3873" max="3873" width="21.28515625" style="1335" customWidth="1"/>
    <col min="3874" max="3874" width="11.5703125" style="1335" customWidth="1"/>
    <col min="3875" max="3875" width="33.140625" style="1335" customWidth="1"/>
    <col min="3876" max="3876" width="22.7109375" style="1335" customWidth="1"/>
    <col min="3877" max="3877" width="10.7109375" style="1335" customWidth="1"/>
    <col min="3878" max="3878" width="27.7109375" style="1335" customWidth="1"/>
    <col min="3879" max="3879" width="21.42578125" style="1335" customWidth="1"/>
    <col min="3880" max="3880" width="22.140625" style="1335" customWidth="1"/>
    <col min="3881" max="3881" width="12.7109375" style="1335" customWidth="1"/>
    <col min="3882" max="3882" width="16.42578125" style="1335" customWidth="1"/>
    <col min="3883" max="3883" width="29.7109375" style="1335" customWidth="1"/>
    <col min="3884" max="3884" width="29.140625" style="1335" customWidth="1"/>
    <col min="3885" max="3885" width="33.5703125" style="1335" customWidth="1"/>
    <col min="3886" max="3886" width="25" style="1335" customWidth="1"/>
    <col min="3887" max="3887" width="11.7109375" style="1335" customWidth="1"/>
    <col min="3888" max="3888" width="17.28515625" style="1335" customWidth="1"/>
    <col min="3889" max="3904" width="7.28515625" style="1335" customWidth="1"/>
    <col min="3905" max="3906" width="13.7109375" style="1335" customWidth="1"/>
    <col min="3907" max="3907" width="20.85546875" style="1335" customWidth="1"/>
    <col min="3908" max="4123" width="11.42578125" style="1335"/>
    <col min="4124" max="4124" width="13.140625" style="1335" customWidth="1"/>
    <col min="4125" max="4125" width="35.28515625" style="1335" customWidth="1"/>
    <col min="4126" max="4126" width="12.85546875" style="1335" customWidth="1"/>
    <col min="4127" max="4127" width="19.5703125" style="1335" customWidth="1"/>
    <col min="4128" max="4128" width="12.28515625" style="1335" customWidth="1"/>
    <col min="4129" max="4129" width="21.28515625" style="1335" customWidth="1"/>
    <col min="4130" max="4130" width="11.5703125" style="1335" customWidth="1"/>
    <col min="4131" max="4131" width="33.140625" style="1335" customWidth="1"/>
    <col min="4132" max="4132" width="22.7109375" style="1335" customWidth="1"/>
    <col min="4133" max="4133" width="10.7109375" style="1335" customWidth="1"/>
    <col min="4134" max="4134" width="27.7109375" style="1335" customWidth="1"/>
    <col min="4135" max="4135" width="21.42578125" style="1335" customWidth="1"/>
    <col min="4136" max="4136" width="22.140625" style="1335" customWidth="1"/>
    <col min="4137" max="4137" width="12.7109375" style="1335" customWidth="1"/>
    <col min="4138" max="4138" width="16.42578125" style="1335" customWidth="1"/>
    <col min="4139" max="4139" width="29.7109375" style="1335" customWidth="1"/>
    <col min="4140" max="4140" width="29.140625" style="1335" customWidth="1"/>
    <col min="4141" max="4141" width="33.5703125" style="1335" customWidth="1"/>
    <col min="4142" max="4142" width="25" style="1335" customWidth="1"/>
    <col min="4143" max="4143" width="11.7109375" style="1335" customWidth="1"/>
    <col min="4144" max="4144" width="17.28515625" style="1335" customWidth="1"/>
    <col min="4145" max="4160" width="7.28515625" style="1335" customWidth="1"/>
    <col min="4161" max="4162" width="13.7109375" style="1335" customWidth="1"/>
    <col min="4163" max="4163" width="20.85546875" style="1335" customWidth="1"/>
    <col min="4164" max="4379" width="11.42578125" style="1335"/>
    <col min="4380" max="4380" width="13.140625" style="1335" customWidth="1"/>
    <col min="4381" max="4381" width="35.28515625" style="1335" customWidth="1"/>
    <col min="4382" max="4382" width="12.85546875" style="1335" customWidth="1"/>
    <col min="4383" max="4383" width="19.5703125" style="1335" customWidth="1"/>
    <col min="4384" max="4384" width="12.28515625" style="1335" customWidth="1"/>
    <col min="4385" max="4385" width="21.28515625" style="1335" customWidth="1"/>
    <col min="4386" max="4386" width="11.5703125" style="1335" customWidth="1"/>
    <col min="4387" max="4387" width="33.140625" style="1335" customWidth="1"/>
    <col min="4388" max="4388" width="22.7109375" style="1335" customWidth="1"/>
    <col min="4389" max="4389" width="10.7109375" style="1335" customWidth="1"/>
    <col min="4390" max="4390" width="27.7109375" style="1335" customWidth="1"/>
    <col min="4391" max="4391" width="21.42578125" style="1335" customWidth="1"/>
    <col min="4392" max="4392" width="22.140625" style="1335" customWidth="1"/>
    <col min="4393" max="4393" width="12.7109375" style="1335" customWidth="1"/>
    <col min="4394" max="4394" width="16.42578125" style="1335" customWidth="1"/>
    <col min="4395" max="4395" width="29.7109375" style="1335" customWidth="1"/>
    <col min="4396" max="4396" width="29.140625" style="1335" customWidth="1"/>
    <col min="4397" max="4397" width="33.5703125" style="1335" customWidth="1"/>
    <col min="4398" max="4398" width="25" style="1335" customWidth="1"/>
    <col min="4399" max="4399" width="11.7109375" style="1335" customWidth="1"/>
    <col min="4400" max="4400" width="17.28515625" style="1335" customWidth="1"/>
    <col min="4401" max="4416" width="7.28515625" style="1335" customWidth="1"/>
    <col min="4417" max="4418" width="13.7109375" style="1335" customWidth="1"/>
    <col min="4419" max="4419" width="20.85546875" style="1335" customWidth="1"/>
    <col min="4420" max="4635" width="11.42578125" style="1335"/>
    <col min="4636" max="4636" width="13.140625" style="1335" customWidth="1"/>
    <col min="4637" max="4637" width="35.28515625" style="1335" customWidth="1"/>
    <col min="4638" max="4638" width="12.85546875" style="1335" customWidth="1"/>
    <col min="4639" max="4639" width="19.5703125" style="1335" customWidth="1"/>
    <col min="4640" max="4640" width="12.28515625" style="1335" customWidth="1"/>
    <col min="4641" max="4641" width="21.28515625" style="1335" customWidth="1"/>
    <col min="4642" max="4642" width="11.5703125" style="1335" customWidth="1"/>
    <col min="4643" max="4643" width="33.140625" style="1335" customWidth="1"/>
    <col min="4644" max="4644" width="22.7109375" style="1335" customWidth="1"/>
    <col min="4645" max="4645" width="10.7109375" style="1335" customWidth="1"/>
    <col min="4646" max="4646" width="27.7109375" style="1335" customWidth="1"/>
    <col min="4647" max="4647" width="21.42578125" style="1335" customWidth="1"/>
    <col min="4648" max="4648" width="22.140625" style="1335" customWidth="1"/>
    <col min="4649" max="4649" width="12.7109375" style="1335" customWidth="1"/>
    <col min="4650" max="4650" width="16.42578125" style="1335" customWidth="1"/>
    <col min="4651" max="4651" width="29.7109375" style="1335" customWidth="1"/>
    <col min="4652" max="4652" width="29.140625" style="1335" customWidth="1"/>
    <col min="4653" max="4653" width="33.5703125" style="1335" customWidth="1"/>
    <col min="4654" max="4654" width="25" style="1335" customWidth="1"/>
    <col min="4655" max="4655" width="11.7109375" style="1335" customWidth="1"/>
    <col min="4656" max="4656" width="17.28515625" style="1335" customWidth="1"/>
    <col min="4657" max="4672" width="7.28515625" style="1335" customWidth="1"/>
    <col min="4673" max="4674" width="13.7109375" style="1335" customWidth="1"/>
    <col min="4675" max="4675" width="20.85546875" style="1335" customWidth="1"/>
    <col min="4676" max="4891" width="11.42578125" style="1335"/>
    <col min="4892" max="4892" width="13.140625" style="1335" customWidth="1"/>
    <col min="4893" max="4893" width="35.28515625" style="1335" customWidth="1"/>
    <col min="4894" max="4894" width="12.85546875" style="1335" customWidth="1"/>
    <col min="4895" max="4895" width="19.5703125" style="1335" customWidth="1"/>
    <col min="4896" max="4896" width="12.28515625" style="1335" customWidth="1"/>
    <col min="4897" max="4897" width="21.28515625" style="1335" customWidth="1"/>
    <col min="4898" max="4898" width="11.5703125" style="1335" customWidth="1"/>
    <col min="4899" max="4899" width="33.140625" style="1335" customWidth="1"/>
    <col min="4900" max="4900" width="22.7109375" style="1335" customWidth="1"/>
    <col min="4901" max="4901" width="10.7109375" style="1335" customWidth="1"/>
    <col min="4902" max="4902" width="27.7109375" style="1335" customWidth="1"/>
    <col min="4903" max="4903" width="21.42578125" style="1335" customWidth="1"/>
    <col min="4904" max="4904" width="22.140625" style="1335" customWidth="1"/>
    <col min="4905" max="4905" width="12.7109375" style="1335" customWidth="1"/>
    <col min="4906" max="4906" width="16.42578125" style="1335" customWidth="1"/>
    <col min="4907" max="4907" width="29.7109375" style="1335" customWidth="1"/>
    <col min="4908" max="4908" width="29.140625" style="1335" customWidth="1"/>
    <col min="4909" max="4909" width="33.5703125" style="1335" customWidth="1"/>
    <col min="4910" max="4910" width="25" style="1335" customWidth="1"/>
    <col min="4911" max="4911" width="11.7109375" style="1335" customWidth="1"/>
    <col min="4912" max="4912" width="17.28515625" style="1335" customWidth="1"/>
    <col min="4913" max="4928" width="7.28515625" style="1335" customWidth="1"/>
    <col min="4929" max="4930" width="13.7109375" style="1335" customWidth="1"/>
    <col min="4931" max="4931" width="20.85546875" style="1335" customWidth="1"/>
    <col min="4932" max="5147" width="11.42578125" style="1335"/>
    <col min="5148" max="5148" width="13.140625" style="1335" customWidth="1"/>
    <col min="5149" max="5149" width="35.28515625" style="1335" customWidth="1"/>
    <col min="5150" max="5150" width="12.85546875" style="1335" customWidth="1"/>
    <col min="5151" max="5151" width="19.5703125" style="1335" customWidth="1"/>
    <col min="5152" max="5152" width="12.28515625" style="1335" customWidth="1"/>
    <col min="5153" max="5153" width="21.28515625" style="1335" customWidth="1"/>
    <col min="5154" max="5154" width="11.5703125" style="1335" customWidth="1"/>
    <col min="5155" max="5155" width="33.140625" style="1335" customWidth="1"/>
    <col min="5156" max="5156" width="22.7109375" style="1335" customWidth="1"/>
    <col min="5157" max="5157" width="10.7109375" style="1335" customWidth="1"/>
    <col min="5158" max="5158" width="27.7109375" style="1335" customWidth="1"/>
    <col min="5159" max="5159" width="21.42578125" style="1335" customWidth="1"/>
    <col min="5160" max="5160" width="22.140625" style="1335" customWidth="1"/>
    <col min="5161" max="5161" width="12.7109375" style="1335" customWidth="1"/>
    <col min="5162" max="5162" width="16.42578125" style="1335" customWidth="1"/>
    <col min="5163" max="5163" width="29.7109375" style="1335" customWidth="1"/>
    <col min="5164" max="5164" width="29.140625" style="1335" customWidth="1"/>
    <col min="5165" max="5165" width="33.5703125" style="1335" customWidth="1"/>
    <col min="5166" max="5166" width="25" style="1335" customWidth="1"/>
    <col min="5167" max="5167" width="11.7109375" style="1335" customWidth="1"/>
    <col min="5168" max="5168" width="17.28515625" style="1335" customWidth="1"/>
    <col min="5169" max="5184" width="7.28515625" style="1335" customWidth="1"/>
    <col min="5185" max="5186" width="13.7109375" style="1335" customWidth="1"/>
    <col min="5187" max="5187" width="20.85546875" style="1335" customWidth="1"/>
    <col min="5188" max="5403" width="11.42578125" style="1335"/>
    <col min="5404" max="5404" width="13.140625" style="1335" customWidth="1"/>
    <col min="5405" max="5405" width="35.28515625" style="1335" customWidth="1"/>
    <col min="5406" max="5406" width="12.85546875" style="1335" customWidth="1"/>
    <col min="5407" max="5407" width="19.5703125" style="1335" customWidth="1"/>
    <col min="5408" max="5408" width="12.28515625" style="1335" customWidth="1"/>
    <col min="5409" max="5409" width="21.28515625" style="1335" customWidth="1"/>
    <col min="5410" max="5410" width="11.5703125" style="1335" customWidth="1"/>
    <col min="5411" max="5411" width="33.140625" style="1335" customWidth="1"/>
    <col min="5412" max="5412" width="22.7109375" style="1335" customWidth="1"/>
    <col min="5413" max="5413" width="10.7109375" style="1335" customWidth="1"/>
    <col min="5414" max="5414" width="27.7109375" style="1335" customWidth="1"/>
    <col min="5415" max="5415" width="21.42578125" style="1335" customWidth="1"/>
    <col min="5416" max="5416" width="22.140625" style="1335" customWidth="1"/>
    <col min="5417" max="5417" width="12.7109375" style="1335" customWidth="1"/>
    <col min="5418" max="5418" width="16.42578125" style="1335" customWidth="1"/>
    <col min="5419" max="5419" width="29.7109375" style="1335" customWidth="1"/>
    <col min="5420" max="5420" width="29.140625" style="1335" customWidth="1"/>
    <col min="5421" max="5421" width="33.5703125" style="1335" customWidth="1"/>
    <col min="5422" max="5422" width="25" style="1335" customWidth="1"/>
    <col min="5423" max="5423" width="11.7109375" style="1335" customWidth="1"/>
    <col min="5424" max="5424" width="17.28515625" style="1335" customWidth="1"/>
    <col min="5425" max="5440" width="7.28515625" style="1335" customWidth="1"/>
    <col min="5441" max="5442" width="13.7109375" style="1335" customWidth="1"/>
    <col min="5443" max="5443" width="20.85546875" style="1335" customWidth="1"/>
    <col min="5444" max="5659" width="11.42578125" style="1335"/>
    <col min="5660" max="5660" width="13.140625" style="1335" customWidth="1"/>
    <col min="5661" max="5661" width="35.28515625" style="1335" customWidth="1"/>
    <col min="5662" max="5662" width="12.85546875" style="1335" customWidth="1"/>
    <col min="5663" max="5663" width="19.5703125" style="1335" customWidth="1"/>
    <col min="5664" max="5664" width="12.28515625" style="1335" customWidth="1"/>
    <col min="5665" max="5665" width="21.28515625" style="1335" customWidth="1"/>
    <col min="5666" max="5666" width="11.5703125" style="1335" customWidth="1"/>
    <col min="5667" max="5667" width="33.140625" style="1335" customWidth="1"/>
    <col min="5668" max="5668" width="22.7109375" style="1335" customWidth="1"/>
    <col min="5669" max="5669" width="10.7109375" style="1335" customWidth="1"/>
    <col min="5670" max="5670" width="27.7109375" style="1335" customWidth="1"/>
    <col min="5671" max="5671" width="21.42578125" style="1335" customWidth="1"/>
    <col min="5672" max="5672" width="22.140625" style="1335" customWidth="1"/>
    <col min="5673" max="5673" width="12.7109375" style="1335" customWidth="1"/>
    <col min="5674" max="5674" width="16.42578125" style="1335" customWidth="1"/>
    <col min="5675" max="5675" width="29.7109375" style="1335" customWidth="1"/>
    <col min="5676" max="5676" width="29.140625" style="1335" customWidth="1"/>
    <col min="5677" max="5677" width="33.5703125" style="1335" customWidth="1"/>
    <col min="5678" max="5678" width="25" style="1335" customWidth="1"/>
    <col min="5679" max="5679" width="11.7109375" style="1335" customWidth="1"/>
    <col min="5680" max="5680" width="17.28515625" style="1335" customWidth="1"/>
    <col min="5681" max="5696" width="7.28515625" style="1335" customWidth="1"/>
    <col min="5697" max="5698" width="13.7109375" style="1335" customWidth="1"/>
    <col min="5699" max="5699" width="20.85546875" style="1335" customWidth="1"/>
    <col min="5700" max="5915" width="11.42578125" style="1335"/>
    <col min="5916" max="5916" width="13.140625" style="1335" customWidth="1"/>
    <col min="5917" max="5917" width="35.28515625" style="1335" customWidth="1"/>
    <col min="5918" max="5918" width="12.85546875" style="1335" customWidth="1"/>
    <col min="5919" max="5919" width="19.5703125" style="1335" customWidth="1"/>
    <col min="5920" max="5920" width="12.28515625" style="1335" customWidth="1"/>
    <col min="5921" max="5921" width="21.28515625" style="1335" customWidth="1"/>
    <col min="5922" max="5922" width="11.5703125" style="1335" customWidth="1"/>
    <col min="5923" max="5923" width="33.140625" style="1335" customWidth="1"/>
    <col min="5924" max="5924" width="22.7109375" style="1335" customWidth="1"/>
    <col min="5925" max="5925" width="10.7109375" style="1335" customWidth="1"/>
    <col min="5926" max="5926" width="27.7109375" style="1335" customWidth="1"/>
    <col min="5927" max="5927" width="21.42578125" style="1335" customWidth="1"/>
    <col min="5928" max="5928" width="22.140625" style="1335" customWidth="1"/>
    <col min="5929" max="5929" width="12.7109375" style="1335" customWidth="1"/>
    <col min="5930" max="5930" width="16.42578125" style="1335" customWidth="1"/>
    <col min="5931" max="5931" width="29.7109375" style="1335" customWidth="1"/>
    <col min="5932" max="5932" width="29.140625" style="1335" customWidth="1"/>
    <col min="5933" max="5933" width="33.5703125" style="1335" customWidth="1"/>
    <col min="5934" max="5934" width="25" style="1335" customWidth="1"/>
    <col min="5935" max="5935" width="11.7109375" style="1335" customWidth="1"/>
    <col min="5936" max="5936" width="17.28515625" style="1335" customWidth="1"/>
    <col min="5937" max="5952" width="7.28515625" style="1335" customWidth="1"/>
    <col min="5953" max="5954" width="13.7109375" style="1335" customWidth="1"/>
    <col min="5955" max="5955" width="20.85546875" style="1335" customWidth="1"/>
    <col min="5956" max="6171" width="11.42578125" style="1335"/>
    <col min="6172" max="6172" width="13.140625" style="1335" customWidth="1"/>
    <col min="6173" max="6173" width="35.28515625" style="1335" customWidth="1"/>
    <col min="6174" max="6174" width="12.85546875" style="1335" customWidth="1"/>
    <col min="6175" max="6175" width="19.5703125" style="1335" customWidth="1"/>
    <col min="6176" max="6176" width="12.28515625" style="1335" customWidth="1"/>
    <col min="6177" max="6177" width="21.28515625" style="1335" customWidth="1"/>
    <col min="6178" max="6178" width="11.5703125" style="1335" customWidth="1"/>
    <col min="6179" max="6179" width="33.140625" style="1335" customWidth="1"/>
    <col min="6180" max="6180" width="22.7109375" style="1335" customWidth="1"/>
    <col min="6181" max="6181" width="10.7109375" style="1335" customWidth="1"/>
    <col min="6182" max="6182" width="27.7109375" style="1335" customWidth="1"/>
    <col min="6183" max="6183" width="21.42578125" style="1335" customWidth="1"/>
    <col min="6184" max="6184" width="22.140625" style="1335" customWidth="1"/>
    <col min="6185" max="6185" width="12.7109375" style="1335" customWidth="1"/>
    <col min="6186" max="6186" width="16.42578125" style="1335" customWidth="1"/>
    <col min="6187" max="6187" width="29.7109375" style="1335" customWidth="1"/>
    <col min="6188" max="6188" width="29.140625" style="1335" customWidth="1"/>
    <col min="6189" max="6189" width="33.5703125" style="1335" customWidth="1"/>
    <col min="6190" max="6190" width="25" style="1335" customWidth="1"/>
    <col min="6191" max="6191" width="11.7109375" style="1335" customWidth="1"/>
    <col min="6192" max="6192" width="17.28515625" style="1335" customWidth="1"/>
    <col min="6193" max="6208" width="7.28515625" style="1335" customWidth="1"/>
    <col min="6209" max="6210" width="13.7109375" style="1335" customWidth="1"/>
    <col min="6211" max="6211" width="20.85546875" style="1335" customWidth="1"/>
    <col min="6212" max="6427" width="11.42578125" style="1335"/>
    <col min="6428" max="6428" width="13.140625" style="1335" customWidth="1"/>
    <col min="6429" max="6429" width="35.28515625" style="1335" customWidth="1"/>
    <col min="6430" max="6430" width="12.85546875" style="1335" customWidth="1"/>
    <col min="6431" max="6431" width="19.5703125" style="1335" customWidth="1"/>
    <col min="6432" max="6432" width="12.28515625" style="1335" customWidth="1"/>
    <col min="6433" max="6433" width="21.28515625" style="1335" customWidth="1"/>
    <col min="6434" max="6434" width="11.5703125" style="1335" customWidth="1"/>
    <col min="6435" max="6435" width="33.140625" style="1335" customWidth="1"/>
    <col min="6436" max="6436" width="22.7109375" style="1335" customWidth="1"/>
    <col min="6437" max="6437" width="10.7109375" style="1335" customWidth="1"/>
    <col min="6438" max="6438" width="27.7109375" style="1335" customWidth="1"/>
    <col min="6439" max="6439" width="21.42578125" style="1335" customWidth="1"/>
    <col min="6440" max="6440" width="22.140625" style="1335" customWidth="1"/>
    <col min="6441" max="6441" width="12.7109375" style="1335" customWidth="1"/>
    <col min="6442" max="6442" width="16.42578125" style="1335" customWidth="1"/>
    <col min="6443" max="6443" width="29.7109375" style="1335" customWidth="1"/>
    <col min="6444" max="6444" width="29.140625" style="1335" customWidth="1"/>
    <col min="6445" max="6445" width="33.5703125" style="1335" customWidth="1"/>
    <col min="6446" max="6446" width="25" style="1335" customWidth="1"/>
    <col min="6447" max="6447" width="11.7109375" style="1335" customWidth="1"/>
    <col min="6448" max="6448" width="17.28515625" style="1335" customWidth="1"/>
    <col min="6449" max="6464" width="7.28515625" style="1335" customWidth="1"/>
    <col min="6465" max="6466" width="13.7109375" style="1335" customWidth="1"/>
    <col min="6467" max="6467" width="20.85546875" style="1335" customWidth="1"/>
    <col min="6468" max="6683" width="11.42578125" style="1335"/>
    <col min="6684" max="6684" width="13.140625" style="1335" customWidth="1"/>
    <col min="6685" max="6685" width="35.28515625" style="1335" customWidth="1"/>
    <col min="6686" max="6686" width="12.85546875" style="1335" customWidth="1"/>
    <col min="6687" max="6687" width="19.5703125" style="1335" customWidth="1"/>
    <col min="6688" max="6688" width="12.28515625" style="1335" customWidth="1"/>
    <col min="6689" max="6689" width="21.28515625" style="1335" customWidth="1"/>
    <col min="6690" max="6690" width="11.5703125" style="1335" customWidth="1"/>
    <col min="6691" max="6691" width="33.140625" style="1335" customWidth="1"/>
    <col min="6692" max="6692" width="22.7109375" style="1335" customWidth="1"/>
    <col min="6693" max="6693" width="10.7109375" style="1335" customWidth="1"/>
    <col min="6694" max="6694" width="27.7109375" style="1335" customWidth="1"/>
    <col min="6695" max="6695" width="21.42578125" style="1335" customWidth="1"/>
    <col min="6696" max="6696" width="22.140625" style="1335" customWidth="1"/>
    <col min="6697" max="6697" width="12.7109375" style="1335" customWidth="1"/>
    <col min="6698" max="6698" width="16.42578125" style="1335" customWidth="1"/>
    <col min="6699" max="6699" width="29.7109375" style="1335" customWidth="1"/>
    <col min="6700" max="6700" width="29.140625" style="1335" customWidth="1"/>
    <col min="6701" max="6701" width="33.5703125" style="1335" customWidth="1"/>
    <col min="6702" max="6702" width="25" style="1335" customWidth="1"/>
    <col min="6703" max="6703" width="11.7109375" style="1335" customWidth="1"/>
    <col min="6704" max="6704" width="17.28515625" style="1335" customWidth="1"/>
    <col min="6705" max="6720" width="7.28515625" style="1335" customWidth="1"/>
    <col min="6721" max="6722" width="13.7109375" style="1335" customWidth="1"/>
    <col min="6723" max="6723" width="20.85546875" style="1335" customWidth="1"/>
    <col min="6724" max="6939" width="11.42578125" style="1335"/>
    <col min="6940" max="6940" width="13.140625" style="1335" customWidth="1"/>
    <col min="6941" max="6941" width="35.28515625" style="1335" customWidth="1"/>
    <col min="6942" max="6942" width="12.85546875" style="1335" customWidth="1"/>
    <col min="6943" max="6943" width="19.5703125" style="1335" customWidth="1"/>
    <col min="6944" max="6944" width="12.28515625" style="1335" customWidth="1"/>
    <col min="6945" max="6945" width="21.28515625" style="1335" customWidth="1"/>
    <col min="6946" max="6946" width="11.5703125" style="1335" customWidth="1"/>
    <col min="6947" max="6947" width="33.140625" style="1335" customWidth="1"/>
    <col min="6948" max="6948" width="22.7109375" style="1335" customWidth="1"/>
    <col min="6949" max="6949" width="10.7109375" style="1335" customWidth="1"/>
    <col min="6950" max="6950" width="27.7109375" style="1335" customWidth="1"/>
    <col min="6951" max="6951" width="21.42578125" style="1335" customWidth="1"/>
    <col min="6952" max="6952" width="22.140625" style="1335" customWidth="1"/>
    <col min="6953" max="6953" width="12.7109375" style="1335" customWidth="1"/>
    <col min="6954" max="6954" width="16.42578125" style="1335" customWidth="1"/>
    <col min="6955" max="6955" width="29.7109375" style="1335" customWidth="1"/>
    <col min="6956" max="6956" width="29.140625" style="1335" customWidth="1"/>
    <col min="6957" max="6957" width="33.5703125" style="1335" customWidth="1"/>
    <col min="6958" max="6958" width="25" style="1335" customWidth="1"/>
    <col min="6959" max="6959" width="11.7109375" style="1335" customWidth="1"/>
    <col min="6960" max="6960" width="17.28515625" style="1335" customWidth="1"/>
    <col min="6961" max="6976" width="7.28515625" style="1335" customWidth="1"/>
    <col min="6977" max="6978" width="13.7109375" style="1335" customWidth="1"/>
    <col min="6979" max="6979" width="20.85546875" style="1335" customWidth="1"/>
    <col min="6980" max="7195" width="11.42578125" style="1335"/>
    <col min="7196" max="7196" width="13.140625" style="1335" customWidth="1"/>
    <col min="7197" max="7197" width="35.28515625" style="1335" customWidth="1"/>
    <col min="7198" max="7198" width="12.85546875" style="1335" customWidth="1"/>
    <col min="7199" max="7199" width="19.5703125" style="1335" customWidth="1"/>
    <col min="7200" max="7200" width="12.28515625" style="1335" customWidth="1"/>
    <col min="7201" max="7201" width="21.28515625" style="1335" customWidth="1"/>
    <col min="7202" max="7202" width="11.5703125" style="1335" customWidth="1"/>
    <col min="7203" max="7203" width="33.140625" style="1335" customWidth="1"/>
    <col min="7204" max="7204" width="22.7109375" style="1335" customWidth="1"/>
    <col min="7205" max="7205" width="10.7109375" style="1335" customWidth="1"/>
    <col min="7206" max="7206" width="27.7109375" style="1335" customWidth="1"/>
    <col min="7207" max="7207" width="21.42578125" style="1335" customWidth="1"/>
    <col min="7208" max="7208" width="22.140625" style="1335" customWidth="1"/>
    <col min="7209" max="7209" width="12.7109375" style="1335" customWidth="1"/>
    <col min="7210" max="7210" width="16.42578125" style="1335" customWidth="1"/>
    <col min="7211" max="7211" width="29.7109375" style="1335" customWidth="1"/>
    <col min="7212" max="7212" width="29.140625" style="1335" customWidth="1"/>
    <col min="7213" max="7213" width="33.5703125" style="1335" customWidth="1"/>
    <col min="7214" max="7214" width="25" style="1335" customWidth="1"/>
    <col min="7215" max="7215" width="11.7109375" style="1335" customWidth="1"/>
    <col min="7216" max="7216" width="17.28515625" style="1335" customWidth="1"/>
    <col min="7217" max="7232" width="7.28515625" style="1335" customWidth="1"/>
    <col min="7233" max="7234" width="13.7109375" style="1335" customWidth="1"/>
    <col min="7235" max="7235" width="20.85546875" style="1335" customWidth="1"/>
    <col min="7236" max="7451" width="11.42578125" style="1335"/>
    <col min="7452" max="7452" width="13.140625" style="1335" customWidth="1"/>
    <col min="7453" max="7453" width="35.28515625" style="1335" customWidth="1"/>
    <col min="7454" max="7454" width="12.85546875" style="1335" customWidth="1"/>
    <col min="7455" max="7455" width="19.5703125" style="1335" customWidth="1"/>
    <col min="7456" max="7456" width="12.28515625" style="1335" customWidth="1"/>
    <col min="7457" max="7457" width="21.28515625" style="1335" customWidth="1"/>
    <col min="7458" max="7458" width="11.5703125" style="1335" customWidth="1"/>
    <col min="7459" max="7459" width="33.140625" style="1335" customWidth="1"/>
    <col min="7460" max="7460" width="22.7109375" style="1335" customWidth="1"/>
    <col min="7461" max="7461" width="10.7109375" style="1335" customWidth="1"/>
    <col min="7462" max="7462" width="27.7109375" style="1335" customWidth="1"/>
    <col min="7463" max="7463" width="21.42578125" style="1335" customWidth="1"/>
    <col min="7464" max="7464" width="22.140625" style="1335" customWidth="1"/>
    <col min="7465" max="7465" width="12.7109375" style="1335" customWidth="1"/>
    <col min="7466" max="7466" width="16.42578125" style="1335" customWidth="1"/>
    <col min="7467" max="7467" width="29.7109375" style="1335" customWidth="1"/>
    <col min="7468" max="7468" width="29.140625" style="1335" customWidth="1"/>
    <col min="7469" max="7469" width="33.5703125" style="1335" customWidth="1"/>
    <col min="7470" max="7470" width="25" style="1335" customWidth="1"/>
    <col min="7471" max="7471" width="11.7109375" style="1335" customWidth="1"/>
    <col min="7472" max="7472" width="17.28515625" style="1335" customWidth="1"/>
    <col min="7473" max="7488" width="7.28515625" style="1335" customWidth="1"/>
    <col min="7489" max="7490" width="13.7109375" style="1335" customWidth="1"/>
    <col min="7491" max="7491" width="20.85546875" style="1335" customWidth="1"/>
    <col min="7492" max="7707" width="11.42578125" style="1335"/>
    <col min="7708" max="7708" width="13.140625" style="1335" customWidth="1"/>
    <col min="7709" max="7709" width="35.28515625" style="1335" customWidth="1"/>
    <col min="7710" max="7710" width="12.85546875" style="1335" customWidth="1"/>
    <col min="7711" max="7711" width="19.5703125" style="1335" customWidth="1"/>
    <col min="7712" max="7712" width="12.28515625" style="1335" customWidth="1"/>
    <col min="7713" max="7713" width="21.28515625" style="1335" customWidth="1"/>
    <col min="7714" max="7714" width="11.5703125" style="1335" customWidth="1"/>
    <col min="7715" max="7715" width="33.140625" style="1335" customWidth="1"/>
    <col min="7716" max="7716" width="22.7109375" style="1335" customWidth="1"/>
    <col min="7717" max="7717" width="10.7109375" style="1335" customWidth="1"/>
    <col min="7718" max="7718" width="27.7109375" style="1335" customWidth="1"/>
    <col min="7719" max="7719" width="21.42578125" style="1335" customWidth="1"/>
    <col min="7720" max="7720" width="22.140625" style="1335" customWidth="1"/>
    <col min="7721" max="7721" width="12.7109375" style="1335" customWidth="1"/>
    <col min="7722" max="7722" width="16.42578125" style="1335" customWidth="1"/>
    <col min="7723" max="7723" width="29.7109375" style="1335" customWidth="1"/>
    <col min="7724" max="7724" width="29.140625" style="1335" customWidth="1"/>
    <col min="7725" max="7725" width="33.5703125" style="1335" customWidth="1"/>
    <col min="7726" max="7726" width="25" style="1335" customWidth="1"/>
    <col min="7727" max="7727" width="11.7109375" style="1335" customWidth="1"/>
    <col min="7728" max="7728" width="17.28515625" style="1335" customWidth="1"/>
    <col min="7729" max="7744" width="7.28515625" style="1335" customWidth="1"/>
    <col min="7745" max="7746" width="13.7109375" style="1335" customWidth="1"/>
    <col min="7747" max="7747" width="20.85546875" style="1335" customWidth="1"/>
    <col min="7748" max="7963" width="11.42578125" style="1335"/>
    <col min="7964" max="7964" width="13.140625" style="1335" customWidth="1"/>
    <col min="7965" max="7965" width="35.28515625" style="1335" customWidth="1"/>
    <col min="7966" max="7966" width="12.85546875" style="1335" customWidth="1"/>
    <col min="7967" max="7967" width="19.5703125" style="1335" customWidth="1"/>
    <col min="7968" max="7968" width="12.28515625" style="1335" customWidth="1"/>
    <col min="7969" max="7969" width="21.28515625" style="1335" customWidth="1"/>
    <col min="7970" max="7970" width="11.5703125" style="1335" customWidth="1"/>
    <col min="7971" max="7971" width="33.140625" style="1335" customWidth="1"/>
    <col min="7972" max="7972" width="22.7109375" style="1335" customWidth="1"/>
    <col min="7973" max="7973" width="10.7109375" style="1335" customWidth="1"/>
    <col min="7974" max="7974" width="27.7109375" style="1335" customWidth="1"/>
    <col min="7975" max="7975" width="21.42578125" style="1335" customWidth="1"/>
    <col min="7976" max="7976" width="22.140625" style="1335" customWidth="1"/>
    <col min="7977" max="7977" width="12.7109375" style="1335" customWidth="1"/>
    <col min="7978" max="7978" width="16.42578125" style="1335" customWidth="1"/>
    <col min="7979" max="7979" width="29.7109375" style="1335" customWidth="1"/>
    <col min="7980" max="7980" width="29.140625" style="1335" customWidth="1"/>
    <col min="7981" max="7981" width="33.5703125" style="1335" customWidth="1"/>
    <col min="7982" max="7982" width="25" style="1335" customWidth="1"/>
    <col min="7983" max="7983" width="11.7109375" style="1335" customWidth="1"/>
    <col min="7984" max="7984" width="17.28515625" style="1335" customWidth="1"/>
    <col min="7985" max="8000" width="7.28515625" style="1335" customWidth="1"/>
    <col min="8001" max="8002" width="13.7109375" style="1335" customWidth="1"/>
    <col min="8003" max="8003" width="20.85546875" style="1335" customWidth="1"/>
    <col min="8004" max="8219" width="11.42578125" style="1335"/>
    <col min="8220" max="8220" width="13.140625" style="1335" customWidth="1"/>
    <col min="8221" max="8221" width="35.28515625" style="1335" customWidth="1"/>
    <col min="8222" max="8222" width="12.85546875" style="1335" customWidth="1"/>
    <col min="8223" max="8223" width="19.5703125" style="1335" customWidth="1"/>
    <col min="8224" max="8224" width="12.28515625" style="1335" customWidth="1"/>
    <col min="8225" max="8225" width="21.28515625" style="1335" customWidth="1"/>
    <col min="8226" max="8226" width="11.5703125" style="1335" customWidth="1"/>
    <col min="8227" max="8227" width="33.140625" style="1335" customWidth="1"/>
    <col min="8228" max="8228" width="22.7109375" style="1335" customWidth="1"/>
    <col min="8229" max="8229" width="10.7109375" style="1335" customWidth="1"/>
    <col min="8230" max="8230" width="27.7109375" style="1335" customWidth="1"/>
    <col min="8231" max="8231" width="21.42578125" style="1335" customWidth="1"/>
    <col min="8232" max="8232" width="22.140625" style="1335" customWidth="1"/>
    <col min="8233" max="8233" width="12.7109375" style="1335" customWidth="1"/>
    <col min="8234" max="8234" width="16.42578125" style="1335" customWidth="1"/>
    <col min="8235" max="8235" width="29.7109375" style="1335" customWidth="1"/>
    <col min="8236" max="8236" width="29.140625" style="1335" customWidth="1"/>
    <col min="8237" max="8237" width="33.5703125" style="1335" customWidth="1"/>
    <col min="8238" max="8238" width="25" style="1335" customWidth="1"/>
    <col min="8239" max="8239" width="11.7109375" style="1335" customWidth="1"/>
    <col min="8240" max="8240" width="17.28515625" style="1335" customWidth="1"/>
    <col min="8241" max="8256" width="7.28515625" style="1335" customWidth="1"/>
    <col min="8257" max="8258" width="13.7109375" style="1335" customWidth="1"/>
    <col min="8259" max="8259" width="20.85546875" style="1335" customWidth="1"/>
    <col min="8260" max="8475" width="11.42578125" style="1335"/>
    <col min="8476" max="8476" width="13.140625" style="1335" customWidth="1"/>
    <col min="8477" max="8477" width="35.28515625" style="1335" customWidth="1"/>
    <col min="8478" max="8478" width="12.85546875" style="1335" customWidth="1"/>
    <col min="8479" max="8479" width="19.5703125" style="1335" customWidth="1"/>
    <col min="8480" max="8480" width="12.28515625" style="1335" customWidth="1"/>
    <col min="8481" max="8481" width="21.28515625" style="1335" customWidth="1"/>
    <col min="8482" max="8482" width="11.5703125" style="1335" customWidth="1"/>
    <col min="8483" max="8483" width="33.140625" style="1335" customWidth="1"/>
    <col min="8484" max="8484" width="22.7109375" style="1335" customWidth="1"/>
    <col min="8485" max="8485" width="10.7109375" style="1335" customWidth="1"/>
    <col min="8486" max="8486" width="27.7109375" style="1335" customWidth="1"/>
    <col min="8487" max="8487" width="21.42578125" style="1335" customWidth="1"/>
    <col min="8488" max="8488" width="22.140625" style="1335" customWidth="1"/>
    <col min="8489" max="8489" width="12.7109375" style="1335" customWidth="1"/>
    <col min="8490" max="8490" width="16.42578125" style="1335" customWidth="1"/>
    <col min="8491" max="8491" width="29.7109375" style="1335" customWidth="1"/>
    <col min="8492" max="8492" width="29.140625" style="1335" customWidth="1"/>
    <col min="8493" max="8493" width="33.5703125" style="1335" customWidth="1"/>
    <col min="8494" max="8494" width="25" style="1335" customWidth="1"/>
    <col min="8495" max="8495" width="11.7109375" style="1335" customWidth="1"/>
    <col min="8496" max="8496" width="17.28515625" style="1335" customWidth="1"/>
    <col min="8497" max="8512" width="7.28515625" style="1335" customWidth="1"/>
    <col min="8513" max="8514" width="13.7109375" style="1335" customWidth="1"/>
    <col min="8515" max="8515" width="20.85546875" style="1335" customWidth="1"/>
    <col min="8516" max="8731" width="11.42578125" style="1335"/>
    <col min="8732" max="8732" width="13.140625" style="1335" customWidth="1"/>
    <col min="8733" max="8733" width="35.28515625" style="1335" customWidth="1"/>
    <col min="8734" max="8734" width="12.85546875" style="1335" customWidth="1"/>
    <col min="8735" max="8735" width="19.5703125" style="1335" customWidth="1"/>
    <col min="8736" max="8736" width="12.28515625" style="1335" customWidth="1"/>
    <col min="8737" max="8737" width="21.28515625" style="1335" customWidth="1"/>
    <col min="8738" max="8738" width="11.5703125" style="1335" customWidth="1"/>
    <col min="8739" max="8739" width="33.140625" style="1335" customWidth="1"/>
    <col min="8740" max="8740" width="22.7109375" style="1335" customWidth="1"/>
    <col min="8741" max="8741" width="10.7109375" style="1335" customWidth="1"/>
    <col min="8742" max="8742" width="27.7109375" style="1335" customWidth="1"/>
    <col min="8743" max="8743" width="21.42578125" style="1335" customWidth="1"/>
    <col min="8744" max="8744" width="22.140625" style="1335" customWidth="1"/>
    <col min="8745" max="8745" width="12.7109375" style="1335" customWidth="1"/>
    <col min="8746" max="8746" width="16.42578125" style="1335" customWidth="1"/>
    <col min="8747" max="8747" width="29.7109375" style="1335" customWidth="1"/>
    <col min="8748" max="8748" width="29.140625" style="1335" customWidth="1"/>
    <col min="8749" max="8749" width="33.5703125" style="1335" customWidth="1"/>
    <col min="8750" max="8750" width="25" style="1335" customWidth="1"/>
    <col min="8751" max="8751" width="11.7109375" style="1335" customWidth="1"/>
    <col min="8752" max="8752" width="17.28515625" style="1335" customWidth="1"/>
    <col min="8753" max="8768" width="7.28515625" style="1335" customWidth="1"/>
    <col min="8769" max="8770" width="13.7109375" style="1335" customWidth="1"/>
    <col min="8771" max="8771" width="20.85546875" style="1335" customWidth="1"/>
    <col min="8772" max="8987" width="11.42578125" style="1335"/>
    <col min="8988" max="8988" width="13.140625" style="1335" customWidth="1"/>
    <col min="8989" max="8989" width="35.28515625" style="1335" customWidth="1"/>
    <col min="8990" max="8990" width="12.85546875" style="1335" customWidth="1"/>
    <col min="8991" max="8991" width="19.5703125" style="1335" customWidth="1"/>
    <col min="8992" max="8992" width="12.28515625" style="1335" customWidth="1"/>
    <col min="8993" max="8993" width="21.28515625" style="1335" customWidth="1"/>
    <col min="8994" max="8994" width="11.5703125" style="1335" customWidth="1"/>
    <col min="8995" max="8995" width="33.140625" style="1335" customWidth="1"/>
    <col min="8996" max="8996" width="22.7109375" style="1335" customWidth="1"/>
    <col min="8997" max="8997" width="10.7109375" style="1335" customWidth="1"/>
    <col min="8998" max="8998" width="27.7109375" style="1335" customWidth="1"/>
    <col min="8999" max="8999" width="21.42578125" style="1335" customWidth="1"/>
    <col min="9000" max="9000" width="22.140625" style="1335" customWidth="1"/>
    <col min="9001" max="9001" width="12.7109375" style="1335" customWidth="1"/>
    <col min="9002" max="9002" width="16.42578125" style="1335" customWidth="1"/>
    <col min="9003" max="9003" width="29.7109375" style="1335" customWidth="1"/>
    <col min="9004" max="9004" width="29.140625" style="1335" customWidth="1"/>
    <col min="9005" max="9005" width="33.5703125" style="1335" customWidth="1"/>
    <col min="9006" max="9006" width="25" style="1335" customWidth="1"/>
    <col min="9007" max="9007" width="11.7109375" style="1335" customWidth="1"/>
    <col min="9008" max="9008" width="17.28515625" style="1335" customWidth="1"/>
    <col min="9009" max="9024" width="7.28515625" style="1335" customWidth="1"/>
    <col min="9025" max="9026" width="13.7109375" style="1335" customWidth="1"/>
    <col min="9027" max="9027" width="20.85546875" style="1335" customWidth="1"/>
    <col min="9028" max="9243" width="11.42578125" style="1335"/>
    <col min="9244" max="9244" width="13.140625" style="1335" customWidth="1"/>
    <col min="9245" max="9245" width="35.28515625" style="1335" customWidth="1"/>
    <col min="9246" max="9246" width="12.85546875" style="1335" customWidth="1"/>
    <col min="9247" max="9247" width="19.5703125" style="1335" customWidth="1"/>
    <col min="9248" max="9248" width="12.28515625" style="1335" customWidth="1"/>
    <col min="9249" max="9249" width="21.28515625" style="1335" customWidth="1"/>
    <col min="9250" max="9250" width="11.5703125" style="1335" customWidth="1"/>
    <col min="9251" max="9251" width="33.140625" style="1335" customWidth="1"/>
    <col min="9252" max="9252" width="22.7109375" style="1335" customWidth="1"/>
    <col min="9253" max="9253" width="10.7109375" style="1335" customWidth="1"/>
    <col min="9254" max="9254" width="27.7109375" style="1335" customWidth="1"/>
    <col min="9255" max="9255" width="21.42578125" style="1335" customWidth="1"/>
    <col min="9256" max="9256" width="22.140625" style="1335" customWidth="1"/>
    <col min="9257" max="9257" width="12.7109375" style="1335" customWidth="1"/>
    <col min="9258" max="9258" width="16.42578125" style="1335" customWidth="1"/>
    <col min="9259" max="9259" width="29.7109375" style="1335" customWidth="1"/>
    <col min="9260" max="9260" width="29.140625" style="1335" customWidth="1"/>
    <col min="9261" max="9261" width="33.5703125" style="1335" customWidth="1"/>
    <col min="9262" max="9262" width="25" style="1335" customWidth="1"/>
    <col min="9263" max="9263" width="11.7109375" style="1335" customWidth="1"/>
    <col min="9264" max="9264" width="17.28515625" style="1335" customWidth="1"/>
    <col min="9265" max="9280" width="7.28515625" style="1335" customWidth="1"/>
    <col min="9281" max="9282" width="13.7109375" style="1335" customWidth="1"/>
    <col min="9283" max="9283" width="20.85546875" style="1335" customWidth="1"/>
    <col min="9284" max="9499" width="11.42578125" style="1335"/>
    <col min="9500" max="9500" width="13.140625" style="1335" customWidth="1"/>
    <col min="9501" max="9501" width="35.28515625" style="1335" customWidth="1"/>
    <col min="9502" max="9502" width="12.85546875" style="1335" customWidth="1"/>
    <col min="9503" max="9503" width="19.5703125" style="1335" customWidth="1"/>
    <col min="9504" max="9504" width="12.28515625" style="1335" customWidth="1"/>
    <col min="9505" max="9505" width="21.28515625" style="1335" customWidth="1"/>
    <col min="9506" max="9506" width="11.5703125" style="1335" customWidth="1"/>
    <col min="9507" max="9507" width="33.140625" style="1335" customWidth="1"/>
    <col min="9508" max="9508" width="22.7109375" style="1335" customWidth="1"/>
    <col min="9509" max="9509" width="10.7109375" style="1335" customWidth="1"/>
    <col min="9510" max="9510" width="27.7109375" style="1335" customWidth="1"/>
    <col min="9511" max="9511" width="21.42578125" style="1335" customWidth="1"/>
    <col min="9512" max="9512" width="22.140625" style="1335" customWidth="1"/>
    <col min="9513" max="9513" width="12.7109375" style="1335" customWidth="1"/>
    <col min="9514" max="9514" width="16.42578125" style="1335" customWidth="1"/>
    <col min="9515" max="9515" width="29.7109375" style="1335" customWidth="1"/>
    <col min="9516" max="9516" width="29.140625" style="1335" customWidth="1"/>
    <col min="9517" max="9517" width="33.5703125" style="1335" customWidth="1"/>
    <col min="9518" max="9518" width="25" style="1335" customWidth="1"/>
    <col min="9519" max="9519" width="11.7109375" style="1335" customWidth="1"/>
    <col min="9520" max="9520" width="17.28515625" style="1335" customWidth="1"/>
    <col min="9521" max="9536" width="7.28515625" style="1335" customWidth="1"/>
    <col min="9537" max="9538" width="13.7109375" style="1335" customWidth="1"/>
    <col min="9539" max="9539" width="20.85546875" style="1335" customWidth="1"/>
    <col min="9540" max="9755" width="11.42578125" style="1335"/>
    <col min="9756" max="9756" width="13.140625" style="1335" customWidth="1"/>
    <col min="9757" max="9757" width="35.28515625" style="1335" customWidth="1"/>
    <col min="9758" max="9758" width="12.85546875" style="1335" customWidth="1"/>
    <col min="9759" max="9759" width="19.5703125" style="1335" customWidth="1"/>
    <col min="9760" max="9760" width="12.28515625" style="1335" customWidth="1"/>
    <col min="9761" max="9761" width="21.28515625" style="1335" customWidth="1"/>
    <col min="9762" max="9762" width="11.5703125" style="1335" customWidth="1"/>
    <col min="9763" max="9763" width="33.140625" style="1335" customWidth="1"/>
    <col min="9764" max="9764" width="22.7109375" style="1335" customWidth="1"/>
    <col min="9765" max="9765" width="10.7109375" style="1335" customWidth="1"/>
    <col min="9766" max="9766" width="27.7109375" style="1335" customWidth="1"/>
    <col min="9767" max="9767" width="21.42578125" style="1335" customWidth="1"/>
    <col min="9768" max="9768" width="22.140625" style="1335" customWidth="1"/>
    <col min="9769" max="9769" width="12.7109375" style="1335" customWidth="1"/>
    <col min="9770" max="9770" width="16.42578125" style="1335" customWidth="1"/>
    <col min="9771" max="9771" width="29.7109375" style="1335" customWidth="1"/>
    <col min="9772" max="9772" width="29.140625" style="1335" customWidth="1"/>
    <col min="9773" max="9773" width="33.5703125" style="1335" customWidth="1"/>
    <col min="9774" max="9774" width="25" style="1335" customWidth="1"/>
    <col min="9775" max="9775" width="11.7109375" style="1335" customWidth="1"/>
    <col min="9776" max="9776" width="17.28515625" style="1335" customWidth="1"/>
    <col min="9777" max="9792" width="7.28515625" style="1335" customWidth="1"/>
    <col min="9793" max="9794" width="13.7109375" style="1335" customWidth="1"/>
    <col min="9795" max="9795" width="20.85546875" style="1335" customWidth="1"/>
    <col min="9796" max="10011" width="11.42578125" style="1335"/>
    <col min="10012" max="10012" width="13.140625" style="1335" customWidth="1"/>
    <col min="10013" max="10013" width="35.28515625" style="1335" customWidth="1"/>
    <col min="10014" max="10014" width="12.85546875" style="1335" customWidth="1"/>
    <col min="10015" max="10015" width="19.5703125" style="1335" customWidth="1"/>
    <col min="10016" max="10016" width="12.28515625" style="1335" customWidth="1"/>
    <col min="10017" max="10017" width="21.28515625" style="1335" customWidth="1"/>
    <col min="10018" max="10018" width="11.5703125" style="1335" customWidth="1"/>
    <col min="10019" max="10019" width="33.140625" style="1335" customWidth="1"/>
    <col min="10020" max="10020" width="22.7109375" style="1335" customWidth="1"/>
    <col min="10021" max="10021" width="10.7109375" style="1335" customWidth="1"/>
    <col min="10022" max="10022" width="27.7109375" style="1335" customWidth="1"/>
    <col min="10023" max="10023" width="21.42578125" style="1335" customWidth="1"/>
    <col min="10024" max="10024" width="22.140625" style="1335" customWidth="1"/>
    <col min="10025" max="10025" width="12.7109375" style="1335" customWidth="1"/>
    <col min="10026" max="10026" width="16.42578125" style="1335" customWidth="1"/>
    <col min="10027" max="10027" width="29.7109375" style="1335" customWidth="1"/>
    <col min="10028" max="10028" width="29.140625" style="1335" customWidth="1"/>
    <col min="10029" max="10029" width="33.5703125" style="1335" customWidth="1"/>
    <col min="10030" max="10030" width="25" style="1335" customWidth="1"/>
    <col min="10031" max="10031" width="11.7109375" style="1335" customWidth="1"/>
    <col min="10032" max="10032" width="17.28515625" style="1335" customWidth="1"/>
    <col min="10033" max="10048" width="7.28515625" style="1335" customWidth="1"/>
    <col min="10049" max="10050" width="13.7109375" style="1335" customWidth="1"/>
    <col min="10051" max="10051" width="20.85546875" style="1335" customWidth="1"/>
    <col min="10052" max="10267" width="11.42578125" style="1335"/>
    <col min="10268" max="10268" width="13.140625" style="1335" customWidth="1"/>
    <col min="10269" max="10269" width="35.28515625" style="1335" customWidth="1"/>
    <col min="10270" max="10270" width="12.85546875" style="1335" customWidth="1"/>
    <col min="10271" max="10271" width="19.5703125" style="1335" customWidth="1"/>
    <col min="10272" max="10272" width="12.28515625" style="1335" customWidth="1"/>
    <col min="10273" max="10273" width="21.28515625" style="1335" customWidth="1"/>
    <col min="10274" max="10274" width="11.5703125" style="1335" customWidth="1"/>
    <col min="10275" max="10275" width="33.140625" style="1335" customWidth="1"/>
    <col min="10276" max="10276" width="22.7109375" style="1335" customWidth="1"/>
    <col min="10277" max="10277" width="10.7109375" style="1335" customWidth="1"/>
    <col min="10278" max="10278" width="27.7109375" style="1335" customWidth="1"/>
    <col min="10279" max="10279" width="21.42578125" style="1335" customWidth="1"/>
    <col min="10280" max="10280" width="22.140625" style="1335" customWidth="1"/>
    <col min="10281" max="10281" width="12.7109375" style="1335" customWidth="1"/>
    <col min="10282" max="10282" width="16.42578125" style="1335" customWidth="1"/>
    <col min="10283" max="10283" width="29.7109375" style="1335" customWidth="1"/>
    <col min="10284" max="10284" width="29.140625" style="1335" customWidth="1"/>
    <col min="10285" max="10285" width="33.5703125" style="1335" customWidth="1"/>
    <col min="10286" max="10286" width="25" style="1335" customWidth="1"/>
    <col min="10287" max="10287" width="11.7109375" style="1335" customWidth="1"/>
    <col min="10288" max="10288" width="17.28515625" style="1335" customWidth="1"/>
    <col min="10289" max="10304" width="7.28515625" style="1335" customWidth="1"/>
    <col min="10305" max="10306" width="13.7109375" style="1335" customWidth="1"/>
    <col min="10307" max="10307" width="20.85546875" style="1335" customWidth="1"/>
    <col min="10308" max="10523" width="11.42578125" style="1335"/>
    <col min="10524" max="10524" width="13.140625" style="1335" customWidth="1"/>
    <col min="10525" max="10525" width="35.28515625" style="1335" customWidth="1"/>
    <col min="10526" max="10526" width="12.85546875" style="1335" customWidth="1"/>
    <col min="10527" max="10527" width="19.5703125" style="1335" customWidth="1"/>
    <col min="10528" max="10528" width="12.28515625" style="1335" customWidth="1"/>
    <col min="10529" max="10529" width="21.28515625" style="1335" customWidth="1"/>
    <col min="10530" max="10530" width="11.5703125" style="1335" customWidth="1"/>
    <col min="10531" max="10531" width="33.140625" style="1335" customWidth="1"/>
    <col min="10532" max="10532" width="22.7109375" style="1335" customWidth="1"/>
    <col min="10533" max="10533" width="10.7109375" style="1335" customWidth="1"/>
    <col min="10534" max="10534" width="27.7109375" style="1335" customWidth="1"/>
    <col min="10535" max="10535" width="21.42578125" style="1335" customWidth="1"/>
    <col min="10536" max="10536" width="22.140625" style="1335" customWidth="1"/>
    <col min="10537" max="10537" width="12.7109375" style="1335" customWidth="1"/>
    <col min="10538" max="10538" width="16.42578125" style="1335" customWidth="1"/>
    <col min="10539" max="10539" width="29.7109375" style="1335" customWidth="1"/>
    <col min="10540" max="10540" width="29.140625" style="1335" customWidth="1"/>
    <col min="10541" max="10541" width="33.5703125" style="1335" customWidth="1"/>
    <col min="10542" max="10542" width="25" style="1335" customWidth="1"/>
    <col min="10543" max="10543" width="11.7109375" style="1335" customWidth="1"/>
    <col min="10544" max="10544" width="17.28515625" style="1335" customWidth="1"/>
    <col min="10545" max="10560" width="7.28515625" style="1335" customWidth="1"/>
    <col min="10561" max="10562" width="13.7109375" style="1335" customWidth="1"/>
    <col min="10563" max="10563" width="20.85546875" style="1335" customWidth="1"/>
    <col min="10564" max="10779" width="11.42578125" style="1335"/>
    <col min="10780" max="10780" width="13.140625" style="1335" customWidth="1"/>
    <col min="10781" max="10781" width="35.28515625" style="1335" customWidth="1"/>
    <col min="10782" max="10782" width="12.85546875" style="1335" customWidth="1"/>
    <col min="10783" max="10783" width="19.5703125" style="1335" customWidth="1"/>
    <col min="10784" max="10784" width="12.28515625" style="1335" customWidth="1"/>
    <col min="10785" max="10785" width="21.28515625" style="1335" customWidth="1"/>
    <col min="10786" max="10786" width="11.5703125" style="1335" customWidth="1"/>
    <col min="10787" max="10787" width="33.140625" style="1335" customWidth="1"/>
    <col min="10788" max="10788" width="22.7109375" style="1335" customWidth="1"/>
    <col min="10789" max="10789" width="10.7109375" style="1335" customWidth="1"/>
    <col min="10790" max="10790" width="27.7109375" style="1335" customWidth="1"/>
    <col min="10791" max="10791" width="21.42578125" style="1335" customWidth="1"/>
    <col min="10792" max="10792" width="22.140625" style="1335" customWidth="1"/>
    <col min="10793" max="10793" width="12.7109375" style="1335" customWidth="1"/>
    <col min="10794" max="10794" width="16.42578125" style="1335" customWidth="1"/>
    <col min="10795" max="10795" width="29.7109375" style="1335" customWidth="1"/>
    <col min="10796" max="10796" width="29.140625" style="1335" customWidth="1"/>
    <col min="10797" max="10797" width="33.5703125" style="1335" customWidth="1"/>
    <col min="10798" max="10798" width="25" style="1335" customWidth="1"/>
    <col min="10799" max="10799" width="11.7109375" style="1335" customWidth="1"/>
    <col min="10800" max="10800" width="17.28515625" style="1335" customWidth="1"/>
    <col min="10801" max="10816" width="7.28515625" style="1335" customWidth="1"/>
    <col min="10817" max="10818" width="13.7109375" style="1335" customWidth="1"/>
    <col min="10819" max="10819" width="20.85546875" style="1335" customWidth="1"/>
    <col min="10820" max="11035" width="11.42578125" style="1335"/>
    <col min="11036" max="11036" width="13.140625" style="1335" customWidth="1"/>
    <col min="11037" max="11037" width="35.28515625" style="1335" customWidth="1"/>
    <col min="11038" max="11038" width="12.85546875" style="1335" customWidth="1"/>
    <col min="11039" max="11039" width="19.5703125" style="1335" customWidth="1"/>
    <col min="11040" max="11040" width="12.28515625" style="1335" customWidth="1"/>
    <col min="11041" max="11041" width="21.28515625" style="1335" customWidth="1"/>
    <col min="11042" max="11042" width="11.5703125" style="1335" customWidth="1"/>
    <col min="11043" max="11043" width="33.140625" style="1335" customWidth="1"/>
    <col min="11044" max="11044" width="22.7109375" style="1335" customWidth="1"/>
    <col min="11045" max="11045" width="10.7109375" style="1335" customWidth="1"/>
    <col min="11046" max="11046" width="27.7109375" style="1335" customWidth="1"/>
    <col min="11047" max="11047" width="21.42578125" style="1335" customWidth="1"/>
    <col min="11048" max="11048" width="22.140625" style="1335" customWidth="1"/>
    <col min="11049" max="11049" width="12.7109375" style="1335" customWidth="1"/>
    <col min="11050" max="11050" width="16.42578125" style="1335" customWidth="1"/>
    <col min="11051" max="11051" width="29.7109375" style="1335" customWidth="1"/>
    <col min="11052" max="11052" width="29.140625" style="1335" customWidth="1"/>
    <col min="11053" max="11053" width="33.5703125" style="1335" customWidth="1"/>
    <col min="11054" max="11054" width="25" style="1335" customWidth="1"/>
    <col min="11055" max="11055" width="11.7109375" style="1335" customWidth="1"/>
    <col min="11056" max="11056" width="17.28515625" style="1335" customWidth="1"/>
    <col min="11057" max="11072" width="7.28515625" style="1335" customWidth="1"/>
    <col min="11073" max="11074" width="13.7109375" style="1335" customWidth="1"/>
    <col min="11075" max="11075" width="20.85546875" style="1335" customWidth="1"/>
    <col min="11076" max="11291" width="11.42578125" style="1335"/>
    <col min="11292" max="11292" width="13.140625" style="1335" customWidth="1"/>
    <col min="11293" max="11293" width="35.28515625" style="1335" customWidth="1"/>
    <col min="11294" max="11294" width="12.85546875" style="1335" customWidth="1"/>
    <col min="11295" max="11295" width="19.5703125" style="1335" customWidth="1"/>
    <col min="11296" max="11296" width="12.28515625" style="1335" customWidth="1"/>
    <col min="11297" max="11297" width="21.28515625" style="1335" customWidth="1"/>
    <col min="11298" max="11298" width="11.5703125" style="1335" customWidth="1"/>
    <col min="11299" max="11299" width="33.140625" style="1335" customWidth="1"/>
    <col min="11300" max="11300" width="22.7109375" style="1335" customWidth="1"/>
    <col min="11301" max="11301" width="10.7109375" style="1335" customWidth="1"/>
    <col min="11302" max="11302" width="27.7109375" style="1335" customWidth="1"/>
    <col min="11303" max="11303" width="21.42578125" style="1335" customWidth="1"/>
    <col min="11304" max="11304" width="22.140625" style="1335" customWidth="1"/>
    <col min="11305" max="11305" width="12.7109375" style="1335" customWidth="1"/>
    <col min="11306" max="11306" width="16.42578125" style="1335" customWidth="1"/>
    <col min="11307" max="11307" width="29.7109375" style="1335" customWidth="1"/>
    <col min="11308" max="11308" width="29.140625" style="1335" customWidth="1"/>
    <col min="11309" max="11309" width="33.5703125" style="1335" customWidth="1"/>
    <col min="11310" max="11310" width="25" style="1335" customWidth="1"/>
    <col min="11311" max="11311" width="11.7109375" style="1335" customWidth="1"/>
    <col min="11312" max="11312" width="17.28515625" style="1335" customWidth="1"/>
    <col min="11313" max="11328" width="7.28515625" style="1335" customWidth="1"/>
    <col min="11329" max="11330" width="13.7109375" style="1335" customWidth="1"/>
    <col min="11331" max="11331" width="20.85546875" style="1335" customWidth="1"/>
    <col min="11332" max="11547" width="11.42578125" style="1335"/>
    <col min="11548" max="11548" width="13.140625" style="1335" customWidth="1"/>
    <col min="11549" max="11549" width="35.28515625" style="1335" customWidth="1"/>
    <col min="11550" max="11550" width="12.85546875" style="1335" customWidth="1"/>
    <col min="11551" max="11551" width="19.5703125" style="1335" customWidth="1"/>
    <col min="11552" max="11552" width="12.28515625" style="1335" customWidth="1"/>
    <col min="11553" max="11553" width="21.28515625" style="1335" customWidth="1"/>
    <col min="11554" max="11554" width="11.5703125" style="1335" customWidth="1"/>
    <col min="11555" max="11555" width="33.140625" style="1335" customWidth="1"/>
    <col min="11556" max="11556" width="22.7109375" style="1335" customWidth="1"/>
    <col min="11557" max="11557" width="10.7109375" style="1335" customWidth="1"/>
    <col min="11558" max="11558" width="27.7109375" style="1335" customWidth="1"/>
    <col min="11559" max="11559" width="21.42578125" style="1335" customWidth="1"/>
    <col min="11560" max="11560" width="22.140625" style="1335" customWidth="1"/>
    <col min="11561" max="11561" width="12.7109375" style="1335" customWidth="1"/>
    <col min="11562" max="11562" width="16.42578125" style="1335" customWidth="1"/>
    <col min="11563" max="11563" width="29.7109375" style="1335" customWidth="1"/>
    <col min="11564" max="11564" width="29.140625" style="1335" customWidth="1"/>
    <col min="11565" max="11565" width="33.5703125" style="1335" customWidth="1"/>
    <col min="11566" max="11566" width="25" style="1335" customWidth="1"/>
    <col min="11567" max="11567" width="11.7109375" style="1335" customWidth="1"/>
    <col min="11568" max="11568" width="17.28515625" style="1335" customWidth="1"/>
    <col min="11569" max="11584" width="7.28515625" style="1335" customWidth="1"/>
    <col min="11585" max="11586" width="13.7109375" style="1335" customWidth="1"/>
    <col min="11587" max="11587" width="20.85546875" style="1335" customWidth="1"/>
    <col min="11588" max="11803" width="11.42578125" style="1335"/>
    <col min="11804" max="11804" width="13.140625" style="1335" customWidth="1"/>
    <col min="11805" max="11805" width="35.28515625" style="1335" customWidth="1"/>
    <col min="11806" max="11806" width="12.85546875" style="1335" customWidth="1"/>
    <col min="11807" max="11807" width="19.5703125" style="1335" customWidth="1"/>
    <col min="11808" max="11808" width="12.28515625" style="1335" customWidth="1"/>
    <col min="11809" max="11809" width="21.28515625" style="1335" customWidth="1"/>
    <col min="11810" max="11810" width="11.5703125" style="1335" customWidth="1"/>
    <col min="11811" max="11811" width="33.140625" style="1335" customWidth="1"/>
    <col min="11812" max="11812" width="22.7109375" style="1335" customWidth="1"/>
    <col min="11813" max="11813" width="10.7109375" style="1335" customWidth="1"/>
    <col min="11814" max="11814" width="27.7109375" style="1335" customWidth="1"/>
    <col min="11815" max="11815" width="21.42578125" style="1335" customWidth="1"/>
    <col min="11816" max="11816" width="22.140625" style="1335" customWidth="1"/>
    <col min="11817" max="11817" width="12.7109375" style="1335" customWidth="1"/>
    <col min="11818" max="11818" width="16.42578125" style="1335" customWidth="1"/>
    <col min="11819" max="11819" width="29.7109375" style="1335" customWidth="1"/>
    <col min="11820" max="11820" width="29.140625" style="1335" customWidth="1"/>
    <col min="11821" max="11821" width="33.5703125" style="1335" customWidth="1"/>
    <col min="11822" max="11822" width="25" style="1335" customWidth="1"/>
    <col min="11823" max="11823" width="11.7109375" style="1335" customWidth="1"/>
    <col min="11824" max="11824" width="17.28515625" style="1335" customWidth="1"/>
    <col min="11825" max="11840" width="7.28515625" style="1335" customWidth="1"/>
    <col min="11841" max="11842" width="13.7109375" style="1335" customWidth="1"/>
    <col min="11843" max="11843" width="20.85546875" style="1335" customWidth="1"/>
    <col min="11844" max="12059" width="11.42578125" style="1335"/>
    <col min="12060" max="12060" width="13.140625" style="1335" customWidth="1"/>
    <col min="12061" max="12061" width="35.28515625" style="1335" customWidth="1"/>
    <col min="12062" max="12062" width="12.85546875" style="1335" customWidth="1"/>
    <col min="12063" max="12063" width="19.5703125" style="1335" customWidth="1"/>
    <col min="12064" max="12064" width="12.28515625" style="1335" customWidth="1"/>
    <col min="12065" max="12065" width="21.28515625" style="1335" customWidth="1"/>
    <col min="12066" max="12066" width="11.5703125" style="1335" customWidth="1"/>
    <col min="12067" max="12067" width="33.140625" style="1335" customWidth="1"/>
    <col min="12068" max="12068" width="22.7109375" style="1335" customWidth="1"/>
    <col min="12069" max="12069" width="10.7109375" style="1335" customWidth="1"/>
    <col min="12070" max="12070" width="27.7109375" style="1335" customWidth="1"/>
    <col min="12071" max="12071" width="21.42578125" style="1335" customWidth="1"/>
    <col min="12072" max="12072" width="22.140625" style="1335" customWidth="1"/>
    <col min="12073" max="12073" width="12.7109375" style="1335" customWidth="1"/>
    <col min="12074" max="12074" width="16.42578125" style="1335" customWidth="1"/>
    <col min="12075" max="12075" width="29.7109375" style="1335" customWidth="1"/>
    <col min="12076" max="12076" width="29.140625" style="1335" customWidth="1"/>
    <col min="12077" max="12077" width="33.5703125" style="1335" customWidth="1"/>
    <col min="12078" max="12078" width="25" style="1335" customWidth="1"/>
    <col min="12079" max="12079" width="11.7109375" style="1335" customWidth="1"/>
    <col min="12080" max="12080" width="17.28515625" style="1335" customWidth="1"/>
    <col min="12081" max="12096" width="7.28515625" style="1335" customWidth="1"/>
    <col min="12097" max="12098" width="13.7109375" style="1335" customWidth="1"/>
    <col min="12099" max="12099" width="20.85546875" style="1335" customWidth="1"/>
    <col min="12100" max="12315" width="11.42578125" style="1335"/>
    <col min="12316" max="12316" width="13.140625" style="1335" customWidth="1"/>
    <col min="12317" max="12317" width="35.28515625" style="1335" customWidth="1"/>
    <col min="12318" max="12318" width="12.85546875" style="1335" customWidth="1"/>
    <col min="12319" max="12319" width="19.5703125" style="1335" customWidth="1"/>
    <col min="12320" max="12320" width="12.28515625" style="1335" customWidth="1"/>
    <col min="12321" max="12321" width="21.28515625" style="1335" customWidth="1"/>
    <col min="12322" max="12322" width="11.5703125" style="1335" customWidth="1"/>
    <col min="12323" max="12323" width="33.140625" style="1335" customWidth="1"/>
    <col min="12324" max="12324" width="22.7109375" style="1335" customWidth="1"/>
    <col min="12325" max="12325" width="10.7109375" style="1335" customWidth="1"/>
    <col min="12326" max="12326" width="27.7109375" style="1335" customWidth="1"/>
    <col min="12327" max="12327" width="21.42578125" style="1335" customWidth="1"/>
    <col min="12328" max="12328" width="22.140625" style="1335" customWidth="1"/>
    <col min="12329" max="12329" width="12.7109375" style="1335" customWidth="1"/>
    <col min="12330" max="12330" width="16.42578125" style="1335" customWidth="1"/>
    <col min="12331" max="12331" width="29.7109375" style="1335" customWidth="1"/>
    <col min="12332" max="12332" width="29.140625" style="1335" customWidth="1"/>
    <col min="12333" max="12333" width="33.5703125" style="1335" customWidth="1"/>
    <col min="12334" max="12334" width="25" style="1335" customWidth="1"/>
    <col min="12335" max="12335" width="11.7109375" style="1335" customWidth="1"/>
    <col min="12336" max="12336" width="17.28515625" style="1335" customWidth="1"/>
    <col min="12337" max="12352" width="7.28515625" style="1335" customWidth="1"/>
    <col min="12353" max="12354" width="13.7109375" style="1335" customWidth="1"/>
    <col min="12355" max="12355" width="20.85546875" style="1335" customWidth="1"/>
    <col min="12356" max="12571" width="11.42578125" style="1335"/>
    <col min="12572" max="12572" width="13.140625" style="1335" customWidth="1"/>
    <col min="12573" max="12573" width="35.28515625" style="1335" customWidth="1"/>
    <col min="12574" max="12574" width="12.85546875" style="1335" customWidth="1"/>
    <col min="12575" max="12575" width="19.5703125" style="1335" customWidth="1"/>
    <col min="12576" max="12576" width="12.28515625" style="1335" customWidth="1"/>
    <col min="12577" max="12577" width="21.28515625" style="1335" customWidth="1"/>
    <col min="12578" max="12578" width="11.5703125" style="1335" customWidth="1"/>
    <col min="12579" max="12579" width="33.140625" style="1335" customWidth="1"/>
    <col min="12580" max="12580" width="22.7109375" style="1335" customWidth="1"/>
    <col min="12581" max="12581" width="10.7109375" style="1335" customWidth="1"/>
    <col min="12582" max="12582" width="27.7109375" style="1335" customWidth="1"/>
    <col min="12583" max="12583" width="21.42578125" style="1335" customWidth="1"/>
    <col min="12584" max="12584" width="22.140625" style="1335" customWidth="1"/>
    <col min="12585" max="12585" width="12.7109375" style="1335" customWidth="1"/>
    <col min="12586" max="12586" width="16.42578125" style="1335" customWidth="1"/>
    <col min="12587" max="12587" width="29.7109375" style="1335" customWidth="1"/>
    <col min="12588" max="12588" width="29.140625" style="1335" customWidth="1"/>
    <col min="12589" max="12589" width="33.5703125" style="1335" customWidth="1"/>
    <col min="12590" max="12590" width="25" style="1335" customWidth="1"/>
    <col min="12591" max="12591" width="11.7109375" style="1335" customWidth="1"/>
    <col min="12592" max="12592" width="17.28515625" style="1335" customWidth="1"/>
    <col min="12593" max="12608" width="7.28515625" style="1335" customWidth="1"/>
    <col min="12609" max="12610" width="13.7109375" style="1335" customWidth="1"/>
    <col min="12611" max="12611" width="20.85546875" style="1335" customWidth="1"/>
    <col min="12612" max="12827" width="11.42578125" style="1335"/>
    <col min="12828" max="12828" width="13.140625" style="1335" customWidth="1"/>
    <col min="12829" max="12829" width="35.28515625" style="1335" customWidth="1"/>
    <col min="12830" max="12830" width="12.85546875" style="1335" customWidth="1"/>
    <col min="12831" max="12831" width="19.5703125" style="1335" customWidth="1"/>
    <col min="12832" max="12832" width="12.28515625" style="1335" customWidth="1"/>
    <col min="12833" max="12833" width="21.28515625" style="1335" customWidth="1"/>
    <col min="12834" max="12834" width="11.5703125" style="1335" customWidth="1"/>
    <col min="12835" max="12835" width="33.140625" style="1335" customWidth="1"/>
    <col min="12836" max="12836" width="22.7109375" style="1335" customWidth="1"/>
    <col min="12837" max="12837" width="10.7109375" style="1335" customWidth="1"/>
    <col min="12838" max="12838" width="27.7109375" style="1335" customWidth="1"/>
    <col min="12839" max="12839" width="21.42578125" style="1335" customWidth="1"/>
    <col min="12840" max="12840" width="22.140625" style="1335" customWidth="1"/>
    <col min="12841" max="12841" width="12.7109375" style="1335" customWidth="1"/>
    <col min="12842" max="12842" width="16.42578125" style="1335" customWidth="1"/>
    <col min="12843" max="12843" width="29.7109375" style="1335" customWidth="1"/>
    <col min="12844" max="12844" width="29.140625" style="1335" customWidth="1"/>
    <col min="12845" max="12845" width="33.5703125" style="1335" customWidth="1"/>
    <col min="12846" max="12846" width="25" style="1335" customWidth="1"/>
    <col min="12847" max="12847" width="11.7109375" style="1335" customWidth="1"/>
    <col min="12848" max="12848" width="17.28515625" style="1335" customWidth="1"/>
    <col min="12849" max="12864" width="7.28515625" style="1335" customWidth="1"/>
    <col min="12865" max="12866" width="13.7109375" style="1335" customWidth="1"/>
    <col min="12867" max="12867" width="20.85546875" style="1335" customWidth="1"/>
    <col min="12868" max="13083" width="11.42578125" style="1335"/>
    <col min="13084" max="13084" width="13.140625" style="1335" customWidth="1"/>
    <col min="13085" max="13085" width="35.28515625" style="1335" customWidth="1"/>
    <col min="13086" max="13086" width="12.85546875" style="1335" customWidth="1"/>
    <col min="13087" max="13087" width="19.5703125" style="1335" customWidth="1"/>
    <col min="13088" max="13088" width="12.28515625" style="1335" customWidth="1"/>
    <col min="13089" max="13089" width="21.28515625" style="1335" customWidth="1"/>
    <col min="13090" max="13090" width="11.5703125" style="1335" customWidth="1"/>
    <col min="13091" max="13091" width="33.140625" style="1335" customWidth="1"/>
    <col min="13092" max="13092" width="22.7109375" style="1335" customWidth="1"/>
    <col min="13093" max="13093" width="10.7109375" style="1335" customWidth="1"/>
    <col min="13094" max="13094" width="27.7109375" style="1335" customWidth="1"/>
    <col min="13095" max="13095" width="21.42578125" style="1335" customWidth="1"/>
    <col min="13096" max="13096" width="22.140625" style="1335" customWidth="1"/>
    <col min="13097" max="13097" width="12.7109375" style="1335" customWidth="1"/>
    <col min="13098" max="13098" width="16.42578125" style="1335" customWidth="1"/>
    <col min="13099" max="13099" width="29.7109375" style="1335" customWidth="1"/>
    <col min="13100" max="13100" width="29.140625" style="1335" customWidth="1"/>
    <col min="13101" max="13101" width="33.5703125" style="1335" customWidth="1"/>
    <col min="13102" max="13102" width="25" style="1335" customWidth="1"/>
    <col min="13103" max="13103" width="11.7109375" style="1335" customWidth="1"/>
    <col min="13104" max="13104" width="17.28515625" style="1335" customWidth="1"/>
    <col min="13105" max="13120" width="7.28515625" style="1335" customWidth="1"/>
    <col min="13121" max="13122" width="13.7109375" style="1335" customWidth="1"/>
    <col min="13123" max="13123" width="20.85546875" style="1335" customWidth="1"/>
    <col min="13124" max="13339" width="11.42578125" style="1335"/>
    <col min="13340" max="13340" width="13.140625" style="1335" customWidth="1"/>
    <col min="13341" max="13341" width="35.28515625" style="1335" customWidth="1"/>
    <col min="13342" max="13342" width="12.85546875" style="1335" customWidth="1"/>
    <col min="13343" max="13343" width="19.5703125" style="1335" customWidth="1"/>
    <col min="13344" max="13344" width="12.28515625" style="1335" customWidth="1"/>
    <col min="13345" max="13345" width="21.28515625" style="1335" customWidth="1"/>
    <col min="13346" max="13346" width="11.5703125" style="1335" customWidth="1"/>
    <col min="13347" max="13347" width="33.140625" style="1335" customWidth="1"/>
    <col min="13348" max="13348" width="22.7109375" style="1335" customWidth="1"/>
    <col min="13349" max="13349" width="10.7109375" style="1335" customWidth="1"/>
    <col min="13350" max="13350" width="27.7109375" style="1335" customWidth="1"/>
    <col min="13351" max="13351" width="21.42578125" style="1335" customWidth="1"/>
    <col min="13352" max="13352" width="22.140625" style="1335" customWidth="1"/>
    <col min="13353" max="13353" width="12.7109375" style="1335" customWidth="1"/>
    <col min="13354" max="13354" width="16.42578125" style="1335" customWidth="1"/>
    <col min="13355" max="13355" width="29.7109375" style="1335" customWidth="1"/>
    <col min="13356" max="13356" width="29.140625" style="1335" customWidth="1"/>
    <col min="13357" max="13357" width="33.5703125" style="1335" customWidth="1"/>
    <col min="13358" max="13358" width="25" style="1335" customWidth="1"/>
    <col min="13359" max="13359" width="11.7109375" style="1335" customWidth="1"/>
    <col min="13360" max="13360" width="17.28515625" style="1335" customWidth="1"/>
    <col min="13361" max="13376" width="7.28515625" style="1335" customWidth="1"/>
    <col min="13377" max="13378" width="13.7109375" style="1335" customWidth="1"/>
    <col min="13379" max="13379" width="20.85546875" style="1335" customWidth="1"/>
    <col min="13380" max="13595" width="11.42578125" style="1335"/>
    <col min="13596" max="13596" width="13.140625" style="1335" customWidth="1"/>
    <col min="13597" max="13597" width="35.28515625" style="1335" customWidth="1"/>
    <col min="13598" max="13598" width="12.85546875" style="1335" customWidth="1"/>
    <col min="13599" max="13599" width="19.5703125" style="1335" customWidth="1"/>
    <col min="13600" max="13600" width="12.28515625" style="1335" customWidth="1"/>
    <col min="13601" max="13601" width="21.28515625" style="1335" customWidth="1"/>
    <col min="13602" max="13602" width="11.5703125" style="1335" customWidth="1"/>
    <col min="13603" max="13603" width="33.140625" style="1335" customWidth="1"/>
    <col min="13604" max="13604" width="22.7109375" style="1335" customWidth="1"/>
    <col min="13605" max="13605" width="10.7109375" style="1335" customWidth="1"/>
    <col min="13606" max="13606" width="27.7109375" style="1335" customWidth="1"/>
    <col min="13607" max="13607" width="21.42578125" style="1335" customWidth="1"/>
    <col min="13608" max="13608" width="22.140625" style="1335" customWidth="1"/>
    <col min="13609" max="13609" width="12.7109375" style="1335" customWidth="1"/>
    <col min="13610" max="13610" width="16.42578125" style="1335" customWidth="1"/>
    <col min="13611" max="13611" width="29.7109375" style="1335" customWidth="1"/>
    <col min="13612" max="13612" width="29.140625" style="1335" customWidth="1"/>
    <col min="13613" max="13613" width="33.5703125" style="1335" customWidth="1"/>
    <col min="13614" max="13614" width="25" style="1335" customWidth="1"/>
    <col min="13615" max="13615" width="11.7109375" style="1335" customWidth="1"/>
    <col min="13616" max="13616" width="17.28515625" style="1335" customWidth="1"/>
    <col min="13617" max="13632" width="7.28515625" style="1335" customWidth="1"/>
    <col min="13633" max="13634" width="13.7109375" style="1335" customWidth="1"/>
    <col min="13635" max="13635" width="20.85546875" style="1335" customWidth="1"/>
    <col min="13636" max="13851" width="11.42578125" style="1335"/>
    <col min="13852" max="13852" width="13.140625" style="1335" customWidth="1"/>
    <col min="13853" max="13853" width="35.28515625" style="1335" customWidth="1"/>
    <col min="13854" max="13854" width="12.85546875" style="1335" customWidth="1"/>
    <col min="13855" max="13855" width="19.5703125" style="1335" customWidth="1"/>
    <col min="13856" max="13856" width="12.28515625" style="1335" customWidth="1"/>
    <col min="13857" max="13857" width="21.28515625" style="1335" customWidth="1"/>
    <col min="13858" max="13858" width="11.5703125" style="1335" customWidth="1"/>
    <col min="13859" max="13859" width="33.140625" style="1335" customWidth="1"/>
    <col min="13860" max="13860" width="22.7109375" style="1335" customWidth="1"/>
    <col min="13861" max="13861" width="10.7109375" style="1335" customWidth="1"/>
    <col min="13862" max="13862" width="27.7109375" style="1335" customWidth="1"/>
    <col min="13863" max="13863" width="21.42578125" style="1335" customWidth="1"/>
    <col min="13864" max="13864" width="22.140625" style="1335" customWidth="1"/>
    <col min="13865" max="13865" width="12.7109375" style="1335" customWidth="1"/>
    <col min="13866" max="13866" width="16.42578125" style="1335" customWidth="1"/>
    <col min="13867" max="13867" width="29.7109375" style="1335" customWidth="1"/>
    <col min="13868" max="13868" width="29.140625" style="1335" customWidth="1"/>
    <col min="13869" max="13869" width="33.5703125" style="1335" customWidth="1"/>
    <col min="13870" max="13870" width="25" style="1335" customWidth="1"/>
    <col min="13871" max="13871" width="11.7109375" style="1335" customWidth="1"/>
    <col min="13872" max="13872" width="17.28515625" style="1335" customWidth="1"/>
    <col min="13873" max="13888" width="7.28515625" style="1335" customWidth="1"/>
    <col min="13889" max="13890" width="13.7109375" style="1335" customWidth="1"/>
    <col min="13891" max="13891" width="20.85546875" style="1335" customWidth="1"/>
    <col min="13892" max="14107" width="11.42578125" style="1335"/>
    <col min="14108" max="14108" width="13.140625" style="1335" customWidth="1"/>
    <col min="14109" max="14109" width="35.28515625" style="1335" customWidth="1"/>
    <col min="14110" max="14110" width="12.85546875" style="1335" customWidth="1"/>
    <col min="14111" max="14111" width="19.5703125" style="1335" customWidth="1"/>
    <col min="14112" max="14112" width="12.28515625" style="1335" customWidth="1"/>
    <col min="14113" max="14113" width="21.28515625" style="1335" customWidth="1"/>
    <col min="14114" max="14114" width="11.5703125" style="1335" customWidth="1"/>
    <col min="14115" max="14115" width="33.140625" style="1335" customWidth="1"/>
    <col min="14116" max="14116" width="22.7109375" style="1335" customWidth="1"/>
    <col min="14117" max="14117" width="10.7109375" style="1335" customWidth="1"/>
    <col min="14118" max="14118" width="27.7109375" style="1335" customWidth="1"/>
    <col min="14119" max="14119" width="21.42578125" style="1335" customWidth="1"/>
    <col min="14120" max="14120" width="22.140625" style="1335" customWidth="1"/>
    <col min="14121" max="14121" width="12.7109375" style="1335" customWidth="1"/>
    <col min="14122" max="14122" width="16.42578125" style="1335" customWidth="1"/>
    <col min="14123" max="14123" width="29.7109375" style="1335" customWidth="1"/>
    <col min="14124" max="14124" width="29.140625" style="1335" customWidth="1"/>
    <col min="14125" max="14125" width="33.5703125" style="1335" customWidth="1"/>
    <col min="14126" max="14126" width="25" style="1335" customWidth="1"/>
    <col min="14127" max="14127" width="11.7109375" style="1335" customWidth="1"/>
    <col min="14128" max="14128" width="17.28515625" style="1335" customWidth="1"/>
    <col min="14129" max="14144" width="7.28515625" style="1335" customWidth="1"/>
    <col min="14145" max="14146" width="13.7109375" style="1335" customWidth="1"/>
    <col min="14147" max="14147" width="20.85546875" style="1335" customWidth="1"/>
    <col min="14148" max="14363" width="11.42578125" style="1335"/>
    <col min="14364" max="14364" width="13.140625" style="1335" customWidth="1"/>
    <col min="14365" max="14365" width="35.28515625" style="1335" customWidth="1"/>
    <col min="14366" max="14366" width="12.85546875" style="1335" customWidth="1"/>
    <col min="14367" max="14367" width="19.5703125" style="1335" customWidth="1"/>
    <col min="14368" max="14368" width="12.28515625" style="1335" customWidth="1"/>
    <col min="14369" max="14369" width="21.28515625" style="1335" customWidth="1"/>
    <col min="14370" max="14370" width="11.5703125" style="1335" customWidth="1"/>
    <col min="14371" max="14371" width="33.140625" style="1335" customWidth="1"/>
    <col min="14372" max="14372" width="22.7109375" style="1335" customWidth="1"/>
    <col min="14373" max="14373" width="10.7109375" style="1335" customWidth="1"/>
    <col min="14374" max="14374" width="27.7109375" style="1335" customWidth="1"/>
    <col min="14375" max="14375" width="21.42578125" style="1335" customWidth="1"/>
    <col min="14376" max="14376" width="22.140625" style="1335" customWidth="1"/>
    <col min="14377" max="14377" width="12.7109375" style="1335" customWidth="1"/>
    <col min="14378" max="14378" width="16.42578125" style="1335" customWidth="1"/>
    <col min="14379" max="14379" width="29.7109375" style="1335" customWidth="1"/>
    <col min="14380" max="14380" width="29.140625" style="1335" customWidth="1"/>
    <col min="14381" max="14381" width="33.5703125" style="1335" customWidth="1"/>
    <col min="14382" max="14382" width="25" style="1335" customWidth="1"/>
    <col min="14383" max="14383" width="11.7109375" style="1335" customWidth="1"/>
    <col min="14384" max="14384" width="17.28515625" style="1335" customWidth="1"/>
    <col min="14385" max="14400" width="7.28515625" style="1335" customWidth="1"/>
    <col min="14401" max="14402" width="13.7109375" style="1335" customWidth="1"/>
    <col min="14403" max="14403" width="20.85546875" style="1335" customWidth="1"/>
    <col min="14404" max="14619" width="11.42578125" style="1335"/>
    <col min="14620" max="14620" width="13.140625" style="1335" customWidth="1"/>
    <col min="14621" max="14621" width="35.28515625" style="1335" customWidth="1"/>
    <col min="14622" max="14622" width="12.85546875" style="1335" customWidth="1"/>
    <col min="14623" max="14623" width="19.5703125" style="1335" customWidth="1"/>
    <col min="14624" max="14624" width="12.28515625" style="1335" customWidth="1"/>
    <col min="14625" max="14625" width="21.28515625" style="1335" customWidth="1"/>
    <col min="14626" max="14626" width="11.5703125" style="1335" customWidth="1"/>
    <col min="14627" max="14627" width="33.140625" style="1335" customWidth="1"/>
    <col min="14628" max="14628" width="22.7109375" style="1335" customWidth="1"/>
    <col min="14629" max="14629" width="10.7109375" style="1335" customWidth="1"/>
    <col min="14630" max="14630" width="27.7109375" style="1335" customWidth="1"/>
    <col min="14631" max="14631" width="21.42578125" style="1335" customWidth="1"/>
    <col min="14632" max="14632" width="22.140625" style="1335" customWidth="1"/>
    <col min="14633" max="14633" width="12.7109375" style="1335" customWidth="1"/>
    <col min="14634" max="14634" width="16.42578125" style="1335" customWidth="1"/>
    <col min="14635" max="14635" width="29.7109375" style="1335" customWidth="1"/>
    <col min="14636" max="14636" width="29.140625" style="1335" customWidth="1"/>
    <col min="14637" max="14637" width="33.5703125" style="1335" customWidth="1"/>
    <col min="14638" max="14638" width="25" style="1335" customWidth="1"/>
    <col min="14639" max="14639" width="11.7109375" style="1335" customWidth="1"/>
    <col min="14640" max="14640" width="17.28515625" style="1335" customWidth="1"/>
    <col min="14641" max="14656" width="7.28515625" style="1335" customWidth="1"/>
    <col min="14657" max="14658" width="13.7109375" style="1335" customWidth="1"/>
    <col min="14659" max="14659" width="20.85546875" style="1335" customWidth="1"/>
    <col min="14660" max="14875" width="11.42578125" style="1335"/>
    <col min="14876" max="14876" width="13.140625" style="1335" customWidth="1"/>
    <col min="14877" max="14877" width="35.28515625" style="1335" customWidth="1"/>
    <col min="14878" max="14878" width="12.85546875" style="1335" customWidth="1"/>
    <col min="14879" max="14879" width="19.5703125" style="1335" customWidth="1"/>
    <col min="14880" max="14880" width="12.28515625" style="1335" customWidth="1"/>
    <col min="14881" max="14881" width="21.28515625" style="1335" customWidth="1"/>
    <col min="14882" max="14882" width="11.5703125" style="1335" customWidth="1"/>
    <col min="14883" max="14883" width="33.140625" style="1335" customWidth="1"/>
    <col min="14884" max="14884" width="22.7109375" style="1335" customWidth="1"/>
    <col min="14885" max="14885" width="10.7109375" style="1335" customWidth="1"/>
    <col min="14886" max="14886" width="27.7109375" style="1335" customWidth="1"/>
    <col min="14887" max="14887" width="21.42578125" style="1335" customWidth="1"/>
    <col min="14888" max="14888" width="22.140625" style="1335" customWidth="1"/>
    <col min="14889" max="14889" width="12.7109375" style="1335" customWidth="1"/>
    <col min="14890" max="14890" width="16.42578125" style="1335" customWidth="1"/>
    <col min="14891" max="14891" width="29.7109375" style="1335" customWidth="1"/>
    <col min="14892" max="14892" width="29.140625" style="1335" customWidth="1"/>
    <col min="14893" max="14893" width="33.5703125" style="1335" customWidth="1"/>
    <col min="14894" max="14894" width="25" style="1335" customWidth="1"/>
    <col min="14895" max="14895" width="11.7109375" style="1335" customWidth="1"/>
    <col min="14896" max="14896" width="17.28515625" style="1335" customWidth="1"/>
    <col min="14897" max="14912" width="7.28515625" style="1335" customWidth="1"/>
    <col min="14913" max="14914" width="13.7109375" style="1335" customWidth="1"/>
    <col min="14915" max="14915" width="20.85546875" style="1335" customWidth="1"/>
    <col min="14916" max="15131" width="11.42578125" style="1335"/>
    <col min="15132" max="15132" width="13.140625" style="1335" customWidth="1"/>
    <col min="15133" max="15133" width="35.28515625" style="1335" customWidth="1"/>
    <col min="15134" max="15134" width="12.85546875" style="1335" customWidth="1"/>
    <col min="15135" max="15135" width="19.5703125" style="1335" customWidth="1"/>
    <col min="15136" max="15136" width="12.28515625" style="1335" customWidth="1"/>
    <col min="15137" max="15137" width="21.28515625" style="1335" customWidth="1"/>
    <col min="15138" max="15138" width="11.5703125" style="1335" customWidth="1"/>
    <col min="15139" max="15139" width="33.140625" style="1335" customWidth="1"/>
    <col min="15140" max="15140" width="22.7109375" style="1335" customWidth="1"/>
    <col min="15141" max="15141" width="10.7109375" style="1335" customWidth="1"/>
    <col min="15142" max="15142" width="27.7109375" style="1335" customWidth="1"/>
    <col min="15143" max="15143" width="21.42578125" style="1335" customWidth="1"/>
    <col min="15144" max="15144" width="22.140625" style="1335" customWidth="1"/>
    <col min="15145" max="15145" width="12.7109375" style="1335" customWidth="1"/>
    <col min="15146" max="15146" width="16.42578125" style="1335" customWidth="1"/>
    <col min="15147" max="15147" width="29.7109375" style="1335" customWidth="1"/>
    <col min="15148" max="15148" width="29.140625" style="1335" customWidth="1"/>
    <col min="15149" max="15149" width="33.5703125" style="1335" customWidth="1"/>
    <col min="15150" max="15150" width="25" style="1335" customWidth="1"/>
    <col min="15151" max="15151" width="11.7109375" style="1335" customWidth="1"/>
    <col min="15152" max="15152" width="17.28515625" style="1335" customWidth="1"/>
    <col min="15153" max="15168" width="7.28515625" style="1335" customWidth="1"/>
    <col min="15169" max="15170" width="13.7109375" style="1335" customWidth="1"/>
    <col min="15171" max="15171" width="20.85546875" style="1335" customWidth="1"/>
    <col min="15172" max="15387" width="11.42578125" style="1335"/>
    <col min="15388" max="15388" width="13.140625" style="1335" customWidth="1"/>
    <col min="15389" max="15389" width="35.28515625" style="1335" customWidth="1"/>
    <col min="15390" max="15390" width="12.85546875" style="1335" customWidth="1"/>
    <col min="15391" max="15391" width="19.5703125" style="1335" customWidth="1"/>
    <col min="15392" max="15392" width="12.28515625" style="1335" customWidth="1"/>
    <col min="15393" max="15393" width="21.28515625" style="1335" customWidth="1"/>
    <col min="15394" max="15394" width="11.5703125" style="1335" customWidth="1"/>
    <col min="15395" max="15395" width="33.140625" style="1335" customWidth="1"/>
    <col min="15396" max="15396" width="22.7109375" style="1335" customWidth="1"/>
    <col min="15397" max="15397" width="10.7109375" style="1335" customWidth="1"/>
    <col min="15398" max="15398" width="27.7109375" style="1335" customWidth="1"/>
    <col min="15399" max="15399" width="21.42578125" style="1335" customWidth="1"/>
    <col min="15400" max="15400" width="22.140625" style="1335" customWidth="1"/>
    <col min="15401" max="15401" width="12.7109375" style="1335" customWidth="1"/>
    <col min="15402" max="15402" width="16.42578125" style="1335" customWidth="1"/>
    <col min="15403" max="15403" width="29.7109375" style="1335" customWidth="1"/>
    <col min="15404" max="15404" width="29.140625" style="1335" customWidth="1"/>
    <col min="15405" max="15405" width="33.5703125" style="1335" customWidth="1"/>
    <col min="15406" max="15406" width="25" style="1335" customWidth="1"/>
    <col min="15407" max="15407" width="11.7109375" style="1335" customWidth="1"/>
    <col min="15408" max="15408" width="17.28515625" style="1335" customWidth="1"/>
    <col min="15409" max="15424" width="7.28515625" style="1335" customWidth="1"/>
    <col min="15425" max="15426" width="13.7109375" style="1335" customWidth="1"/>
    <col min="15427" max="15427" width="20.85546875" style="1335" customWidth="1"/>
    <col min="15428" max="15643" width="11.42578125" style="1335"/>
    <col min="15644" max="15644" width="13.140625" style="1335" customWidth="1"/>
    <col min="15645" max="15645" width="35.28515625" style="1335" customWidth="1"/>
    <col min="15646" max="15646" width="12.85546875" style="1335" customWidth="1"/>
    <col min="15647" max="15647" width="19.5703125" style="1335" customWidth="1"/>
    <col min="15648" max="15648" width="12.28515625" style="1335" customWidth="1"/>
    <col min="15649" max="15649" width="21.28515625" style="1335" customWidth="1"/>
    <col min="15650" max="15650" width="11.5703125" style="1335" customWidth="1"/>
    <col min="15651" max="15651" width="33.140625" style="1335" customWidth="1"/>
    <col min="15652" max="15652" width="22.7109375" style="1335" customWidth="1"/>
    <col min="15653" max="15653" width="10.7109375" style="1335" customWidth="1"/>
    <col min="15654" max="15654" width="27.7109375" style="1335" customWidth="1"/>
    <col min="15655" max="15655" width="21.42578125" style="1335" customWidth="1"/>
    <col min="15656" max="15656" width="22.140625" style="1335" customWidth="1"/>
    <col min="15657" max="15657" width="12.7109375" style="1335" customWidth="1"/>
    <col min="15658" max="15658" width="16.42578125" style="1335" customWidth="1"/>
    <col min="15659" max="15659" width="29.7109375" style="1335" customWidth="1"/>
    <col min="15660" max="15660" width="29.140625" style="1335" customWidth="1"/>
    <col min="15661" max="15661" width="33.5703125" style="1335" customWidth="1"/>
    <col min="15662" max="15662" width="25" style="1335" customWidth="1"/>
    <col min="15663" max="15663" width="11.7109375" style="1335" customWidth="1"/>
    <col min="15664" max="15664" width="17.28515625" style="1335" customWidth="1"/>
    <col min="15665" max="15680" width="7.28515625" style="1335" customWidth="1"/>
    <col min="15681" max="15682" width="13.7109375" style="1335" customWidth="1"/>
    <col min="15683" max="15683" width="20.85546875" style="1335" customWidth="1"/>
    <col min="15684" max="15899" width="11.42578125" style="1335"/>
    <col min="15900" max="15900" width="13.140625" style="1335" customWidth="1"/>
    <col min="15901" max="15901" width="35.28515625" style="1335" customWidth="1"/>
    <col min="15902" max="15902" width="12.85546875" style="1335" customWidth="1"/>
    <col min="15903" max="15903" width="19.5703125" style="1335" customWidth="1"/>
    <col min="15904" max="15904" width="12.28515625" style="1335" customWidth="1"/>
    <col min="15905" max="15905" width="21.28515625" style="1335" customWidth="1"/>
    <col min="15906" max="15906" width="11.5703125" style="1335" customWidth="1"/>
    <col min="15907" max="15907" width="33.140625" style="1335" customWidth="1"/>
    <col min="15908" max="15908" width="22.7109375" style="1335" customWidth="1"/>
    <col min="15909" max="15909" width="10.7109375" style="1335" customWidth="1"/>
    <col min="15910" max="15910" width="27.7109375" style="1335" customWidth="1"/>
    <col min="15911" max="15911" width="21.42578125" style="1335" customWidth="1"/>
    <col min="15912" max="15912" width="22.140625" style="1335" customWidth="1"/>
    <col min="15913" max="15913" width="12.7109375" style="1335" customWidth="1"/>
    <col min="15914" max="15914" width="16.42578125" style="1335" customWidth="1"/>
    <col min="15915" max="15915" width="29.7109375" style="1335" customWidth="1"/>
    <col min="15916" max="15916" width="29.140625" style="1335" customWidth="1"/>
    <col min="15917" max="15917" width="33.5703125" style="1335" customWidth="1"/>
    <col min="15918" max="15918" width="25" style="1335" customWidth="1"/>
    <col min="15919" max="15919" width="11.7109375" style="1335" customWidth="1"/>
    <col min="15920" max="15920" width="17.28515625" style="1335" customWidth="1"/>
    <col min="15921" max="15936" width="7.28515625" style="1335" customWidth="1"/>
    <col min="15937" max="15938" width="13.7109375" style="1335" customWidth="1"/>
    <col min="15939" max="15939" width="20.85546875" style="1335" customWidth="1"/>
    <col min="15940" max="16155" width="11.42578125" style="1335"/>
    <col min="16156" max="16156" width="13.140625" style="1335" customWidth="1"/>
    <col min="16157" max="16157" width="35.28515625" style="1335" customWidth="1"/>
    <col min="16158" max="16158" width="12.85546875" style="1335" customWidth="1"/>
    <col min="16159" max="16159" width="19.5703125" style="1335" customWidth="1"/>
    <col min="16160" max="16160" width="12.28515625" style="1335" customWidth="1"/>
    <col min="16161" max="16161" width="21.28515625" style="1335" customWidth="1"/>
    <col min="16162" max="16162" width="11.5703125" style="1335" customWidth="1"/>
    <col min="16163" max="16163" width="33.140625" style="1335" customWidth="1"/>
    <col min="16164" max="16164" width="22.7109375" style="1335" customWidth="1"/>
    <col min="16165" max="16165" width="10.7109375" style="1335" customWidth="1"/>
    <col min="16166" max="16166" width="27.7109375" style="1335" customWidth="1"/>
    <col min="16167" max="16167" width="21.42578125" style="1335" customWidth="1"/>
    <col min="16168" max="16168" width="22.140625" style="1335" customWidth="1"/>
    <col min="16169" max="16169" width="12.7109375" style="1335" customWidth="1"/>
    <col min="16170" max="16170" width="16.42578125" style="1335" customWidth="1"/>
    <col min="16171" max="16171" width="29.7109375" style="1335" customWidth="1"/>
    <col min="16172" max="16172" width="29.140625" style="1335" customWidth="1"/>
    <col min="16173" max="16173" width="33.5703125" style="1335" customWidth="1"/>
    <col min="16174" max="16174" width="25" style="1335" customWidth="1"/>
    <col min="16175" max="16175" width="11.7109375" style="1335" customWidth="1"/>
    <col min="16176" max="16176" width="17.28515625" style="1335" customWidth="1"/>
    <col min="16177" max="16192" width="7.28515625" style="1335" customWidth="1"/>
    <col min="16193" max="16194" width="13.7109375" style="1335" customWidth="1"/>
    <col min="16195" max="16195" width="20.85546875" style="1335" customWidth="1"/>
    <col min="16196" max="16384" width="11.42578125" style="1335"/>
  </cols>
  <sheetData>
    <row r="1" spans="1:87" ht="18" customHeight="1" x14ac:dyDescent="0.25">
      <c r="A1" s="2745" t="s">
        <v>1413</v>
      </c>
      <c r="B1" s="2745"/>
      <c r="C1" s="2745"/>
      <c r="D1" s="2745"/>
      <c r="E1" s="2745"/>
      <c r="F1" s="2745"/>
      <c r="G1" s="2745"/>
      <c r="H1" s="2745"/>
      <c r="I1" s="2745"/>
      <c r="J1" s="2745"/>
      <c r="K1" s="2745"/>
      <c r="L1" s="2745"/>
      <c r="M1" s="2745"/>
      <c r="N1" s="2745"/>
      <c r="O1" s="2745"/>
      <c r="P1" s="2745"/>
      <c r="Q1" s="2745"/>
      <c r="R1" s="2745"/>
      <c r="S1" s="2745"/>
      <c r="T1" s="2745"/>
      <c r="U1" s="2745"/>
      <c r="V1" s="2745"/>
      <c r="W1" s="2745"/>
      <c r="X1" s="2745"/>
      <c r="Y1" s="2745"/>
      <c r="Z1" s="2745"/>
      <c r="AA1" s="2745"/>
      <c r="AB1" s="2745"/>
      <c r="AC1" s="2745"/>
      <c r="AD1" s="2745"/>
      <c r="AE1" s="2745"/>
      <c r="AF1" s="2745"/>
      <c r="AG1" s="2745"/>
      <c r="AH1" s="2745"/>
      <c r="AI1" s="2745"/>
      <c r="AJ1" s="2745"/>
      <c r="AK1" s="2745"/>
      <c r="AL1" s="2745"/>
      <c r="AM1" s="2745"/>
      <c r="AN1" s="2745"/>
      <c r="AO1" s="2745"/>
      <c r="AP1" s="2745"/>
      <c r="AQ1" s="2745"/>
      <c r="AR1" s="2745"/>
      <c r="AS1" s="2745"/>
      <c r="AT1" s="2745"/>
      <c r="AU1" s="2745"/>
      <c r="AV1" s="2745"/>
      <c r="AW1" s="2745"/>
      <c r="AX1" s="2745"/>
      <c r="AY1" s="2745"/>
      <c r="AZ1" s="2745"/>
      <c r="BA1" s="2745"/>
      <c r="BB1" s="2745"/>
      <c r="BC1" s="2745"/>
      <c r="BD1" s="2745"/>
      <c r="BE1" s="2745"/>
      <c r="BF1" s="2745"/>
      <c r="BG1" s="2745"/>
      <c r="BH1" s="2745"/>
      <c r="BI1" s="2745"/>
      <c r="BJ1" s="2745"/>
      <c r="BK1" s="2745"/>
      <c r="BL1" s="2745"/>
      <c r="BM1" s="3493"/>
      <c r="BN1" s="3" t="s">
        <v>10</v>
      </c>
      <c r="BO1" s="4" t="s">
        <v>2</v>
      </c>
      <c r="BP1" s="1268"/>
      <c r="BQ1" s="1268"/>
      <c r="BR1" s="1268"/>
      <c r="BS1" s="1268"/>
      <c r="BT1" s="1268"/>
      <c r="BU1" s="1268"/>
      <c r="BV1" s="1268"/>
      <c r="BW1" s="1268"/>
      <c r="BX1" s="1268"/>
      <c r="BY1" s="1268"/>
      <c r="BZ1" s="1268"/>
      <c r="CA1" s="1268"/>
      <c r="CB1" s="1268"/>
      <c r="CC1" s="1268"/>
      <c r="CD1" s="1268"/>
      <c r="CE1" s="1268"/>
      <c r="CF1" s="1268"/>
      <c r="CG1" s="1268"/>
      <c r="CH1" s="1268"/>
      <c r="CI1" s="1268"/>
    </row>
    <row r="2" spans="1:87" ht="18" customHeight="1" x14ac:dyDescent="0.25">
      <c r="A2" s="2745"/>
      <c r="B2" s="2745"/>
      <c r="C2" s="2745"/>
      <c r="D2" s="2745"/>
      <c r="E2" s="2745"/>
      <c r="F2" s="2745"/>
      <c r="G2" s="2745"/>
      <c r="H2" s="2745"/>
      <c r="I2" s="2745"/>
      <c r="J2" s="2745"/>
      <c r="K2" s="2745"/>
      <c r="L2" s="2745"/>
      <c r="M2" s="2745"/>
      <c r="N2" s="2745"/>
      <c r="O2" s="2745"/>
      <c r="P2" s="2745"/>
      <c r="Q2" s="2745"/>
      <c r="R2" s="2745"/>
      <c r="S2" s="2745"/>
      <c r="T2" s="2745"/>
      <c r="U2" s="2745"/>
      <c r="V2" s="2745"/>
      <c r="W2" s="2745"/>
      <c r="X2" s="2745"/>
      <c r="Y2" s="2745"/>
      <c r="Z2" s="2745"/>
      <c r="AA2" s="2745"/>
      <c r="AB2" s="2745"/>
      <c r="AC2" s="2745"/>
      <c r="AD2" s="2745"/>
      <c r="AE2" s="2745"/>
      <c r="AF2" s="2745"/>
      <c r="AG2" s="2745"/>
      <c r="AH2" s="2745"/>
      <c r="AI2" s="2745"/>
      <c r="AJ2" s="2745"/>
      <c r="AK2" s="2745"/>
      <c r="AL2" s="2745"/>
      <c r="AM2" s="2745"/>
      <c r="AN2" s="2745"/>
      <c r="AO2" s="2745"/>
      <c r="AP2" s="2745"/>
      <c r="AQ2" s="2745"/>
      <c r="AR2" s="2745"/>
      <c r="AS2" s="2745"/>
      <c r="AT2" s="2745"/>
      <c r="AU2" s="2745"/>
      <c r="AV2" s="2745"/>
      <c r="AW2" s="2745"/>
      <c r="AX2" s="2745"/>
      <c r="AY2" s="2745"/>
      <c r="AZ2" s="2745"/>
      <c r="BA2" s="2745"/>
      <c r="BB2" s="2745"/>
      <c r="BC2" s="2745"/>
      <c r="BD2" s="2745"/>
      <c r="BE2" s="2745"/>
      <c r="BF2" s="2745"/>
      <c r="BG2" s="2745"/>
      <c r="BH2" s="2745"/>
      <c r="BI2" s="2745"/>
      <c r="BJ2" s="2745"/>
      <c r="BK2" s="2745"/>
      <c r="BL2" s="2745"/>
      <c r="BM2" s="3493"/>
      <c r="BN2" s="5" t="s">
        <v>3</v>
      </c>
      <c r="BO2" s="6">
        <v>6</v>
      </c>
      <c r="BP2" s="1268"/>
      <c r="BQ2" s="1268"/>
      <c r="BR2" s="1268"/>
      <c r="BS2" s="1268"/>
      <c r="BT2" s="1268"/>
      <c r="BU2" s="1268"/>
      <c r="BV2" s="1268"/>
      <c r="BW2" s="1268"/>
      <c r="BX2" s="1268"/>
      <c r="BY2" s="1268"/>
      <c r="BZ2" s="1268"/>
      <c r="CA2" s="1268"/>
      <c r="CB2" s="1268"/>
      <c r="CC2" s="1268"/>
      <c r="CD2" s="1268"/>
      <c r="CE2" s="1268"/>
      <c r="CF2" s="1268"/>
      <c r="CG2" s="1268"/>
      <c r="CH2" s="1268"/>
      <c r="CI2" s="1268"/>
    </row>
    <row r="3" spans="1:87" ht="18" customHeight="1" x14ac:dyDescent="0.25">
      <c r="A3" s="2745"/>
      <c r="B3" s="2745"/>
      <c r="C3" s="2745"/>
      <c r="D3" s="2745"/>
      <c r="E3" s="2745"/>
      <c r="F3" s="2745"/>
      <c r="G3" s="2745"/>
      <c r="H3" s="2745"/>
      <c r="I3" s="2745"/>
      <c r="J3" s="2745"/>
      <c r="K3" s="2745"/>
      <c r="L3" s="2745"/>
      <c r="M3" s="2745"/>
      <c r="N3" s="2745"/>
      <c r="O3" s="2745"/>
      <c r="P3" s="2745"/>
      <c r="Q3" s="2745"/>
      <c r="R3" s="2745"/>
      <c r="S3" s="2745"/>
      <c r="T3" s="2745"/>
      <c r="U3" s="2745"/>
      <c r="V3" s="2745"/>
      <c r="W3" s="2745"/>
      <c r="X3" s="2745"/>
      <c r="Y3" s="2745"/>
      <c r="Z3" s="2745"/>
      <c r="AA3" s="2745"/>
      <c r="AB3" s="2745"/>
      <c r="AC3" s="2745"/>
      <c r="AD3" s="2745"/>
      <c r="AE3" s="2745"/>
      <c r="AF3" s="2745"/>
      <c r="AG3" s="2745"/>
      <c r="AH3" s="2745"/>
      <c r="AI3" s="2745"/>
      <c r="AJ3" s="2745"/>
      <c r="AK3" s="2745"/>
      <c r="AL3" s="2745"/>
      <c r="AM3" s="2745"/>
      <c r="AN3" s="2745"/>
      <c r="AO3" s="2745"/>
      <c r="AP3" s="2745"/>
      <c r="AQ3" s="2745"/>
      <c r="AR3" s="2745"/>
      <c r="AS3" s="2745"/>
      <c r="AT3" s="2745"/>
      <c r="AU3" s="2745"/>
      <c r="AV3" s="2745"/>
      <c r="AW3" s="2745"/>
      <c r="AX3" s="2745"/>
      <c r="AY3" s="2745"/>
      <c r="AZ3" s="2745"/>
      <c r="BA3" s="2745"/>
      <c r="BB3" s="2745"/>
      <c r="BC3" s="2745"/>
      <c r="BD3" s="2745"/>
      <c r="BE3" s="2745"/>
      <c r="BF3" s="2745"/>
      <c r="BG3" s="2745"/>
      <c r="BH3" s="2745"/>
      <c r="BI3" s="2745"/>
      <c r="BJ3" s="2745"/>
      <c r="BK3" s="2745"/>
      <c r="BL3" s="2745"/>
      <c r="BM3" s="3493"/>
      <c r="BN3" s="3" t="s">
        <v>4</v>
      </c>
      <c r="BO3" s="7" t="s">
        <v>5</v>
      </c>
      <c r="BP3" s="1268"/>
      <c r="BQ3" s="1268"/>
      <c r="BR3" s="1268"/>
      <c r="BS3" s="1268"/>
      <c r="BT3" s="1268"/>
      <c r="BU3" s="1268"/>
      <c r="BV3" s="1268"/>
      <c r="BW3" s="1268"/>
      <c r="BX3" s="1268"/>
      <c r="BY3" s="1268"/>
      <c r="BZ3" s="1268"/>
      <c r="CA3" s="1268"/>
      <c r="CB3" s="1268"/>
      <c r="CC3" s="1268"/>
      <c r="CD3" s="1268"/>
      <c r="CE3" s="1268"/>
      <c r="CF3" s="1268"/>
      <c r="CG3" s="1268"/>
      <c r="CH3" s="1268"/>
      <c r="CI3" s="1268"/>
    </row>
    <row r="4" spans="1:87" ht="18" customHeight="1" x14ac:dyDescent="0.25">
      <c r="A4" s="2746"/>
      <c r="B4" s="2746"/>
      <c r="C4" s="2746"/>
      <c r="D4" s="2746"/>
      <c r="E4" s="2746"/>
      <c r="F4" s="2746"/>
      <c r="G4" s="2746"/>
      <c r="H4" s="2746"/>
      <c r="I4" s="2746"/>
      <c r="J4" s="2746"/>
      <c r="K4" s="2746"/>
      <c r="L4" s="2746"/>
      <c r="M4" s="2746"/>
      <c r="N4" s="2746"/>
      <c r="O4" s="2746"/>
      <c r="P4" s="2746"/>
      <c r="Q4" s="2746"/>
      <c r="R4" s="2746"/>
      <c r="S4" s="2746"/>
      <c r="T4" s="2746"/>
      <c r="U4" s="2746"/>
      <c r="V4" s="2746"/>
      <c r="W4" s="2746"/>
      <c r="X4" s="2746"/>
      <c r="Y4" s="2746"/>
      <c r="Z4" s="2746"/>
      <c r="AA4" s="2746"/>
      <c r="AB4" s="2746"/>
      <c r="AC4" s="2746"/>
      <c r="AD4" s="2746"/>
      <c r="AE4" s="2746"/>
      <c r="AF4" s="2746"/>
      <c r="AG4" s="2746"/>
      <c r="AH4" s="2746"/>
      <c r="AI4" s="2746"/>
      <c r="AJ4" s="2746"/>
      <c r="AK4" s="2746"/>
      <c r="AL4" s="2746"/>
      <c r="AM4" s="2746"/>
      <c r="AN4" s="2746"/>
      <c r="AO4" s="2746"/>
      <c r="AP4" s="2746"/>
      <c r="AQ4" s="2746"/>
      <c r="AR4" s="2746"/>
      <c r="AS4" s="2746"/>
      <c r="AT4" s="2746"/>
      <c r="AU4" s="2746"/>
      <c r="AV4" s="2746"/>
      <c r="AW4" s="2746"/>
      <c r="AX4" s="2746"/>
      <c r="AY4" s="2746"/>
      <c r="AZ4" s="2746"/>
      <c r="BA4" s="2746"/>
      <c r="BB4" s="2746"/>
      <c r="BC4" s="2746"/>
      <c r="BD4" s="2746"/>
      <c r="BE4" s="2746"/>
      <c r="BF4" s="2746"/>
      <c r="BG4" s="2746"/>
      <c r="BH4" s="2746"/>
      <c r="BI4" s="2746"/>
      <c r="BJ4" s="2746"/>
      <c r="BK4" s="2746"/>
      <c r="BL4" s="2746"/>
      <c r="BM4" s="3494"/>
      <c r="BN4" s="3" t="s">
        <v>6</v>
      </c>
      <c r="BO4" s="10" t="s">
        <v>7</v>
      </c>
      <c r="BP4" s="1268"/>
      <c r="BQ4" s="1268"/>
      <c r="BR4" s="1268"/>
      <c r="BS4" s="1268"/>
      <c r="BT4" s="1268"/>
      <c r="BU4" s="1268"/>
      <c r="BV4" s="1268"/>
      <c r="BW4" s="1268"/>
      <c r="BX4" s="1268"/>
      <c r="BY4" s="1268"/>
      <c r="BZ4" s="1268"/>
      <c r="CA4" s="1268"/>
      <c r="CB4" s="1268"/>
      <c r="CC4" s="1268"/>
      <c r="CD4" s="1268"/>
      <c r="CE4" s="1268"/>
      <c r="CF4" s="1268"/>
      <c r="CG4" s="1268"/>
      <c r="CH4" s="1268"/>
      <c r="CI4" s="1268"/>
    </row>
    <row r="5" spans="1:87" ht="15" x14ac:dyDescent="0.25">
      <c r="A5" s="3779" t="s">
        <v>8</v>
      </c>
      <c r="B5" s="3779"/>
      <c r="C5" s="3779"/>
      <c r="D5" s="3779"/>
      <c r="E5" s="3779"/>
      <c r="F5" s="3779"/>
      <c r="G5" s="3779"/>
      <c r="H5" s="3779"/>
      <c r="I5" s="3779"/>
      <c r="J5" s="3779"/>
      <c r="K5" s="2582"/>
      <c r="L5" s="3781" t="s">
        <v>9</v>
      </c>
      <c r="M5" s="3781"/>
      <c r="N5" s="3781"/>
      <c r="O5" s="3781"/>
      <c r="P5" s="3781"/>
      <c r="Q5" s="3781"/>
      <c r="R5" s="3781"/>
      <c r="S5" s="3781"/>
      <c r="T5" s="3781"/>
      <c r="U5" s="3781"/>
      <c r="V5" s="3781"/>
      <c r="W5" s="3781"/>
      <c r="X5" s="3781"/>
      <c r="Y5" s="3781"/>
      <c r="Z5" s="3781"/>
      <c r="AA5" s="3781"/>
      <c r="AB5" s="3781"/>
      <c r="AC5" s="3781"/>
      <c r="AD5" s="3781"/>
      <c r="AE5" s="3781"/>
      <c r="AF5" s="3781"/>
      <c r="AG5" s="3781"/>
      <c r="AH5" s="3781"/>
      <c r="AI5" s="3781"/>
      <c r="AJ5" s="3781"/>
      <c r="AK5" s="3781"/>
      <c r="AL5" s="3781"/>
      <c r="AM5" s="3781"/>
      <c r="AN5" s="3781"/>
      <c r="AO5" s="3781"/>
      <c r="AP5" s="3781"/>
      <c r="AQ5" s="3781"/>
      <c r="AR5" s="3781"/>
      <c r="AS5" s="3781"/>
      <c r="AT5" s="3781"/>
      <c r="AU5" s="3781"/>
      <c r="AV5" s="3781"/>
      <c r="AW5" s="3781"/>
      <c r="AX5" s="3781"/>
      <c r="AY5" s="3781"/>
      <c r="AZ5" s="3781"/>
      <c r="BA5" s="3781"/>
      <c r="BB5" s="3781"/>
      <c r="BC5" s="3781"/>
      <c r="BD5" s="3781"/>
      <c r="BE5" s="3781"/>
      <c r="BF5" s="3781"/>
      <c r="BG5" s="3781"/>
      <c r="BH5" s="3781"/>
      <c r="BI5" s="3781"/>
      <c r="BJ5" s="3781"/>
      <c r="BK5" s="3781"/>
      <c r="BL5" s="3781"/>
      <c r="BM5" s="3781"/>
      <c r="BN5" s="3781"/>
      <c r="BO5" s="3781"/>
      <c r="BP5" s="1268"/>
      <c r="BQ5" s="1268"/>
      <c r="BR5" s="1268"/>
      <c r="BS5" s="1268"/>
      <c r="BT5" s="1268"/>
      <c r="BU5" s="1268"/>
      <c r="BV5" s="1268"/>
      <c r="BW5" s="1268"/>
      <c r="BX5" s="1268"/>
      <c r="BY5" s="1268"/>
      <c r="BZ5" s="1268"/>
      <c r="CA5" s="1268"/>
      <c r="CB5" s="1268"/>
      <c r="CC5" s="1268"/>
      <c r="CD5" s="1268"/>
      <c r="CE5" s="1268"/>
      <c r="CF5" s="1268"/>
      <c r="CG5" s="1268"/>
      <c r="CH5" s="1268"/>
      <c r="CI5" s="1268"/>
    </row>
    <row r="6" spans="1:87" ht="15.75" thickBot="1" x14ac:dyDescent="0.3">
      <c r="A6" s="3780"/>
      <c r="B6" s="3780"/>
      <c r="C6" s="3780"/>
      <c r="D6" s="3780"/>
      <c r="E6" s="3780"/>
      <c r="F6" s="3780"/>
      <c r="G6" s="3780"/>
      <c r="H6" s="3780"/>
      <c r="I6" s="3780"/>
      <c r="J6" s="3780"/>
      <c r="K6" s="2583"/>
      <c r="L6" s="1338"/>
      <c r="M6" s="1339"/>
      <c r="N6" s="1339"/>
      <c r="O6" s="1340"/>
      <c r="P6" s="1339"/>
      <c r="Q6" s="1339"/>
      <c r="R6" s="1339"/>
      <c r="S6" s="1339"/>
      <c r="T6" s="1339"/>
      <c r="U6" s="1339"/>
      <c r="V6" s="1339"/>
      <c r="W6" s="1339"/>
      <c r="X6" s="1339"/>
      <c r="Y6" s="3782" t="s">
        <v>449</v>
      </c>
      <c r="Z6" s="3780"/>
      <c r="AA6" s="3780"/>
      <c r="AB6" s="3780"/>
      <c r="AC6" s="3780"/>
      <c r="AD6" s="3780"/>
      <c r="AE6" s="3780"/>
      <c r="AF6" s="3780"/>
      <c r="AG6" s="3780"/>
      <c r="AH6" s="3780"/>
      <c r="AI6" s="3780"/>
      <c r="AJ6" s="3780"/>
      <c r="AK6" s="3780"/>
      <c r="AL6" s="3780"/>
      <c r="AM6" s="3780"/>
      <c r="AN6" s="3780"/>
      <c r="AO6" s="3780"/>
      <c r="AP6" s="3780"/>
      <c r="AQ6" s="3780"/>
      <c r="AR6" s="3780"/>
      <c r="AS6" s="3780"/>
      <c r="AT6" s="3780"/>
      <c r="AU6" s="3780"/>
      <c r="AV6" s="3780"/>
      <c r="AW6" s="3780"/>
      <c r="AX6" s="3780"/>
      <c r="AY6" s="3780"/>
      <c r="AZ6" s="3780"/>
      <c r="BA6" s="3783"/>
      <c r="BB6" s="2583"/>
      <c r="BC6" s="2583"/>
      <c r="BD6" s="2583"/>
      <c r="BE6" s="2583"/>
      <c r="BF6" s="1341"/>
      <c r="BG6" s="1341"/>
      <c r="BH6" s="1342"/>
      <c r="BI6" s="2583"/>
      <c r="BJ6" s="2583"/>
      <c r="BK6" s="1339"/>
      <c r="BL6" s="1339"/>
      <c r="BM6" s="1339"/>
      <c r="BN6" s="1339"/>
      <c r="BO6" s="1343"/>
      <c r="BP6" s="1268"/>
      <c r="BQ6" s="1268"/>
      <c r="BR6" s="1268"/>
      <c r="BS6" s="1268"/>
      <c r="BT6" s="1268"/>
      <c r="BU6" s="1268"/>
      <c r="BV6" s="1268"/>
      <c r="BW6" s="1268"/>
      <c r="BX6" s="1268"/>
      <c r="BY6" s="1268"/>
      <c r="BZ6" s="1268"/>
      <c r="CA6" s="1268"/>
      <c r="CB6" s="1268"/>
      <c r="CC6" s="1268"/>
      <c r="CD6" s="1268"/>
      <c r="CE6" s="1268"/>
      <c r="CF6" s="1268"/>
      <c r="CG6" s="1268"/>
      <c r="CH6" s="1268"/>
      <c r="CI6" s="1268"/>
    </row>
    <row r="7" spans="1:87" ht="60" customHeight="1" x14ac:dyDescent="0.25">
      <c r="A7" s="3784" t="s">
        <v>10</v>
      </c>
      <c r="B7" s="2761" t="s">
        <v>11</v>
      </c>
      <c r="C7" s="2632" t="s">
        <v>10</v>
      </c>
      <c r="D7" s="2761" t="s">
        <v>12</v>
      </c>
      <c r="E7" s="2632" t="s">
        <v>10</v>
      </c>
      <c r="F7" s="2632" t="s">
        <v>13</v>
      </c>
      <c r="G7" s="2762" t="s">
        <v>10</v>
      </c>
      <c r="H7" s="3818" t="s">
        <v>14</v>
      </c>
      <c r="I7" s="2633" t="s">
        <v>15</v>
      </c>
      <c r="J7" s="2632" t="s">
        <v>16</v>
      </c>
      <c r="K7" s="2632"/>
      <c r="L7" s="2633" t="s">
        <v>17</v>
      </c>
      <c r="M7" s="2633" t="s">
        <v>108</v>
      </c>
      <c r="N7" s="2633" t="s">
        <v>9</v>
      </c>
      <c r="O7" s="3815" t="s">
        <v>19</v>
      </c>
      <c r="P7" s="3791" t="s">
        <v>20</v>
      </c>
      <c r="Q7" s="3818" t="s">
        <v>21</v>
      </c>
      <c r="R7" s="2761" t="s">
        <v>22</v>
      </c>
      <c r="S7" s="2633" t="s">
        <v>23</v>
      </c>
      <c r="T7" s="3791" t="s">
        <v>20</v>
      </c>
      <c r="U7" s="3792"/>
      <c r="V7" s="3793"/>
      <c r="W7" s="1344"/>
      <c r="X7" s="2633" t="s">
        <v>24</v>
      </c>
      <c r="Y7" s="3794" t="s">
        <v>25</v>
      </c>
      <c r="Z7" s="3794"/>
      <c r="AA7" s="3794"/>
      <c r="AB7" s="2585"/>
      <c r="AC7" s="3795" t="s">
        <v>26</v>
      </c>
      <c r="AD7" s="3795"/>
      <c r="AE7" s="3795"/>
      <c r="AF7" s="3795"/>
      <c r="AG7" s="3795"/>
      <c r="AH7" s="3795"/>
      <c r="AI7" s="3795"/>
      <c r="AJ7" s="2551"/>
      <c r="AK7" s="3204" t="s">
        <v>27</v>
      </c>
      <c r="AL7" s="3205"/>
      <c r="AM7" s="3205"/>
      <c r="AN7" s="3205"/>
      <c r="AO7" s="3205"/>
      <c r="AP7" s="3205"/>
      <c r="AQ7" s="3205"/>
      <c r="AR7" s="3205"/>
      <c r="AS7" s="3205"/>
      <c r="AT7" s="3205"/>
      <c r="AU7" s="3206"/>
      <c r="AV7" s="2550"/>
      <c r="AW7" s="3795" t="s">
        <v>28</v>
      </c>
      <c r="AX7" s="3795"/>
      <c r="AY7" s="3795"/>
      <c r="AZ7" s="3795"/>
      <c r="BA7" s="3795"/>
      <c r="BB7" s="2586"/>
      <c r="BC7" s="3197" t="s">
        <v>29</v>
      </c>
      <c r="BD7" s="3198"/>
      <c r="BE7" s="2673" t="s">
        <v>30</v>
      </c>
      <c r="BF7" s="2674"/>
      <c r="BG7" s="2674"/>
      <c r="BH7" s="2674"/>
      <c r="BI7" s="2674"/>
      <c r="BJ7" s="2675"/>
      <c r="BK7" s="3786" t="s">
        <v>31</v>
      </c>
      <c r="BL7" s="3787"/>
      <c r="BM7" s="3786" t="s">
        <v>32</v>
      </c>
      <c r="BN7" s="3787"/>
      <c r="BO7" s="3788" t="s">
        <v>33</v>
      </c>
      <c r="BP7" s="1268"/>
      <c r="BQ7" s="1268"/>
      <c r="BR7" s="1268"/>
      <c r="BS7" s="1268"/>
      <c r="BT7" s="1268"/>
      <c r="BU7" s="1268"/>
      <c r="BV7" s="1268"/>
      <c r="BW7" s="1268"/>
      <c r="BX7" s="1268"/>
      <c r="BY7" s="1268"/>
      <c r="BZ7" s="1268"/>
      <c r="CA7" s="1268"/>
      <c r="CB7" s="1268"/>
      <c r="CC7" s="1268"/>
      <c r="CD7" s="1268"/>
      <c r="CE7" s="1268"/>
      <c r="CF7" s="1268"/>
      <c r="CG7" s="1268"/>
      <c r="CH7" s="1268"/>
      <c r="CI7" s="1268"/>
    </row>
    <row r="8" spans="1:87" s="659" customFormat="1" ht="96" customHeight="1" x14ac:dyDescent="0.25">
      <c r="A8" s="3785"/>
      <c r="B8" s="2763"/>
      <c r="C8" s="2632"/>
      <c r="D8" s="2763"/>
      <c r="E8" s="2632"/>
      <c r="F8" s="2632"/>
      <c r="G8" s="3222"/>
      <c r="H8" s="3819"/>
      <c r="I8" s="2634"/>
      <c r="J8" s="2546" t="s">
        <v>58</v>
      </c>
      <c r="K8" s="2546" t="s">
        <v>59</v>
      </c>
      <c r="L8" s="2634"/>
      <c r="M8" s="2634"/>
      <c r="N8" s="2634"/>
      <c r="O8" s="3816"/>
      <c r="P8" s="3817"/>
      <c r="Q8" s="3819"/>
      <c r="R8" s="3221"/>
      <c r="S8" s="2634"/>
      <c r="T8" s="1345" t="s">
        <v>34</v>
      </c>
      <c r="U8" s="1345" t="s">
        <v>35</v>
      </c>
      <c r="V8" s="1345" t="s">
        <v>36</v>
      </c>
      <c r="W8" s="1346" t="s">
        <v>10</v>
      </c>
      <c r="X8" s="2634"/>
      <c r="Y8" s="3789" t="s">
        <v>37</v>
      </c>
      <c r="Z8" s="3790"/>
      <c r="AA8" s="3789" t="s">
        <v>38</v>
      </c>
      <c r="AB8" s="3790"/>
      <c r="AC8" s="3789" t="s">
        <v>39</v>
      </c>
      <c r="AD8" s="3790"/>
      <c r="AE8" s="3789" t="s">
        <v>40</v>
      </c>
      <c r="AF8" s="3790"/>
      <c r="AG8" s="3789" t="s">
        <v>450</v>
      </c>
      <c r="AH8" s="3790"/>
      <c r="AI8" s="3789" t="s">
        <v>42</v>
      </c>
      <c r="AJ8" s="3790"/>
      <c r="AK8" s="3789" t="s">
        <v>43</v>
      </c>
      <c r="AL8" s="3790"/>
      <c r="AM8" s="3789" t="s">
        <v>44</v>
      </c>
      <c r="AN8" s="3790"/>
      <c r="AO8" s="3789" t="s">
        <v>45</v>
      </c>
      <c r="AP8" s="3790"/>
      <c r="AQ8" s="3789" t="s">
        <v>46</v>
      </c>
      <c r="AR8" s="3790"/>
      <c r="AS8" s="3789" t="s">
        <v>47</v>
      </c>
      <c r="AT8" s="3790"/>
      <c r="AU8" s="3789" t="s">
        <v>48</v>
      </c>
      <c r="AV8" s="3790"/>
      <c r="AW8" s="3789" t="s">
        <v>49</v>
      </c>
      <c r="AX8" s="3790"/>
      <c r="AY8" s="3789" t="s">
        <v>50</v>
      </c>
      <c r="AZ8" s="3790"/>
      <c r="BA8" s="3789" t="s">
        <v>51</v>
      </c>
      <c r="BB8" s="3790"/>
      <c r="BC8" s="3199"/>
      <c r="BD8" s="3200"/>
      <c r="BE8" s="2700" t="s">
        <v>52</v>
      </c>
      <c r="BF8" s="3796" t="s">
        <v>53</v>
      </c>
      <c r="BG8" s="3796" t="s">
        <v>54</v>
      </c>
      <c r="BH8" s="2702" t="s">
        <v>55</v>
      </c>
      <c r="BI8" s="2700" t="s">
        <v>56</v>
      </c>
      <c r="BJ8" s="2698" t="s">
        <v>57</v>
      </c>
      <c r="BK8" s="2767"/>
      <c r="BL8" s="2768"/>
      <c r="BM8" s="2767"/>
      <c r="BN8" s="2768"/>
      <c r="BO8" s="3228"/>
      <c r="BP8" s="658"/>
      <c r="BQ8" s="658"/>
      <c r="BR8" s="658"/>
      <c r="BS8" s="658"/>
      <c r="BT8" s="658"/>
      <c r="BU8" s="658"/>
      <c r="BV8" s="658"/>
      <c r="BW8" s="658"/>
      <c r="BX8" s="658"/>
      <c r="BY8" s="658"/>
      <c r="BZ8" s="658"/>
      <c r="CA8" s="658"/>
      <c r="CB8" s="658"/>
      <c r="CC8" s="658"/>
      <c r="CD8" s="658"/>
      <c r="CE8" s="658"/>
      <c r="CF8" s="658"/>
      <c r="CG8" s="658"/>
      <c r="CH8" s="658"/>
      <c r="CI8" s="658"/>
    </row>
    <row r="9" spans="1:87" ht="25.5" customHeight="1" x14ac:dyDescent="0.25">
      <c r="A9" s="1347">
        <v>1</v>
      </c>
      <c r="B9" s="3797" t="s">
        <v>1414</v>
      </c>
      <c r="C9" s="3798"/>
      <c r="D9" s="3797"/>
      <c r="E9" s="1348"/>
      <c r="F9" s="1348"/>
      <c r="G9" s="1349"/>
      <c r="H9" s="1348"/>
      <c r="I9" s="1348"/>
      <c r="J9" s="1348"/>
      <c r="K9" s="1348"/>
      <c r="L9" s="1348"/>
      <c r="M9" s="1348"/>
      <c r="N9" s="1348"/>
      <c r="O9" s="1350"/>
      <c r="P9" s="1348"/>
      <c r="Q9" s="1348"/>
      <c r="R9" s="1348"/>
      <c r="S9" s="1348"/>
      <c r="T9" s="1348"/>
      <c r="U9" s="1348"/>
      <c r="V9" s="1348"/>
      <c r="W9" s="1348"/>
      <c r="X9" s="1348"/>
      <c r="Y9" s="1351" t="s">
        <v>58</v>
      </c>
      <c r="Z9" s="1351" t="s">
        <v>59</v>
      </c>
      <c r="AA9" s="1351" t="s">
        <v>58</v>
      </c>
      <c r="AB9" s="1351" t="s">
        <v>59</v>
      </c>
      <c r="AC9" s="1351" t="s">
        <v>58</v>
      </c>
      <c r="AD9" s="1351" t="s">
        <v>59</v>
      </c>
      <c r="AE9" s="1351" t="s">
        <v>58</v>
      </c>
      <c r="AF9" s="1351" t="s">
        <v>59</v>
      </c>
      <c r="AG9" s="1351" t="s">
        <v>58</v>
      </c>
      <c r="AH9" s="1351" t="s">
        <v>59</v>
      </c>
      <c r="AI9" s="1351" t="s">
        <v>58</v>
      </c>
      <c r="AJ9" s="1351" t="s">
        <v>59</v>
      </c>
      <c r="AK9" s="1351" t="s">
        <v>58</v>
      </c>
      <c r="AL9" s="1351" t="s">
        <v>59</v>
      </c>
      <c r="AM9" s="1351" t="s">
        <v>58</v>
      </c>
      <c r="AN9" s="1351" t="s">
        <v>59</v>
      </c>
      <c r="AO9" s="1351" t="s">
        <v>58</v>
      </c>
      <c r="AP9" s="1351" t="s">
        <v>59</v>
      </c>
      <c r="AQ9" s="1351" t="s">
        <v>58</v>
      </c>
      <c r="AR9" s="1351" t="s">
        <v>59</v>
      </c>
      <c r="AS9" s="1351" t="s">
        <v>58</v>
      </c>
      <c r="AT9" s="1351" t="s">
        <v>59</v>
      </c>
      <c r="AU9" s="1351" t="s">
        <v>58</v>
      </c>
      <c r="AV9" s="1351" t="s">
        <v>59</v>
      </c>
      <c r="AW9" s="1351" t="s">
        <v>58</v>
      </c>
      <c r="AX9" s="1351" t="s">
        <v>59</v>
      </c>
      <c r="AY9" s="1351" t="s">
        <v>58</v>
      </c>
      <c r="AZ9" s="1351" t="s">
        <v>59</v>
      </c>
      <c r="BA9" s="1351" t="s">
        <v>58</v>
      </c>
      <c r="BB9" s="1351" t="s">
        <v>59</v>
      </c>
      <c r="BC9" s="1351" t="s">
        <v>58</v>
      </c>
      <c r="BD9" s="1351" t="s">
        <v>59</v>
      </c>
      <c r="BE9" s="2700"/>
      <c r="BF9" s="3796"/>
      <c r="BG9" s="3796"/>
      <c r="BH9" s="2702"/>
      <c r="BI9" s="2700"/>
      <c r="BJ9" s="2699"/>
      <c r="BK9" s="1351" t="s">
        <v>58</v>
      </c>
      <c r="BL9" s="1351" t="s">
        <v>59</v>
      </c>
      <c r="BM9" s="1351" t="s">
        <v>58</v>
      </c>
      <c r="BN9" s="1351" t="s">
        <v>59</v>
      </c>
      <c r="BO9" s="1352"/>
      <c r="BP9" s="1268"/>
      <c r="BQ9" s="1268"/>
      <c r="BR9" s="1268"/>
      <c r="BS9" s="1268"/>
      <c r="BT9" s="1268"/>
      <c r="BU9" s="1268"/>
      <c r="BV9" s="1268"/>
      <c r="BW9" s="1268"/>
      <c r="BX9" s="1268"/>
      <c r="BY9" s="1268"/>
      <c r="BZ9" s="1268"/>
      <c r="CA9" s="1268"/>
      <c r="CB9" s="1268"/>
      <c r="CC9" s="1268"/>
      <c r="CD9" s="1268"/>
      <c r="CE9" s="1268"/>
      <c r="CF9" s="1268"/>
      <c r="CG9" s="1268"/>
      <c r="CH9" s="1268"/>
      <c r="CI9" s="1268"/>
    </row>
    <row r="10" spans="1:87" s="1268" customFormat="1" ht="15" x14ac:dyDescent="0.25">
      <c r="A10" s="3799"/>
      <c r="B10" s="3799"/>
      <c r="C10" s="1353">
        <v>1</v>
      </c>
      <c r="D10" s="1354" t="s">
        <v>1415</v>
      </c>
      <c r="E10" s="1354"/>
      <c r="F10" s="1354"/>
      <c r="G10" s="1355"/>
      <c r="H10" s="1356"/>
      <c r="I10" s="1354"/>
      <c r="J10" s="1354"/>
      <c r="K10" s="1354"/>
      <c r="L10" s="1354"/>
      <c r="M10" s="1355"/>
      <c r="N10" s="1356"/>
      <c r="O10" s="1357"/>
      <c r="P10" s="1358"/>
      <c r="Q10" s="1356"/>
      <c r="R10" s="1356"/>
      <c r="S10" s="1356"/>
      <c r="T10" s="1356"/>
      <c r="U10" s="1356"/>
      <c r="V10" s="1356"/>
      <c r="W10" s="1359"/>
      <c r="X10" s="1355"/>
      <c r="Y10" s="1354"/>
      <c r="Z10" s="1354"/>
      <c r="AA10" s="1354"/>
      <c r="AB10" s="1354"/>
      <c r="AC10" s="1354"/>
      <c r="AD10" s="1354"/>
      <c r="AE10" s="1354"/>
      <c r="AF10" s="1354"/>
      <c r="AG10" s="1354"/>
      <c r="AH10" s="1354"/>
      <c r="AI10" s="1354"/>
      <c r="AJ10" s="1354"/>
      <c r="AK10" s="1354"/>
      <c r="AL10" s="1354"/>
      <c r="AM10" s="1354"/>
      <c r="AN10" s="1354"/>
      <c r="AO10" s="1354"/>
      <c r="AP10" s="1354"/>
      <c r="AQ10" s="1354"/>
      <c r="AR10" s="1354"/>
      <c r="AS10" s="1354"/>
      <c r="AT10" s="1354"/>
      <c r="AU10" s="1354"/>
      <c r="AV10" s="1354"/>
      <c r="AW10" s="1354"/>
      <c r="AX10" s="1354"/>
      <c r="AY10" s="1354"/>
      <c r="AZ10" s="1354"/>
      <c r="BA10" s="1354"/>
      <c r="BB10" s="1354"/>
      <c r="BC10" s="1354"/>
      <c r="BD10" s="1354"/>
      <c r="BE10" s="1354"/>
      <c r="BF10" s="1360"/>
      <c r="BG10" s="1360"/>
      <c r="BH10" s="1361"/>
      <c r="BI10" s="1354"/>
      <c r="BJ10" s="1354"/>
      <c r="BK10" s="1362"/>
      <c r="BL10" s="1362"/>
      <c r="BM10" s="1362"/>
      <c r="BN10" s="1362"/>
      <c r="BO10" s="1363"/>
    </row>
    <row r="11" spans="1:87" s="1268" customFormat="1" ht="15" x14ac:dyDescent="0.25">
      <c r="A11" s="3800"/>
      <c r="B11" s="3800"/>
      <c r="C11" s="3801"/>
      <c r="D11" s="3802"/>
      <c r="E11" s="1365">
        <v>1</v>
      </c>
      <c r="F11" s="1366" t="s">
        <v>1416</v>
      </c>
      <c r="G11" s="1367"/>
      <c r="H11" s="1368"/>
      <c r="I11" s="1366"/>
      <c r="J11" s="1366"/>
      <c r="K11" s="1366"/>
      <c r="L11" s="1366"/>
      <c r="M11" s="1367"/>
      <c r="N11" s="1368"/>
      <c r="O11" s="1369"/>
      <c r="P11" s="1370"/>
      <c r="Q11" s="1368"/>
      <c r="R11" s="1368"/>
      <c r="S11" s="1368"/>
      <c r="T11" s="1368"/>
      <c r="U11" s="1368"/>
      <c r="V11" s="1368"/>
      <c r="W11" s="1371"/>
      <c r="X11" s="1367"/>
      <c r="Y11" s="1366"/>
      <c r="Z11" s="1366"/>
      <c r="AA11" s="1366"/>
      <c r="AB11" s="1366"/>
      <c r="AC11" s="1366"/>
      <c r="AD11" s="1366"/>
      <c r="AE11" s="1366"/>
      <c r="AF11" s="1366"/>
      <c r="AG11" s="1366"/>
      <c r="AH11" s="1366"/>
      <c r="AI11" s="1366"/>
      <c r="AJ11" s="1366"/>
      <c r="AK11" s="1366"/>
      <c r="AL11" s="1366"/>
      <c r="AM11" s="1366"/>
      <c r="AN11" s="1366"/>
      <c r="AO11" s="1366"/>
      <c r="AP11" s="1366"/>
      <c r="AQ11" s="1366"/>
      <c r="AR11" s="1366"/>
      <c r="AS11" s="1366"/>
      <c r="AT11" s="1366"/>
      <c r="AU11" s="1366"/>
      <c r="AV11" s="1366"/>
      <c r="AW11" s="1366"/>
      <c r="AX11" s="1366"/>
      <c r="AY11" s="1366"/>
      <c r="AZ11" s="1366"/>
      <c r="BA11" s="1366"/>
      <c r="BB11" s="1366"/>
      <c r="BC11" s="1366"/>
      <c r="BD11" s="1366"/>
      <c r="BE11" s="1366"/>
      <c r="BF11" s="1372"/>
      <c r="BG11" s="1372"/>
      <c r="BH11" s="1373"/>
      <c r="BI11" s="1366"/>
      <c r="BJ11" s="1366"/>
      <c r="BK11" s="1374"/>
      <c r="BL11" s="1374"/>
      <c r="BM11" s="1374"/>
      <c r="BN11" s="1374"/>
      <c r="BO11" s="1375"/>
    </row>
    <row r="12" spans="1:87" s="1268" customFormat="1" ht="28.5" customHeight="1" x14ac:dyDescent="0.25">
      <c r="A12" s="3800"/>
      <c r="B12" s="3800"/>
      <c r="C12" s="3803"/>
      <c r="D12" s="3804"/>
      <c r="E12" s="3805"/>
      <c r="F12" s="3806"/>
      <c r="G12" s="3165">
        <v>1</v>
      </c>
      <c r="H12" s="3810" t="s">
        <v>1417</v>
      </c>
      <c r="I12" s="3810" t="s">
        <v>1418</v>
      </c>
      <c r="J12" s="3165">
        <v>1</v>
      </c>
      <c r="K12" s="3826">
        <v>1</v>
      </c>
      <c r="L12" s="3164" t="s">
        <v>1419</v>
      </c>
      <c r="M12" s="3828" t="s">
        <v>1420</v>
      </c>
      <c r="N12" s="3810" t="s">
        <v>1421</v>
      </c>
      <c r="O12" s="3820">
        <f>+(T12+T13)/P12</f>
        <v>7.0570319609263285E-2</v>
      </c>
      <c r="P12" s="3822">
        <v>134617500</v>
      </c>
      <c r="Q12" s="3810" t="s">
        <v>1422</v>
      </c>
      <c r="R12" s="3810" t="s">
        <v>1423</v>
      </c>
      <c r="S12" s="2547" t="s">
        <v>1424</v>
      </c>
      <c r="T12" s="1499">
        <v>4500000</v>
      </c>
      <c r="U12" s="1499">
        <v>4500000</v>
      </c>
      <c r="V12" s="1499">
        <v>4500000</v>
      </c>
      <c r="W12" s="2580">
        <v>20</v>
      </c>
      <c r="X12" s="1269" t="s">
        <v>1425</v>
      </c>
      <c r="Y12" s="3824">
        <v>35373</v>
      </c>
      <c r="Z12" s="3824"/>
      <c r="AA12" s="3824">
        <v>33985</v>
      </c>
      <c r="AB12" s="3824"/>
      <c r="AC12" s="3824">
        <v>16632</v>
      </c>
      <c r="AD12" s="3824"/>
      <c r="AE12" s="3824">
        <v>3361</v>
      </c>
      <c r="AF12" s="3824"/>
      <c r="AG12" s="3824">
        <v>39432</v>
      </c>
      <c r="AH12" s="3824"/>
      <c r="AI12" s="3824">
        <v>9933</v>
      </c>
      <c r="AJ12" s="3824"/>
      <c r="AK12" s="3824"/>
      <c r="AL12" s="3824"/>
      <c r="AM12" s="3824"/>
      <c r="AN12" s="3824"/>
      <c r="AO12" s="3824"/>
      <c r="AP12" s="3824"/>
      <c r="AQ12" s="3824"/>
      <c r="AR12" s="3824"/>
      <c r="AS12" s="3824"/>
      <c r="AT12" s="3824"/>
      <c r="AU12" s="3824"/>
      <c r="AV12" s="3824"/>
      <c r="AW12" s="3824"/>
      <c r="AX12" s="3824"/>
      <c r="AY12" s="3824"/>
      <c r="AZ12" s="3824"/>
      <c r="BA12" s="3824"/>
      <c r="BB12" s="3824"/>
      <c r="BC12" s="3824">
        <f>Y12+AA12</f>
        <v>69358</v>
      </c>
      <c r="BD12" s="3824"/>
      <c r="BE12" s="3837">
        <v>8</v>
      </c>
      <c r="BF12" s="3187">
        <v>79183999</v>
      </c>
      <c r="BG12" s="3187">
        <v>43554200</v>
      </c>
      <c r="BH12" s="3838">
        <f>BG12/BF12</f>
        <v>0.55003789338803155</v>
      </c>
      <c r="BI12" s="3837" t="s">
        <v>1425</v>
      </c>
      <c r="BJ12" s="3837" t="s">
        <v>1426</v>
      </c>
      <c r="BK12" s="3830">
        <v>43466</v>
      </c>
      <c r="BL12" s="3830">
        <v>43482</v>
      </c>
      <c r="BM12" s="3839">
        <v>43829</v>
      </c>
      <c r="BN12" s="3830">
        <v>43819</v>
      </c>
      <c r="BO12" s="3833" t="s">
        <v>1427</v>
      </c>
    </row>
    <row r="13" spans="1:87" s="1268" customFormat="1" ht="42.75" customHeight="1" x14ac:dyDescent="0.25">
      <c r="A13" s="3800"/>
      <c r="B13" s="3800"/>
      <c r="C13" s="3803"/>
      <c r="D13" s="3804"/>
      <c r="E13" s="3342"/>
      <c r="F13" s="3807"/>
      <c r="G13" s="3179"/>
      <c r="H13" s="3811"/>
      <c r="I13" s="3811"/>
      <c r="J13" s="3179"/>
      <c r="K13" s="3827"/>
      <c r="L13" s="3164"/>
      <c r="M13" s="3828"/>
      <c r="N13" s="3823"/>
      <c r="O13" s="3821"/>
      <c r="P13" s="3822"/>
      <c r="Q13" s="3823"/>
      <c r="R13" s="3823"/>
      <c r="S13" s="2549" t="s">
        <v>1428</v>
      </c>
      <c r="T13" s="1500">
        <v>5000000</v>
      </c>
      <c r="U13" s="1500">
        <v>5000000</v>
      </c>
      <c r="V13" s="1500">
        <v>3740300</v>
      </c>
      <c r="W13" s="2579">
        <v>20</v>
      </c>
      <c r="X13" s="1274" t="s">
        <v>1425</v>
      </c>
      <c r="Y13" s="3824"/>
      <c r="Z13" s="3824"/>
      <c r="AA13" s="3824"/>
      <c r="AB13" s="3824"/>
      <c r="AC13" s="3824"/>
      <c r="AD13" s="3824"/>
      <c r="AE13" s="3824"/>
      <c r="AF13" s="3824"/>
      <c r="AG13" s="3824"/>
      <c r="AH13" s="3824"/>
      <c r="AI13" s="3824"/>
      <c r="AJ13" s="3824"/>
      <c r="AK13" s="3824"/>
      <c r="AL13" s="3824"/>
      <c r="AM13" s="3824"/>
      <c r="AN13" s="3824"/>
      <c r="AO13" s="3824"/>
      <c r="AP13" s="3824"/>
      <c r="AQ13" s="3824"/>
      <c r="AR13" s="3824"/>
      <c r="AS13" s="3824"/>
      <c r="AT13" s="3824"/>
      <c r="AU13" s="3824"/>
      <c r="AV13" s="3824"/>
      <c r="AW13" s="3824"/>
      <c r="AX13" s="3824"/>
      <c r="AY13" s="3824"/>
      <c r="AZ13" s="3824"/>
      <c r="BA13" s="3824"/>
      <c r="BB13" s="3824"/>
      <c r="BC13" s="3824"/>
      <c r="BD13" s="3824"/>
      <c r="BE13" s="3837"/>
      <c r="BF13" s="3187"/>
      <c r="BG13" s="3187"/>
      <c r="BH13" s="3838"/>
      <c r="BI13" s="3837"/>
      <c r="BJ13" s="3837"/>
      <c r="BK13" s="3831"/>
      <c r="BL13" s="3831"/>
      <c r="BM13" s="3840"/>
      <c r="BN13" s="3831"/>
      <c r="BO13" s="3834"/>
    </row>
    <row r="14" spans="1:87" s="1268" customFormat="1" ht="57" x14ac:dyDescent="0.25">
      <c r="A14" s="3800"/>
      <c r="B14" s="3800"/>
      <c r="C14" s="3803"/>
      <c r="D14" s="3804"/>
      <c r="E14" s="3342"/>
      <c r="F14" s="3807"/>
      <c r="G14" s="2558">
        <v>2</v>
      </c>
      <c r="H14" s="2575" t="s">
        <v>1429</v>
      </c>
      <c r="I14" s="2575" t="s">
        <v>1430</v>
      </c>
      <c r="J14" s="2559">
        <v>4</v>
      </c>
      <c r="K14" s="1380">
        <v>4</v>
      </c>
      <c r="L14" s="3164"/>
      <c r="M14" s="3828"/>
      <c r="N14" s="3823"/>
      <c r="O14" s="1381">
        <f>+(T14)/P12</f>
        <v>0.19982543131465078</v>
      </c>
      <c r="P14" s="3822"/>
      <c r="Q14" s="3823"/>
      <c r="R14" s="3823"/>
      <c r="S14" s="2591" t="s">
        <v>1431</v>
      </c>
      <c r="T14" s="1499">
        <v>26900000</v>
      </c>
      <c r="U14" s="1499">
        <v>22385000</v>
      </c>
      <c r="V14" s="1499">
        <v>15120900</v>
      </c>
      <c r="W14" s="2579">
        <v>20</v>
      </c>
      <c r="X14" s="2558" t="s">
        <v>1425</v>
      </c>
      <c r="Y14" s="3824"/>
      <c r="Z14" s="3824"/>
      <c r="AA14" s="3824"/>
      <c r="AB14" s="3824"/>
      <c r="AC14" s="3824"/>
      <c r="AD14" s="3824"/>
      <c r="AE14" s="3824"/>
      <c r="AF14" s="3824"/>
      <c r="AG14" s="3824"/>
      <c r="AH14" s="3824"/>
      <c r="AI14" s="3824"/>
      <c r="AJ14" s="3824"/>
      <c r="AK14" s="3824"/>
      <c r="AL14" s="3824"/>
      <c r="AM14" s="3824"/>
      <c r="AN14" s="3824"/>
      <c r="AO14" s="3824"/>
      <c r="AP14" s="3824"/>
      <c r="AQ14" s="3824"/>
      <c r="AR14" s="3824"/>
      <c r="AS14" s="3824"/>
      <c r="AT14" s="3824"/>
      <c r="AU14" s="3824"/>
      <c r="AV14" s="3824"/>
      <c r="AW14" s="3824"/>
      <c r="AX14" s="3824"/>
      <c r="AY14" s="3824"/>
      <c r="AZ14" s="3824"/>
      <c r="BA14" s="3824"/>
      <c r="BB14" s="3824"/>
      <c r="BC14" s="3824"/>
      <c r="BD14" s="3824"/>
      <c r="BE14" s="3837"/>
      <c r="BF14" s="3187"/>
      <c r="BG14" s="3187"/>
      <c r="BH14" s="3838"/>
      <c r="BI14" s="3837"/>
      <c r="BJ14" s="3837"/>
      <c r="BK14" s="3831"/>
      <c r="BL14" s="3831"/>
      <c r="BM14" s="3840"/>
      <c r="BN14" s="3831"/>
      <c r="BO14" s="3834"/>
    </row>
    <row r="15" spans="1:87" s="1268" customFormat="1" ht="77.25" customHeight="1" x14ac:dyDescent="0.25">
      <c r="A15" s="3800"/>
      <c r="B15" s="3800"/>
      <c r="C15" s="3803"/>
      <c r="D15" s="3804"/>
      <c r="E15" s="3342"/>
      <c r="F15" s="3807"/>
      <c r="G15" s="2558">
        <v>3</v>
      </c>
      <c r="H15" s="2575" t="s">
        <v>1432</v>
      </c>
      <c r="I15" s="2575" t="s">
        <v>1433</v>
      </c>
      <c r="J15" s="2559">
        <v>1</v>
      </c>
      <c r="K15" s="1382">
        <v>1</v>
      </c>
      <c r="L15" s="3164"/>
      <c r="M15" s="3828"/>
      <c r="N15" s="3823"/>
      <c r="O15" s="1381">
        <f>+(T15)/P12</f>
        <v>0.15228332126209446</v>
      </c>
      <c r="P15" s="3822"/>
      <c r="Q15" s="3823"/>
      <c r="R15" s="3836" t="s">
        <v>1434</v>
      </c>
      <c r="S15" s="2591" t="s">
        <v>1435</v>
      </c>
      <c r="T15" s="1500">
        <v>20500000</v>
      </c>
      <c r="U15" s="1499">
        <v>14980000</v>
      </c>
      <c r="V15" s="1499">
        <v>8432300</v>
      </c>
      <c r="W15" s="2577">
        <v>20</v>
      </c>
      <c r="X15" s="2555" t="s">
        <v>1425</v>
      </c>
      <c r="Y15" s="3824"/>
      <c r="Z15" s="3824"/>
      <c r="AA15" s="3824"/>
      <c r="AB15" s="3824"/>
      <c r="AC15" s="3824"/>
      <c r="AD15" s="3824"/>
      <c r="AE15" s="3824"/>
      <c r="AF15" s="3824"/>
      <c r="AG15" s="3824"/>
      <c r="AH15" s="3824"/>
      <c r="AI15" s="3824"/>
      <c r="AJ15" s="3824"/>
      <c r="AK15" s="3824"/>
      <c r="AL15" s="3824"/>
      <c r="AM15" s="3824"/>
      <c r="AN15" s="3824"/>
      <c r="AO15" s="3824"/>
      <c r="AP15" s="3824"/>
      <c r="AQ15" s="3824"/>
      <c r="AR15" s="3824"/>
      <c r="AS15" s="3824"/>
      <c r="AT15" s="3824"/>
      <c r="AU15" s="3824"/>
      <c r="AV15" s="3824"/>
      <c r="AW15" s="3824"/>
      <c r="AX15" s="3824"/>
      <c r="AY15" s="3824"/>
      <c r="AZ15" s="3824"/>
      <c r="BA15" s="3824"/>
      <c r="BB15" s="3824"/>
      <c r="BC15" s="3824"/>
      <c r="BD15" s="3824"/>
      <c r="BE15" s="3837"/>
      <c r="BF15" s="3187"/>
      <c r="BG15" s="3187"/>
      <c r="BH15" s="3838"/>
      <c r="BI15" s="3837"/>
      <c r="BJ15" s="3837"/>
      <c r="BK15" s="3831"/>
      <c r="BL15" s="3831"/>
      <c r="BM15" s="3840"/>
      <c r="BN15" s="3831"/>
      <c r="BO15" s="3834"/>
    </row>
    <row r="16" spans="1:87" s="1268" customFormat="1" ht="85.5" x14ac:dyDescent="0.25">
      <c r="A16" s="3800"/>
      <c r="B16" s="3800"/>
      <c r="C16" s="3803"/>
      <c r="D16" s="3804"/>
      <c r="E16" s="3342"/>
      <c r="F16" s="3807"/>
      <c r="G16" s="2558">
        <v>4</v>
      </c>
      <c r="H16" s="2575" t="s">
        <v>1436</v>
      </c>
      <c r="I16" s="2575" t="s">
        <v>1437</v>
      </c>
      <c r="J16" s="2559">
        <v>1</v>
      </c>
      <c r="K16" s="1380">
        <v>0.3</v>
      </c>
      <c r="L16" s="3164"/>
      <c r="M16" s="3828"/>
      <c r="N16" s="3823"/>
      <c r="O16" s="1381">
        <f>+(T16)/P12</f>
        <v>0.49399223726484298</v>
      </c>
      <c r="P16" s="3822"/>
      <c r="Q16" s="3823"/>
      <c r="R16" s="3836"/>
      <c r="S16" s="2591" t="s">
        <v>1438</v>
      </c>
      <c r="T16" s="1500">
        <v>66500000</v>
      </c>
      <c r="U16" s="1499">
        <v>21101999</v>
      </c>
      <c r="V16" s="1499">
        <v>6720400</v>
      </c>
      <c r="W16" s="2577">
        <v>20</v>
      </c>
      <c r="X16" s="2555" t="s">
        <v>1425</v>
      </c>
      <c r="Y16" s="3824"/>
      <c r="Z16" s="3824"/>
      <c r="AA16" s="3824"/>
      <c r="AB16" s="3824"/>
      <c r="AC16" s="3824"/>
      <c r="AD16" s="3824"/>
      <c r="AE16" s="3824"/>
      <c r="AF16" s="3824"/>
      <c r="AG16" s="3824"/>
      <c r="AH16" s="3824"/>
      <c r="AI16" s="3824"/>
      <c r="AJ16" s="3824"/>
      <c r="AK16" s="3824"/>
      <c r="AL16" s="3824"/>
      <c r="AM16" s="3824"/>
      <c r="AN16" s="3824"/>
      <c r="AO16" s="3824"/>
      <c r="AP16" s="3824"/>
      <c r="AQ16" s="3824"/>
      <c r="AR16" s="3824"/>
      <c r="AS16" s="3824"/>
      <c r="AT16" s="3824"/>
      <c r="AU16" s="3824"/>
      <c r="AV16" s="3824"/>
      <c r="AW16" s="3824"/>
      <c r="AX16" s="3824"/>
      <c r="AY16" s="3824"/>
      <c r="AZ16" s="3824"/>
      <c r="BA16" s="3824"/>
      <c r="BB16" s="3824"/>
      <c r="BC16" s="3824"/>
      <c r="BD16" s="3824"/>
      <c r="BE16" s="3837"/>
      <c r="BF16" s="3187"/>
      <c r="BG16" s="3187"/>
      <c r="BH16" s="3838"/>
      <c r="BI16" s="3837"/>
      <c r="BJ16" s="3837"/>
      <c r="BK16" s="3831"/>
      <c r="BL16" s="3831"/>
      <c r="BM16" s="3840"/>
      <c r="BN16" s="3831"/>
      <c r="BO16" s="3834"/>
    </row>
    <row r="17" spans="1:68" s="1268" customFormat="1" ht="71.25" x14ac:dyDescent="0.25">
      <c r="A17" s="3800"/>
      <c r="B17" s="3800"/>
      <c r="C17" s="3803"/>
      <c r="D17" s="3804"/>
      <c r="E17" s="3808"/>
      <c r="F17" s="3809"/>
      <c r="G17" s="2553">
        <v>6</v>
      </c>
      <c r="H17" s="2566" t="s">
        <v>1439</v>
      </c>
      <c r="I17" s="2566" t="s">
        <v>1440</v>
      </c>
      <c r="J17" s="2559">
        <v>12</v>
      </c>
      <c r="K17" s="2556">
        <v>12</v>
      </c>
      <c r="L17" s="3165"/>
      <c r="M17" s="3829"/>
      <c r="N17" s="3811"/>
      <c r="O17" s="1381">
        <f>+T17/P12</f>
        <v>8.3328690549148515E-2</v>
      </c>
      <c r="P17" s="3315"/>
      <c r="Q17" s="3823"/>
      <c r="R17" s="3810"/>
      <c r="S17" s="2590" t="s">
        <v>1441</v>
      </c>
      <c r="T17" s="1501">
        <v>11217500</v>
      </c>
      <c r="U17" s="1499">
        <v>11217000</v>
      </c>
      <c r="V17" s="1499">
        <v>5040300</v>
      </c>
      <c r="W17" s="2576">
        <v>20</v>
      </c>
      <c r="X17" s="2554" t="s">
        <v>1425</v>
      </c>
      <c r="Y17" s="3825"/>
      <c r="Z17" s="3825"/>
      <c r="AA17" s="3825"/>
      <c r="AB17" s="3825"/>
      <c r="AC17" s="3825"/>
      <c r="AD17" s="3825"/>
      <c r="AE17" s="3825"/>
      <c r="AF17" s="3825"/>
      <c r="AG17" s="3825"/>
      <c r="AH17" s="3825"/>
      <c r="AI17" s="3825"/>
      <c r="AJ17" s="3825"/>
      <c r="AK17" s="3825"/>
      <c r="AL17" s="3825"/>
      <c r="AM17" s="3825"/>
      <c r="AN17" s="3825"/>
      <c r="AO17" s="3825"/>
      <c r="AP17" s="3825"/>
      <c r="AQ17" s="3825"/>
      <c r="AR17" s="3825"/>
      <c r="AS17" s="3825"/>
      <c r="AT17" s="3825"/>
      <c r="AU17" s="3825"/>
      <c r="AV17" s="3825"/>
      <c r="AW17" s="3825"/>
      <c r="AX17" s="3825"/>
      <c r="AY17" s="3825"/>
      <c r="AZ17" s="3825"/>
      <c r="BA17" s="3825"/>
      <c r="BB17" s="3825"/>
      <c r="BC17" s="3825"/>
      <c r="BD17" s="3825"/>
      <c r="BE17" s="3837"/>
      <c r="BF17" s="3187"/>
      <c r="BG17" s="3187"/>
      <c r="BH17" s="3838"/>
      <c r="BI17" s="3837"/>
      <c r="BJ17" s="3837"/>
      <c r="BK17" s="3832"/>
      <c r="BL17" s="3832"/>
      <c r="BM17" s="3841"/>
      <c r="BN17" s="3832"/>
      <c r="BO17" s="3835"/>
    </row>
    <row r="18" spans="1:68" s="1268" customFormat="1" ht="15" x14ac:dyDescent="0.25">
      <c r="A18" s="3800"/>
      <c r="B18" s="3800"/>
      <c r="C18" s="3803"/>
      <c r="D18" s="3804"/>
      <c r="E18" s="1385">
        <v>2</v>
      </c>
      <c r="F18" s="3812" t="s">
        <v>1442</v>
      </c>
      <c r="G18" s="3813"/>
      <c r="H18" s="3813"/>
      <c r="I18" s="3814"/>
      <c r="J18" s="1386"/>
      <c r="K18" s="1386"/>
      <c r="L18" s="1386"/>
      <c r="M18" s="1386"/>
      <c r="N18" s="1387"/>
      <c r="O18" s="1388"/>
      <c r="P18" s="1490"/>
      <c r="Q18" s="1387"/>
      <c r="R18" s="1387"/>
      <c r="S18" s="1387"/>
      <c r="T18" s="1502"/>
      <c r="U18" s="1502"/>
      <c r="V18" s="1502"/>
      <c r="W18" s="1389"/>
      <c r="X18" s="1390"/>
      <c r="Y18" s="1391"/>
      <c r="Z18" s="1391"/>
      <c r="AA18" s="1392"/>
      <c r="AB18" s="1392"/>
      <c r="AC18" s="1392"/>
      <c r="AD18" s="1392"/>
      <c r="AE18" s="1392"/>
      <c r="AF18" s="1392"/>
      <c r="AG18" s="1392"/>
      <c r="AH18" s="1392"/>
      <c r="AI18" s="1392"/>
      <c r="AJ18" s="1392"/>
      <c r="AK18" s="1393"/>
      <c r="AL18" s="1393"/>
      <c r="AM18" s="1393"/>
      <c r="AN18" s="1393"/>
      <c r="AO18" s="1393"/>
      <c r="AP18" s="1393"/>
      <c r="AQ18" s="1394"/>
      <c r="AR18" s="1394"/>
      <c r="AS18" s="1394"/>
      <c r="AT18" s="1394"/>
      <c r="AU18" s="1394"/>
      <c r="AV18" s="1394"/>
      <c r="AW18" s="1393"/>
      <c r="AX18" s="1393"/>
      <c r="AY18" s="1393"/>
      <c r="AZ18" s="1393"/>
      <c r="BA18" s="1392"/>
      <c r="BB18" s="1392"/>
      <c r="BC18" s="1395"/>
      <c r="BD18" s="1395"/>
      <c r="BE18" s="1396"/>
      <c r="BF18" s="1490"/>
      <c r="BG18" s="1514"/>
      <c r="BH18" s="1397"/>
      <c r="BI18" s="1397"/>
      <c r="BJ18" s="1397"/>
      <c r="BK18" s="1397"/>
      <c r="BL18" s="1397"/>
      <c r="BM18" s="1397"/>
      <c r="BN18" s="1397"/>
      <c r="BO18" s="1397"/>
    </row>
    <row r="19" spans="1:68" s="1268" customFormat="1" ht="54" customHeight="1" x14ac:dyDescent="0.25">
      <c r="A19" s="3800"/>
      <c r="B19" s="3800"/>
      <c r="C19" s="3803"/>
      <c r="D19" s="3804"/>
      <c r="E19" s="3164"/>
      <c r="F19" s="3164"/>
      <c r="G19" s="2554">
        <v>7</v>
      </c>
      <c r="H19" s="2566" t="s">
        <v>1443</v>
      </c>
      <c r="I19" s="2567" t="s">
        <v>1444</v>
      </c>
      <c r="J19" s="2559">
        <v>1</v>
      </c>
      <c r="K19" s="1398">
        <v>0.3</v>
      </c>
      <c r="L19" s="3164" t="s">
        <v>1445</v>
      </c>
      <c r="M19" s="3165" t="s">
        <v>1446</v>
      </c>
      <c r="N19" s="3810" t="s">
        <v>1447</v>
      </c>
      <c r="O19" s="2581">
        <f>+T19/P19</f>
        <v>0.79984028770363513</v>
      </c>
      <c r="P19" s="3315">
        <v>158373529</v>
      </c>
      <c r="Q19" s="2882" t="s">
        <v>1448</v>
      </c>
      <c r="R19" s="2882" t="s">
        <v>1449</v>
      </c>
      <c r="S19" s="2567" t="s">
        <v>1450</v>
      </c>
      <c r="T19" s="1501">
        <v>126673529</v>
      </c>
      <c r="U19" s="1501">
        <v>62523641</v>
      </c>
      <c r="V19" s="1501">
        <v>31982000</v>
      </c>
      <c r="W19" s="2576">
        <v>20</v>
      </c>
      <c r="X19" s="2554" t="s">
        <v>1425</v>
      </c>
      <c r="Y19" s="3825">
        <v>252568</v>
      </c>
      <c r="Z19" s="3825"/>
      <c r="AA19" s="3825">
        <v>243650</v>
      </c>
      <c r="AB19" s="3825"/>
      <c r="AC19" s="3825">
        <v>97896</v>
      </c>
      <c r="AD19" s="3825"/>
      <c r="AE19" s="3825">
        <v>53351</v>
      </c>
      <c r="AF19" s="3825"/>
      <c r="AG19" s="3825">
        <v>140316</v>
      </c>
      <c r="AH19" s="3825"/>
      <c r="AI19" s="3825">
        <v>30825</v>
      </c>
      <c r="AJ19" s="3825"/>
      <c r="AK19" s="3825"/>
      <c r="AL19" s="3825"/>
      <c r="AM19" s="3825"/>
      <c r="AN19" s="3825"/>
      <c r="AO19" s="3825"/>
      <c r="AP19" s="3825"/>
      <c r="AQ19" s="3825"/>
      <c r="AR19" s="3825"/>
      <c r="AS19" s="3825"/>
      <c r="AT19" s="3825"/>
      <c r="AU19" s="3825"/>
      <c r="AV19" s="3825"/>
      <c r="AW19" s="3825"/>
      <c r="AX19" s="3825"/>
      <c r="AY19" s="3825"/>
      <c r="AZ19" s="3825"/>
      <c r="BA19" s="3825"/>
      <c r="BB19" s="3825"/>
      <c r="BC19" s="3825">
        <f>Y19+AA19</f>
        <v>496218</v>
      </c>
      <c r="BD19" s="3825"/>
      <c r="BE19" s="3837">
        <v>6</v>
      </c>
      <c r="BF19" s="3187">
        <v>79324641</v>
      </c>
      <c r="BG19" s="3187">
        <v>42062600</v>
      </c>
      <c r="BH19" s="3844">
        <f>BG19/BF19</f>
        <v>0.53025893933765167</v>
      </c>
      <c r="BI19" s="3837" t="s">
        <v>1425</v>
      </c>
      <c r="BJ19" s="3837" t="s">
        <v>1426</v>
      </c>
      <c r="BK19" s="3852">
        <v>43466</v>
      </c>
      <c r="BL19" s="3830">
        <v>43482</v>
      </c>
      <c r="BM19" s="3854">
        <v>43829</v>
      </c>
      <c r="BN19" s="3854">
        <v>43819</v>
      </c>
      <c r="BO19" s="3833" t="s">
        <v>1427</v>
      </c>
    </row>
    <row r="20" spans="1:68" ht="101.25" customHeight="1" x14ac:dyDescent="0.25">
      <c r="A20" s="3800"/>
      <c r="B20" s="3800"/>
      <c r="C20" s="3803"/>
      <c r="D20" s="3804"/>
      <c r="E20" s="3164"/>
      <c r="F20" s="3164"/>
      <c r="G20" s="2561">
        <v>8</v>
      </c>
      <c r="H20" s="2575" t="s">
        <v>1451</v>
      </c>
      <c r="I20" s="2575" t="s">
        <v>1452</v>
      </c>
      <c r="J20" s="2559">
        <v>1</v>
      </c>
      <c r="K20" s="1399">
        <v>0.8</v>
      </c>
      <c r="L20" s="3164"/>
      <c r="M20" s="3179"/>
      <c r="N20" s="3811"/>
      <c r="O20" s="1381">
        <f>+T20/P19</f>
        <v>0.20015971229636487</v>
      </c>
      <c r="P20" s="3317"/>
      <c r="Q20" s="2883"/>
      <c r="R20" s="2883"/>
      <c r="S20" s="2575" t="s">
        <v>1453</v>
      </c>
      <c r="T20" s="1503">
        <v>31700000</v>
      </c>
      <c r="U20" s="1503">
        <v>16801000</v>
      </c>
      <c r="V20" s="1503">
        <v>10080600</v>
      </c>
      <c r="W20" s="2587">
        <v>20</v>
      </c>
      <c r="X20" s="2562" t="s">
        <v>1425</v>
      </c>
      <c r="Y20" s="3842"/>
      <c r="Z20" s="3842"/>
      <c r="AA20" s="3842"/>
      <c r="AB20" s="3842"/>
      <c r="AC20" s="3842"/>
      <c r="AD20" s="3842"/>
      <c r="AE20" s="3842"/>
      <c r="AF20" s="3842"/>
      <c r="AG20" s="3842"/>
      <c r="AH20" s="3842"/>
      <c r="AI20" s="3842"/>
      <c r="AJ20" s="3842"/>
      <c r="AK20" s="3842"/>
      <c r="AL20" s="3842"/>
      <c r="AM20" s="3842"/>
      <c r="AN20" s="3842"/>
      <c r="AO20" s="3842"/>
      <c r="AP20" s="3842"/>
      <c r="AQ20" s="3842"/>
      <c r="AR20" s="3842"/>
      <c r="AS20" s="3842"/>
      <c r="AT20" s="3842"/>
      <c r="AU20" s="3842"/>
      <c r="AV20" s="3842"/>
      <c r="AW20" s="3842"/>
      <c r="AX20" s="3842"/>
      <c r="AY20" s="3842"/>
      <c r="AZ20" s="3842"/>
      <c r="BA20" s="3842"/>
      <c r="BB20" s="3842"/>
      <c r="BC20" s="3842"/>
      <c r="BD20" s="3842"/>
      <c r="BE20" s="3843"/>
      <c r="BF20" s="3187"/>
      <c r="BG20" s="3187"/>
      <c r="BH20" s="3844"/>
      <c r="BI20" s="3837"/>
      <c r="BJ20" s="3837"/>
      <c r="BK20" s="3853"/>
      <c r="BL20" s="3832"/>
      <c r="BM20" s="3854"/>
      <c r="BN20" s="3854"/>
      <c r="BO20" s="3835"/>
    </row>
    <row r="21" spans="1:68" ht="15" x14ac:dyDescent="0.25">
      <c r="A21" s="3800"/>
      <c r="B21" s="3800"/>
      <c r="C21" s="3803"/>
      <c r="D21" s="3804"/>
      <c r="E21" s="1401">
        <v>3</v>
      </c>
      <c r="F21" s="1402" t="s">
        <v>1454</v>
      </c>
      <c r="G21" s="1403"/>
      <c r="H21" s="1404"/>
      <c r="I21" s="1405"/>
      <c r="J21" s="1405"/>
      <c r="K21" s="1405"/>
      <c r="L21" s="1406"/>
      <c r="M21" s="1403"/>
      <c r="N21" s="1404"/>
      <c r="O21" s="1407"/>
      <c r="P21" s="1491"/>
      <c r="Q21" s="1408"/>
      <c r="R21" s="1408"/>
      <c r="S21" s="1408"/>
      <c r="T21" s="1504"/>
      <c r="U21" s="1504"/>
      <c r="V21" s="1504"/>
      <c r="W21" s="1409"/>
      <c r="X21" s="1403"/>
      <c r="Y21" s="1405"/>
      <c r="Z21" s="1405"/>
      <c r="AA21" s="1405"/>
      <c r="AB21" s="1405"/>
      <c r="AC21" s="1405"/>
      <c r="AD21" s="1405"/>
      <c r="AE21" s="1405"/>
      <c r="AF21" s="1405"/>
      <c r="AG21" s="1405"/>
      <c r="AH21" s="1405"/>
      <c r="AI21" s="1405"/>
      <c r="AJ21" s="1405"/>
      <c r="AK21" s="1405"/>
      <c r="AL21" s="1405"/>
      <c r="AM21" s="1405"/>
      <c r="AN21" s="1405"/>
      <c r="AO21" s="1405"/>
      <c r="AP21" s="1405"/>
      <c r="AQ21" s="1405"/>
      <c r="AR21" s="1405"/>
      <c r="AS21" s="1405"/>
      <c r="AT21" s="1405"/>
      <c r="AU21" s="1405"/>
      <c r="AV21" s="1405"/>
      <c r="AW21" s="1405"/>
      <c r="AX21" s="1405"/>
      <c r="AY21" s="1405"/>
      <c r="AZ21" s="1405"/>
      <c r="BA21" s="1405"/>
      <c r="BB21" s="1405"/>
      <c r="BC21" s="1405"/>
      <c r="BD21" s="1405"/>
      <c r="BE21" s="1410"/>
      <c r="BF21" s="1490"/>
      <c r="BG21" s="1514"/>
      <c r="BH21" s="1397"/>
      <c r="BI21" s="1397"/>
      <c r="BJ21" s="1397"/>
      <c r="BK21" s="1397"/>
      <c r="BL21" s="1397"/>
      <c r="BM21" s="1397"/>
      <c r="BN21" s="1397"/>
      <c r="BO21" s="1397"/>
    </row>
    <row r="22" spans="1:68" ht="28.5" customHeight="1" x14ac:dyDescent="0.25">
      <c r="A22" s="3800"/>
      <c r="B22" s="3800"/>
      <c r="C22" s="3803"/>
      <c r="D22" s="3804"/>
      <c r="E22" s="3846"/>
      <c r="F22" s="3847"/>
      <c r="G22" s="3115">
        <v>14</v>
      </c>
      <c r="H22" s="2807" t="s">
        <v>1455</v>
      </c>
      <c r="I22" s="2834" t="s">
        <v>1456</v>
      </c>
      <c r="J22" s="3154">
        <v>6</v>
      </c>
      <c r="K22" s="3850">
        <v>0.6</v>
      </c>
      <c r="L22" s="3161" t="s">
        <v>1457</v>
      </c>
      <c r="M22" s="3165" t="s">
        <v>1458</v>
      </c>
      <c r="N22" s="2977" t="s">
        <v>1459</v>
      </c>
      <c r="O22" s="3845">
        <f>+(T22+T23)/P22</f>
        <v>0.16270012988344068</v>
      </c>
      <c r="P22" s="3339">
        <f>SUM(T22:T25)</f>
        <v>1643514361</v>
      </c>
      <c r="Q22" s="2977" t="s">
        <v>1460</v>
      </c>
      <c r="R22" s="2977" t="s">
        <v>1423</v>
      </c>
      <c r="S22" s="2549" t="s">
        <v>1461</v>
      </c>
      <c r="T22" s="1503">
        <v>133700000</v>
      </c>
      <c r="U22" s="1503">
        <v>93439000</v>
      </c>
      <c r="V22" s="1503">
        <v>72207200</v>
      </c>
      <c r="W22" s="2587">
        <v>20</v>
      </c>
      <c r="X22" s="2558" t="s">
        <v>1462</v>
      </c>
      <c r="Y22" s="3487">
        <v>35373</v>
      </c>
      <c r="Z22" s="3487"/>
      <c r="AA22" s="3487">
        <v>33985</v>
      </c>
      <c r="AB22" s="3487"/>
      <c r="AC22" s="3487">
        <v>16632</v>
      </c>
      <c r="AD22" s="3487"/>
      <c r="AE22" s="3487">
        <v>3361</v>
      </c>
      <c r="AF22" s="3487"/>
      <c r="AG22" s="3487">
        <v>39432</v>
      </c>
      <c r="AH22" s="3487"/>
      <c r="AI22" s="3487">
        <v>9933</v>
      </c>
      <c r="AJ22" s="3487"/>
      <c r="AK22" s="3487"/>
      <c r="AL22" s="3487"/>
      <c r="AM22" s="3487"/>
      <c r="AN22" s="3487"/>
      <c r="AO22" s="3487"/>
      <c r="AP22" s="3487"/>
      <c r="AQ22" s="3487"/>
      <c r="AR22" s="3487"/>
      <c r="AS22" s="3487"/>
      <c r="AT22" s="3487"/>
      <c r="AU22" s="3487"/>
      <c r="AV22" s="3487"/>
      <c r="AW22" s="3487"/>
      <c r="AX22" s="3487"/>
      <c r="AY22" s="3487"/>
      <c r="AZ22" s="3487"/>
      <c r="BA22" s="3487"/>
      <c r="BB22" s="3487"/>
      <c r="BC22" s="3487">
        <f>Y22+AA22</f>
        <v>69358</v>
      </c>
      <c r="BD22" s="3487"/>
      <c r="BE22" s="3487">
        <v>17</v>
      </c>
      <c r="BF22" s="3167">
        <v>173405400</v>
      </c>
      <c r="BG22" s="3167">
        <v>118126400</v>
      </c>
      <c r="BH22" s="3856">
        <f>+BG22/BF22</f>
        <v>0.68121523320496358</v>
      </c>
      <c r="BI22" s="3487" t="s">
        <v>1425</v>
      </c>
      <c r="BJ22" s="2977" t="s">
        <v>1426</v>
      </c>
      <c r="BK22" s="3832">
        <v>43466</v>
      </c>
      <c r="BL22" s="3832">
        <v>43489</v>
      </c>
      <c r="BM22" s="3832">
        <v>43646</v>
      </c>
      <c r="BN22" s="3832">
        <v>43652</v>
      </c>
      <c r="BO22" s="3835" t="s">
        <v>1427</v>
      </c>
    </row>
    <row r="23" spans="1:68" ht="42.75" x14ac:dyDescent="0.25">
      <c r="A23" s="3800"/>
      <c r="B23" s="3800"/>
      <c r="C23" s="3803"/>
      <c r="D23" s="3804"/>
      <c r="E23" s="3848"/>
      <c r="F23" s="3849"/>
      <c r="G23" s="3115"/>
      <c r="H23" s="2807"/>
      <c r="I23" s="2835"/>
      <c r="J23" s="3171"/>
      <c r="K23" s="3851"/>
      <c r="L23" s="3161"/>
      <c r="M23" s="3207"/>
      <c r="N23" s="2966"/>
      <c r="O23" s="3845"/>
      <c r="P23" s="3123"/>
      <c r="Q23" s="2966"/>
      <c r="R23" s="2966"/>
      <c r="S23" s="2549" t="s">
        <v>1463</v>
      </c>
      <c r="T23" s="1503">
        <v>133700000</v>
      </c>
      <c r="U23" s="1503">
        <v>79966400</v>
      </c>
      <c r="V23" s="1503">
        <v>45919200</v>
      </c>
      <c r="W23" s="2587">
        <v>20</v>
      </c>
      <c r="X23" s="2558" t="s">
        <v>1462</v>
      </c>
      <c r="Y23" s="3488"/>
      <c r="Z23" s="3488"/>
      <c r="AA23" s="3488"/>
      <c r="AB23" s="3488"/>
      <c r="AC23" s="3488"/>
      <c r="AD23" s="3488"/>
      <c r="AE23" s="3488"/>
      <c r="AF23" s="3488"/>
      <c r="AG23" s="3488"/>
      <c r="AH23" s="3488"/>
      <c r="AI23" s="3488"/>
      <c r="AJ23" s="3488"/>
      <c r="AK23" s="3488"/>
      <c r="AL23" s="3488"/>
      <c r="AM23" s="3488"/>
      <c r="AN23" s="3488"/>
      <c r="AO23" s="3488"/>
      <c r="AP23" s="3488"/>
      <c r="AQ23" s="3488"/>
      <c r="AR23" s="3488"/>
      <c r="AS23" s="3488"/>
      <c r="AT23" s="3488"/>
      <c r="AU23" s="3488"/>
      <c r="AV23" s="3488"/>
      <c r="AW23" s="3488"/>
      <c r="AX23" s="3488"/>
      <c r="AY23" s="3488"/>
      <c r="AZ23" s="3488"/>
      <c r="BA23" s="3488"/>
      <c r="BB23" s="3488"/>
      <c r="BC23" s="3488"/>
      <c r="BD23" s="3488"/>
      <c r="BE23" s="3488"/>
      <c r="BF23" s="3187"/>
      <c r="BG23" s="3187"/>
      <c r="BH23" s="3857"/>
      <c r="BI23" s="3488"/>
      <c r="BJ23" s="2966"/>
      <c r="BK23" s="3854"/>
      <c r="BL23" s="3854"/>
      <c r="BM23" s="3854"/>
      <c r="BN23" s="3854"/>
      <c r="BO23" s="3855"/>
    </row>
    <row r="24" spans="1:68" ht="28.5" x14ac:dyDescent="0.25">
      <c r="A24" s="3800"/>
      <c r="B24" s="3800"/>
      <c r="C24" s="3803"/>
      <c r="D24" s="3804"/>
      <c r="E24" s="3848"/>
      <c r="F24" s="3849"/>
      <c r="G24" s="3487">
        <v>17</v>
      </c>
      <c r="H24" s="2977" t="s">
        <v>1464</v>
      </c>
      <c r="I24" s="3165" t="s">
        <v>1465</v>
      </c>
      <c r="J24" s="3154">
        <v>270</v>
      </c>
      <c r="K24" s="3850">
        <v>0</v>
      </c>
      <c r="L24" s="2977" t="s">
        <v>1466</v>
      </c>
      <c r="M24" s="3207"/>
      <c r="N24" s="2966"/>
      <c r="O24" s="3856">
        <f>SUM(T24:T25)/P22</f>
        <v>0.83729987011655937</v>
      </c>
      <c r="P24" s="3123"/>
      <c r="Q24" s="2966"/>
      <c r="R24" s="2966"/>
      <c r="S24" s="2977" t="s">
        <v>1467</v>
      </c>
      <c r="T24" s="1503">
        <v>550114361</v>
      </c>
      <c r="U24" s="81">
        <v>0</v>
      </c>
      <c r="V24" s="81">
        <v>0</v>
      </c>
      <c r="W24" s="2587">
        <v>20</v>
      </c>
      <c r="X24" s="2558" t="s">
        <v>1462</v>
      </c>
      <c r="Y24" s="3488"/>
      <c r="Z24" s="3488"/>
      <c r="AA24" s="3488"/>
      <c r="AB24" s="3488"/>
      <c r="AC24" s="3488"/>
      <c r="AD24" s="3488"/>
      <c r="AE24" s="3488"/>
      <c r="AF24" s="3488"/>
      <c r="AG24" s="3488"/>
      <c r="AH24" s="3488"/>
      <c r="AI24" s="3488"/>
      <c r="AJ24" s="3488"/>
      <c r="AK24" s="3488"/>
      <c r="AL24" s="3488"/>
      <c r="AM24" s="3488"/>
      <c r="AN24" s="3488"/>
      <c r="AO24" s="3488"/>
      <c r="AP24" s="3488"/>
      <c r="AQ24" s="3488"/>
      <c r="AR24" s="3488"/>
      <c r="AS24" s="3488"/>
      <c r="AT24" s="3488"/>
      <c r="AU24" s="3488"/>
      <c r="AV24" s="3488"/>
      <c r="AW24" s="3488"/>
      <c r="AX24" s="3488"/>
      <c r="AY24" s="3488"/>
      <c r="AZ24" s="3488"/>
      <c r="BA24" s="3488"/>
      <c r="BB24" s="3488"/>
      <c r="BC24" s="3488"/>
      <c r="BD24" s="3488"/>
      <c r="BE24" s="3488"/>
      <c r="BF24" s="3187"/>
      <c r="BG24" s="3187"/>
      <c r="BH24" s="3857"/>
      <c r="BI24" s="3488"/>
      <c r="BJ24" s="2966"/>
      <c r="BK24" s="3854"/>
      <c r="BL24" s="3854"/>
      <c r="BM24" s="3854"/>
      <c r="BN24" s="3854"/>
      <c r="BO24" s="3855"/>
    </row>
    <row r="25" spans="1:68" ht="42.75" x14ac:dyDescent="0.25">
      <c r="A25" s="3800"/>
      <c r="B25" s="3800"/>
      <c r="C25" s="3803"/>
      <c r="D25" s="3804"/>
      <c r="E25" s="3848"/>
      <c r="F25" s="3849"/>
      <c r="G25" s="3489"/>
      <c r="H25" s="2967"/>
      <c r="I25" s="3179"/>
      <c r="J25" s="3171"/>
      <c r="K25" s="3851"/>
      <c r="L25" s="2967"/>
      <c r="M25" s="3179"/>
      <c r="N25" s="2967"/>
      <c r="O25" s="3858"/>
      <c r="P25" s="3124"/>
      <c r="Q25" s="2967"/>
      <c r="R25" s="2967"/>
      <c r="S25" s="2967"/>
      <c r="T25" s="1503">
        <v>826000000</v>
      </c>
      <c r="U25" s="81">
        <v>0</v>
      </c>
      <c r="V25" s="81">
        <v>0</v>
      </c>
      <c r="W25" s="2587">
        <v>88</v>
      </c>
      <c r="X25" s="2558" t="s">
        <v>189</v>
      </c>
      <c r="Y25" s="3489"/>
      <c r="Z25" s="3489"/>
      <c r="AA25" s="3489"/>
      <c r="AB25" s="3489"/>
      <c r="AC25" s="3489"/>
      <c r="AD25" s="3489"/>
      <c r="AE25" s="3489"/>
      <c r="AF25" s="3489"/>
      <c r="AG25" s="3489"/>
      <c r="AH25" s="3489"/>
      <c r="AI25" s="3489"/>
      <c r="AJ25" s="3489"/>
      <c r="AK25" s="3489"/>
      <c r="AL25" s="3489"/>
      <c r="AM25" s="3489"/>
      <c r="AN25" s="3489"/>
      <c r="AO25" s="3489"/>
      <c r="AP25" s="3489"/>
      <c r="AQ25" s="3489"/>
      <c r="AR25" s="3489"/>
      <c r="AS25" s="3489"/>
      <c r="AT25" s="3489"/>
      <c r="AU25" s="3489"/>
      <c r="AV25" s="3489"/>
      <c r="AW25" s="3489"/>
      <c r="AX25" s="3489"/>
      <c r="AY25" s="3489"/>
      <c r="AZ25" s="3489"/>
      <c r="BA25" s="3489"/>
      <c r="BB25" s="3489"/>
      <c r="BC25" s="3489"/>
      <c r="BD25" s="3489"/>
      <c r="BE25" s="3489"/>
      <c r="BF25" s="3177"/>
      <c r="BG25" s="3177"/>
      <c r="BH25" s="3858"/>
      <c r="BI25" s="3489"/>
      <c r="BJ25" s="2967"/>
      <c r="BK25" s="3830"/>
      <c r="BL25" s="3830"/>
      <c r="BM25" s="3830"/>
      <c r="BN25" s="3830"/>
      <c r="BO25" s="3833"/>
      <c r="BP25" s="1268"/>
    </row>
    <row r="26" spans="1:68" ht="57" x14ac:dyDescent="0.25">
      <c r="A26" s="3800"/>
      <c r="B26" s="3800"/>
      <c r="C26" s="3803"/>
      <c r="D26" s="3804"/>
      <c r="E26" s="3848"/>
      <c r="F26" s="3849"/>
      <c r="G26" s="2561">
        <v>15</v>
      </c>
      <c r="H26" s="2575" t="s">
        <v>1468</v>
      </c>
      <c r="I26" s="2575" t="s">
        <v>1469</v>
      </c>
      <c r="J26" s="2557">
        <v>2</v>
      </c>
      <c r="K26" s="1382">
        <v>0</v>
      </c>
      <c r="L26" s="3165" t="s">
        <v>1470</v>
      </c>
      <c r="M26" s="3165" t="s">
        <v>1471</v>
      </c>
      <c r="N26" s="3859" t="s">
        <v>1472</v>
      </c>
      <c r="O26" s="2574">
        <f>T26/P26</f>
        <v>0.28450497361810312</v>
      </c>
      <c r="P26" s="3413">
        <f>SUM(T26:T30)</f>
        <v>63061235</v>
      </c>
      <c r="Q26" s="3810" t="s">
        <v>1473</v>
      </c>
      <c r="R26" s="3810" t="s">
        <v>1474</v>
      </c>
      <c r="S26" s="1412" t="s">
        <v>1475</v>
      </c>
      <c r="T26" s="1505">
        <v>17941235</v>
      </c>
      <c r="U26" s="81">
        <v>0</v>
      </c>
      <c r="V26" s="81">
        <v>0</v>
      </c>
      <c r="W26" s="2587">
        <v>20</v>
      </c>
      <c r="X26" s="2558" t="s">
        <v>1462</v>
      </c>
      <c r="Y26" s="3487">
        <v>40906</v>
      </c>
      <c r="Z26" s="3487"/>
      <c r="AA26" s="3487">
        <v>37728</v>
      </c>
      <c r="AB26" s="3487"/>
      <c r="AC26" s="3487">
        <v>16790</v>
      </c>
      <c r="AD26" s="3487"/>
      <c r="AE26" s="3487">
        <v>8871</v>
      </c>
      <c r="AF26" s="3487"/>
      <c r="AG26" s="3487">
        <v>46240</v>
      </c>
      <c r="AH26" s="3487"/>
      <c r="AI26" s="3487">
        <v>10814</v>
      </c>
      <c r="AJ26" s="3487"/>
      <c r="AK26" s="3487"/>
      <c r="AL26" s="3487"/>
      <c r="AM26" s="3487"/>
      <c r="AN26" s="3487"/>
      <c r="AO26" s="3487"/>
      <c r="AP26" s="3487"/>
      <c r="AQ26" s="3487"/>
      <c r="AR26" s="3487"/>
      <c r="AS26" s="3487"/>
      <c r="AT26" s="3487"/>
      <c r="AU26" s="3487"/>
      <c r="AV26" s="3487"/>
      <c r="AW26" s="3487"/>
      <c r="AX26" s="3487"/>
      <c r="AY26" s="3487"/>
      <c r="AZ26" s="3487"/>
      <c r="BA26" s="3487"/>
      <c r="BB26" s="3487"/>
      <c r="BC26" s="3487">
        <f>Y26+AA26</f>
        <v>78634</v>
      </c>
      <c r="BD26" s="3487"/>
      <c r="BE26" s="3487">
        <v>2</v>
      </c>
      <c r="BF26" s="3167">
        <v>27791080</v>
      </c>
      <c r="BG26" s="3167">
        <v>17808000</v>
      </c>
      <c r="BH26" s="3856">
        <f>BG26/BF26</f>
        <v>0.64078114272637121</v>
      </c>
      <c r="BI26" s="3487" t="s">
        <v>1425</v>
      </c>
      <c r="BJ26" s="2977" t="s">
        <v>1426</v>
      </c>
      <c r="BK26" s="3832">
        <v>43466</v>
      </c>
      <c r="BL26" s="3832">
        <v>43515</v>
      </c>
      <c r="BM26" s="3832" t="s">
        <v>1476</v>
      </c>
      <c r="BN26" s="3832">
        <v>43666</v>
      </c>
      <c r="BO26" s="3835" t="s">
        <v>1427</v>
      </c>
    </row>
    <row r="27" spans="1:68" ht="71.25" x14ac:dyDescent="0.25">
      <c r="A27" s="3800"/>
      <c r="B27" s="3800"/>
      <c r="C27" s="3803"/>
      <c r="D27" s="3804"/>
      <c r="E27" s="3848"/>
      <c r="F27" s="3849"/>
      <c r="G27" s="2561">
        <v>16</v>
      </c>
      <c r="H27" s="2575" t="s">
        <v>1477</v>
      </c>
      <c r="I27" s="2575" t="s">
        <v>1478</v>
      </c>
      <c r="J27" s="2578">
        <v>5</v>
      </c>
      <c r="K27" s="1380">
        <v>2</v>
      </c>
      <c r="L27" s="3207"/>
      <c r="M27" s="3207"/>
      <c r="N27" s="3860"/>
      <c r="O27" s="2574">
        <f>T27/P26</f>
        <v>0.15064722408306783</v>
      </c>
      <c r="P27" s="3414"/>
      <c r="Q27" s="3823"/>
      <c r="R27" s="3823"/>
      <c r="S27" s="2575" t="s">
        <v>1479</v>
      </c>
      <c r="T27" s="1505">
        <v>9500000</v>
      </c>
      <c r="U27" s="1505">
        <v>5801000</v>
      </c>
      <c r="V27" s="1505">
        <v>5040300</v>
      </c>
      <c r="W27" s="2587">
        <v>20</v>
      </c>
      <c r="X27" s="2558" t="s">
        <v>1462</v>
      </c>
      <c r="Y27" s="3488"/>
      <c r="Z27" s="3488"/>
      <c r="AA27" s="3488"/>
      <c r="AB27" s="3488"/>
      <c r="AC27" s="3488"/>
      <c r="AD27" s="3488"/>
      <c r="AE27" s="3488"/>
      <c r="AF27" s="3488"/>
      <c r="AG27" s="3488"/>
      <c r="AH27" s="3488"/>
      <c r="AI27" s="3488"/>
      <c r="AJ27" s="3488"/>
      <c r="AK27" s="3488"/>
      <c r="AL27" s="3488"/>
      <c r="AM27" s="3488"/>
      <c r="AN27" s="3488"/>
      <c r="AO27" s="3488"/>
      <c r="AP27" s="3488"/>
      <c r="AQ27" s="3488"/>
      <c r="AR27" s="3488"/>
      <c r="AS27" s="3488"/>
      <c r="AT27" s="3488"/>
      <c r="AU27" s="3488"/>
      <c r="AV27" s="3488"/>
      <c r="AW27" s="3488"/>
      <c r="AX27" s="3488"/>
      <c r="AY27" s="3488"/>
      <c r="AZ27" s="3488"/>
      <c r="BA27" s="3488"/>
      <c r="BB27" s="3488"/>
      <c r="BC27" s="3488"/>
      <c r="BD27" s="3488"/>
      <c r="BE27" s="3488"/>
      <c r="BF27" s="3187"/>
      <c r="BG27" s="3187"/>
      <c r="BH27" s="3857"/>
      <c r="BI27" s="3488"/>
      <c r="BJ27" s="2966"/>
      <c r="BK27" s="3854"/>
      <c r="BL27" s="3854"/>
      <c r="BM27" s="3854"/>
      <c r="BN27" s="3854"/>
      <c r="BO27" s="3855"/>
    </row>
    <row r="28" spans="1:68" ht="42.75" x14ac:dyDescent="0.25">
      <c r="A28" s="3800"/>
      <c r="B28" s="3800"/>
      <c r="C28" s="3803"/>
      <c r="D28" s="3804"/>
      <c r="E28" s="3848"/>
      <c r="F28" s="3849"/>
      <c r="G28" s="2561">
        <v>18</v>
      </c>
      <c r="H28" s="2575" t="s">
        <v>1480</v>
      </c>
      <c r="I28" s="2575" t="s">
        <v>1481</v>
      </c>
      <c r="J28" s="2578">
        <v>10</v>
      </c>
      <c r="K28" s="1380">
        <v>0</v>
      </c>
      <c r="L28" s="3207"/>
      <c r="M28" s="3207"/>
      <c r="N28" s="3860"/>
      <c r="O28" s="2574">
        <f>T28/P26</f>
        <v>0.21598054652751408</v>
      </c>
      <c r="P28" s="3414"/>
      <c r="Q28" s="3823"/>
      <c r="R28" s="3823"/>
      <c r="S28" s="2575" t="s">
        <v>1482</v>
      </c>
      <c r="T28" s="1505">
        <v>13620000</v>
      </c>
      <c r="U28" s="1505">
        <v>0</v>
      </c>
      <c r="V28" s="1505">
        <v>0</v>
      </c>
      <c r="W28" s="2587">
        <v>20</v>
      </c>
      <c r="X28" s="2558" t="s">
        <v>1462</v>
      </c>
      <c r="Y28" s="3488"/>
      <c r="Z28" s="3488"/>
      <c r="AA28" s="3488"/>
      <c r="AB28" s="3488"/>
      <c r="AC28" s="3488"/>
      <c r="AD28" s="3488"/>
      <c r="AE28" s="3488"/>
      <c r="AF28" s="3488"/>
      <c r="AG28" s="3488"/>
      <c r="AH28" s="3488"/>
      <c r="AI28" s="3488"/>
      <c r="AJ28" s="3488"/>
      <c r="AK28" s="3488"/>
      <c r="AL28" s="3488"/>
      <c r="AM28" s="3488"/>
      <c r="AN28" s="3488"/>
      <c r="AO28" s="3488"/>
      <c r="AP28" s="3488"/>
      <c r="AQ28" s="3488"/>
      <c r="AR28" s="3488"/>
      <c r="AS28" s="3488"/>
      <c r="AT28" s="3488"/>
      <c r="AU28" s="3488"/>
      <c r="AV28" s="3488"/>
      <c r="AW28" s="3488"/>
      <c r="AX28" s="3488"/>
      <c r="AY28" s="3488"/>
      <c r="AZ28" s="3488"/>
      <c r="BA28" s="3488"/>
      <c r="BB28" s="3488"/>
      <c r="BC28" s="3488"/>
      <c r="BD28" s="3488"/>
      <c r="BE28" s="3488"/>
      <c r="BF28" s="3187"/>
      <c r="BG28" s="3187"/>
      <c r="BH28" s="3857"/>
      <c r="BI28" s="3488"/>
      <c r="BJ28" s="2966"/>
      <c r="BK28" s="3854"/>
      <c r="BL28" s="3854"/>
      <c r="BM28" s="3854"/>
      <c r="BN28" s="3854"/>
      <c r="BO28" s="3855"/>
    </row>
    <row r="29" spans="1:68" ht="71.25" x14ac:dyDescent="0.25">
      <c r="A29" s="3800"/>
      <c r="B29" s="3800"/>
      <c r="C29" s="3803"/>
      <c r="D29" s="3804"/>
      <c r="E29" s="3848"/>
      <c r="F29" s="3849"/>
      <c r="G29" s="2561">
        <v>19</v>
      </c>
      <c r="H29" s="2575" t="s">
        <v>1483</v>
      </c>
      <c r="I29" s="2575" t="s">
        <v>1484</v>
      </c>
      <c r="J29" s="2578">
        <v>8</v>
      </c>
      <c r="K29" s="1380">
        <v>8</v>
      </c>
      <c r="L29" s="3207"/>
      <c r="M29" s="3207"/>
      <c r="N29" s="3860"/>
      <c r="O29" s="2574">
        <f>T29/P26</f>
        <v>0.1744336278856575</v>
      </c>
      <c r="P29" s="3414"/>
      <c r="Q29" s="3823"/>
      <c r="R29" s="3823"/>
      <c r="S29" s="2568" t="s">
        <v>1485</v>
      </c>
      <c r="T29" s="1505">
        <v>11000000</v>
      </c>
      <c r="U29" s="1505">
        <v>10990080</v>
      </c>
      <c r="V29" s="1505">
        <v>7727400</v>
      </c>
      <c r="W29" s="2587">
        <v>20</v>
      </c>
      <c r="X29" s="2558" t="s">
        <v>1462</v>
      </c>
      <c r="Y29" s="3488"/>
      <c r="Z29" s="3488"/>
      <c r="AA29" s="3488"/>
      <c r="AB29" s="3488"/>
      <c r="AC29" s="3488"/>
      <c r="AD29" s="3488"/>
      <c r="AE29" s="3488"/>
      <c r="AF29" s="3488"/>
      <c r="AG29" s="3488"/>
      <c r="AH29" s="3488"/>
      <c r="AI29" s="3488"/>
      <c r="AJ29" s="3488"/>
      <c r="AK29" s="3488"/>
      <c r="AL29" s="3488"/>
      <c r="AM29" s="3488"/>
      <c r="AN29" s="3488"/>
      <c r="AO29" s="3488"/>
      <c r="AP29" s="3488"/>
      <c r="AQ29" s="3488"/>
      <c r="AR29" s="3488"/>
      <c r="AS29" s="3488"/>
      <c r="AT29" s="3488"/>
      <c r="AU29" s="3488"/>
      <c r="AV29" s="3488"/>
      <c r="AW29" s="3488"/>
      <c r="AX29" s="3488"/>
      <c r="AY29" s="3488"/>
      <c r="AZ29" s="3488"/>
      <c r="BA29" s="3488"/>
      <c r="BB29" s="3488"/>
      <c r="BC29" s="3488"/>
      <c r="BD29" s="3488"/>
      <c r="BE29" s="3488"/>
      <c r="BF29" s="3187"/>
      <c r="BG29" s="3187"/>
      <c r="BH29" s="3857"/>
      <c r="BI29" s="3488"/>
      <c r="BJ29" s="2966"/>
      <c r="BK29" s="3854"/>
      <c r="BL29" s="3854"/>
      <c r="BM29" s="3854"/>
      <c r="BN29" s="3854"/>
      <c r="BO29" s="3855"/>
    </row>
    <row r="30" spans="1:68" ht="75" x14ac:dyDescent="0.25">
      <c r="A30" s="3800"/>
      <c r="B30" s="3800"/>
      <c r="C30" s="3803"/>
      <c r="D30" s="3804"/>
      <c r="E30" s="3848"/>
      <c r="F30" s="3849"/>
      <c r="G30" s="2564">
        <v>20</v>
      </c>
      <c r="H30" s="1413" t="s">
        <v>1486</v>
      </c>
      <c r="I30" s="2566" t="s">
        <v>1487</v>
      </c>
      <c r="J30" s="2578">
        <v>60</v>
      </c>
      <c r="K30" s="1380">
        <v>60</v>
      </c>
      <c r="L30" s="3207"/>
      <c r="M30" s="3207"/>
      <c r="N30" s="3861"/>
      <c r="O30" s="2573">
        <f>T30/P26</f>
        <v>0.1744336278856575</v>
      </c>
      <c r="P30" s="3414"/>
      <c r="Q30" s="3823"/>
      <c r="R30" s="3823"/>
      <c r="S30" s="2566" t="s">
        <v>1488</v>
      </c>
      <c r="T30" s="1506">
        <v>11000000</v>
      </c>
      <c r="U30" s="1506">
        <v>11000000</v>
      </c>
      <c r="V30" s="1506">
        <v>5040300</v>
      </c>
      <c r="W30" s="2572">
        <v>20</v>
      </c>
      <c r="X30" s="2553" t="s">
        <v>1462</v>
      </c>
      <c r="Y30" s="3488"/>
      <c r="Z30" s="3488"/>
      <c r="AA30" s="3488"/>
      <c r="AB30" s="3488"/>
      <c r="AC30" s="3488"/>
      <c r="AD30" s="3488"/>
      <c r="AE30" s="3488"/>
      <c r="AF30" s="3488"/>
      <c r="AG30" s="3488"/>
      <c r="AH30" s="3488"/>
      <c r="AI30" s="3488"/>
      <c r="AJ30" s="3488"/>
      <c r="AK30" s="3488"/>
      <c r="AL30" s="3488"/>
      <c r="AM30" s="3488"/>
      <c r="AN30" s="3488"/>
      <c r="AO30" s="3488"/>
      <c r="AP30" s="3488"/>
      <c r="AQ30" s="3488"/>
      <c r="AR30" s="3488"/>
      <c r="AS30" s="3488"/>
      <c r="AT30" s="3488"/>
      <c r="AU30" s="3488"/>
      <c r="AV30" s="3488"/>
      <c r="AW30" s="3488"/>
      <c r="AX30" s="3488"/>
      <c r="AY30" s="3488"/>
      <c r="AZ30" s="3488"/>
      <c r="BA30" s="3488"/>
      <c r="BB30" s="3488"/>
      <c r="BC30" s="3488"/>
      <c r="BD30" s="3488"/>
      <c r="BE30" s="3489"/>
      <c r="BF30" s="3187"/>
      <c r="BG30" s="3187"/>
      <c r="BH30" s="3857"/>
      <c r="BI30" s="3488"/>
      <c r="BJ30" s="2966"/>
      <c r="BK30" s="3854"/>
      <c r="BL30" s="3854"/>
      <c r="BM30" s="3830"/>
      <c r="BN30" s="3830"/>
      <c r="BO30" s="3855"/>
    </row>
    <row r="31" spans="1:68" ht="15" x14ac:dyDescent="0.25">
      <c r="A31" s="1414">
        <v>2</v>
      </c>
      <c r="B31" s="671" t="s">
        <v>1489</v>
      </c>
      <c r="C31" s="1415"/>
      <c r="D31" s="1415"/>
      <c r="E31" s="1415"/>
      <c r="F31" s="1415"/>
      <c r="G31" s="1416"/>
      <c r="H31" s="1417"/>
      <c r="I31" s="1418"/>
      <c r="J31" s="1418"/>
      <c r="K31" s="1418"/>
      <c r="L31" s="1418"/>
      <c r="M31" s="1419"/>
      <c r="N31" s="1417"/>
      <c r="O31" s="1420"/>
      <c r="P31" s="1492"/>
      <c r="Q31" s="1417"/>
      <c r="R31" s="1417"/>
      <c r="S31" s="1417"/>
      <c r="T31" s="1507"/>
      <c r="U31" s="1507"/>
      <c r="V31" s="1507"/>
      <c r="W31" s="1421"/>
      <c r="X31" s="1419"/>
      <c r="Y31" s="1418"/>
      <c r="Z31" s="1418"/>
      <c r="AA31" s="1418"/>
      <c r="AB31" s="1418"/>
      <c r="AC31" s="1418"/>
      <c r="AD31" s="1418"/>
      <c r="AE31" s="1418"/>
      <c r="AF31" s="1418"/>
      <c r="AG31" s="1418"/>
      <c r="AH31" s="1418"/>
      <c r="AI31" s="1418"/>
      <c r="AJ31" s="1418"/>
      <c r="AK31" s="1418"/>
      <c r="AL31" s="1418"/>
      <c r="AM31" s="1418"/>
      <c r="AN31" s="1418"/>
      <c r="AO31" s="1418"/>
      <c r="AP31" s="1418"/>
      <c r="AQ31" s="1418"/>
      <c r="AR31" s="1418"/>
      <c r="AS31" s="1418"/>
      <c r="AT31" s="1418"/>
      <c r="AU31" s="1418"/>
      <c r="AV31" s="1418"/>
      <c r="AW31" s="1418"/>
      <c r="AX31" s="1418"/>
      <c r="AY31" s="1418"/>
      <c r="AZ31" s="1418"/>
      <c r="BA31" s="1418"/>
      <c r="BB31" s="1418"/>
      <c r="BC31" s="1418"/>
      <c r="BD31" s="1418"/>
      <c r="BE31" s="1422"/>
      <c r="BF31" s="1515"/>
      <c r="BG31" s="1516"/>
      <c r="BH31" s="1423"/>
      <c r="BI31" s="1423"/>
      <c r="BJ31" s="1423"/>
      <c r="BK31" s="1423"/>
      <c r="BL31" s="1423"/>
      <c r="BM31" s="1423"/>
      <c r="BN31" s="1423"/>
      <c r="BO31" s="1423"/>
    </row>
    <row r="32" spans="1:68" ht="15" x14ac:dyDescent="0.25">
      <c r="A32" s="3862"/>
      <c r="B32" s="3863"/>
      <c r="C32" s="1424">
        <v>2</v>
      </c>
      <c r="D32" s="1354" t="s">
        <v>1490</v>
      </c>
      <c r="E32" s="1354"/>
      <c r="F32" s="1354"/>
      <c r="G32" s="1425"/>
      <c r="H32" s="1426"/>
      <c r="I32" s="1427"/>
      <c r="J32" s="1427"/>
      <c r="K32" s="1427"/>
      <c r="L32" s="1427"/>
      <c r="M32" s="1428"/>
      <c r="N32" s="1426"/>
      <c r="O32" s="1429"/>
      <c r="P32" s="1493"/>
      <c r="Q32" s="1426"/>
      <c r="R32" s="1426"/>
      <c r="S32" s="1426"/>
      <c r="T32" s="1508"/>
      <c r="U32" s="1508"/>
      <c r="V32" s="1508"/>
      <c r="W32" s="1430"/>
      <c r="X32" s="1428"/>
      <c r="Y32" s="1427"/>
      <c r="Z32" s="1427"/>
      <c r="AA32" s="1427"/>
      <c r="AB32" s="1427"/>
      <c r="AC32" s="1427"/>
      <c r="AD32" s="1427"/>
      <c r="AE32" s="1427"/>
      <c r="AF32" s="1427"/>
      <c r="AG32" s="1427"/>
      <c r="AH32" s="1427"/>
      <c r="AI32" s="1427"/>
      <c r="AJ32" s="1427"/>
      <c r="AK32" s="1427"/>
      <c r="AL32" s="1427"/>
      <c r="AM32" s="1427"/>
      <c r="AN32" s="1427"/>
      <c r="AO32" s="1427"/>
      <c r="AP32" s="1427"/>
      <c r="AQ32" s="1427"/>
      <c r="AR32" s="1427"/>
      <c r="AS32" s="1427"/>
      <c r="AT32" s="1427"/>
      <c r="AU32" s="1427"/>
      <c r="AV32" s="1427"/>
      <c r="AW32" s="1427"/>
      <c r="AX32" s="1427"/>
      <c r="AY32" s="1427"/>
      <c r="AZ32" s="1427"/>
      <c r="BA32" s="1427"/>
      <c r="BB32" s="1427"/>
      <c r="BC32" s="1427"/>
      <c r="BD32" s="1427"/>
      <c r="BE32" s="1431"/>
      <c r="BF32" s="1517"/>
      <c r="BG32" s="1518"/>
      <c r="BH32" s="1432"/>
      <c r="BI32" s="1432"/>
      <c r="BJ32" s="1432"/>
      <c r="BK32" s="1432"/>
      <c r="BL32" s="1432"/>
      <c r="BM32" s="1432"/>
      <c r="BN32" s="1432"/>
      <c r="BO32" s="1432"/>
    </row>
    <row r="33" spans="1:69" ht="15" x14ac:dyDescent="0.25">
      <c r="A33" s="3864"/>
      <c r="B33" s="3865"/>
      <c r="C33" s="3868"/>
      <c r="D33" s="3868"/>
      <c r="E33" s="1401">
        <v>4</v>
      </c>
      <c r="F33" s="1402" t="s">
        <v>1491</v>
      </c>
      <c r="G33" s="1402"/>
      <c r="H33" s="1433"/>
      <c r="I33" s="1366"/>
      <c r="J33" s="1366"/>
      <c r="K33" s="1366"/>
      <c r="L33" s="1366"/>
      <c r="M33" s="1366"/>
      <c r="N33" s="1434"/>
      <c r="O33" s="1435"/>
      <c r="P33" s="1494"/>
      <c r="Q33" s="1434"/>
      <c r="R33" s="1434"/>
      <c r="S33" s="1434"/>
      <c r="T33" s="1509"/>
      <c r="U33" s="1509"/>
      <c r="V33" s="1509"/>
      <c r="W33" s="1436"/>
      <c r="X33" s="1437"/>
      <c r="Y33" s="1438"/>
      <c r="Z33" s="1438"/>
      <c r="AA33" s="1438"/>
      <c r="AB33" s="1438"/>
      <c r="AC33" s="1438"/>
      <c r="AD33" s="1438"/>
      <c r="AE33" s="1438"/>
      <c r="AF33" s="1438"/>
      <c r="AG33" s="1438"/>
      <c r="AH33" s="1438"/>
      <c r="AI33" s="1438"/>
      <c r="AJ33" s="1438"/>
      <c r="AK33" s="1438"/>
      <c r="AL33" s="1438"/>
      <c r="AM33" s="1438"/>
      <c r="AN33" s="1438"/>
      <c r="AO33" s="1438"/>
      <c r="AP33" s="1438"/>
      <c r="AQ33" s="1438"/>
      <c r="AR33" s="1438"/>
      <c r="AS33" s="1438"/>
      <c r="AT33" s="1438"/>
      <c r="AU33" s="1438"/>
      <c r="AV33" s="1438"/>
      <c r="AW33" s="1438"/>
      <c r="AX33" s="1438"/>
      <c r="AY33" s="1438"/>
      <c r="AZ33" s="1438"/>
      <c r="BA33" s="1438"/>
      <c r="BB33" s="1438"/>
      <c r="BC33" s="1438"/>
      <c r="BD33" s="1438"/>
      <c r="BE33" s="1439"/>
      <c r="BF33" s="1519"/>
      <c r="BG33" s="1514"/>
      <c r="BH33" s="1397"/>
      <c r="BI33" s="1397"/>
      <c r="BJ33" s="1397"/>
      <c r="BK33" s="1397"/>
      <c r="BL33" s="1397"/>
      <c r="BM33" s="1397"/>
      <c r="BN33" s="1397"/>
      <c r="BO33" s="1397"/>
    </row>
    <row r="34" spans="1:69" ht="57" x14ac:dyDescent="0.25">
      <c r="A34" s="3864"/>
      <c r="B34" s="3865"/>
      <c r="C34" s="3868"/>
      <c r="D34" s="3868"/>
      <c r="E34" s="3115"/>
      <c r="F34" s="3115"/>
      <c r="G34" s="3489">
        <v>21</v>
      </c>
      <c r="H34" s="3836" t="s">
        <v>1492</v>
      </c>
      <c r="I34" s="2807" t="s">
        <v>1493</v>
      </c>
      <c r="J34" s="3154">
        <v>100</v>
      </c>
      <c r="K34" s="3154">
        <v>40</v>
      </c>
      <c r="L34" s="3115" t="s">
        <v>1494</v>
      </c>
      <c r="M34" s="3115" t="s">
        <v>1495</v>
      </c>
      <c r="N34" s="3869" t="s">
        <v>1496</v>
      </c>
      <c r="O34" s="3845">
        <f>+(T34+T35)/P34</f>
        <v>0.19129239751796687</v>
      </c>
      <c r="P34" s="3872">
        <v>364259118</v>
      </c>
      <c r="Q34" s="2834" t="s">
        <v>1497</v>
      </c>
      <c r="R34" s="2834" t="s">
        <v>1498</v>
      </c>
      <c r="S34" s="2549" t="s">
        <v>1499</v>
      </c>
      <c r="T34" s="1503">
        <v>54000000</v>
      </c>
      <c r="U34" s="1503">
        <v>36672000</v>
      </c>
      <c r="V34" s="1503">
        <v>21500000</v>
      </c>
      <c r="W34" s="2548">
        <v>20</v>
      </c>
      <c r="X34" s="2560" t="s">
        <v>1462</v>
      </c>
      <c r="Y34" s="3482">
        <v>40</v>
      </c>
      <c r="Z34" s="3484">
        <v>59</v>
      </c>
      <c r="AA34" s="3482">
        <v>60</v>
      </c>
      <c r="AB34" s="3484">
        <v>36</v>
      </c>
      <c r="AC34" s="3484">
        <v>10</v>
      </c>
      <c r="AD34" s="3484"/>
      <c r="AE34" s="3484">
        <v>20</v>
      </c>
      <c r="AF34" s="3484">
        <v>10</v>
      </c>
      <c r="AG34" s="3484">
        <v>30</v>
      </c>
      <c r="AH34" s="3484">
        <v>62</v>
      </c>
      <c r="AI34" s="3484">
        <v>40</v>
      </c>
      <c r="AJ34" s="3484">
        <v>23</v>
      </c>
      <c r="AK34" s="3484">
        <v>5</v>
      </c>
      <c r="AL34" s="3484"/>
      <c r="AM34" s="3484"/>
      <c r="AN34" s="3484"/>
      <c r="AO34" s="3484"/>
      <c r="AP34" s="3484"/>
      <c r="AQ34" s="3484"/>
      <c r="AR34" s="3484"/>
      <c r="AS34" s="3484"/>
      <c r="AT34" s="3484"/>
      <c r="AU34" s="3484"/>
      <c r="AV34" s="3484"/>
      <c r="AW34" s="3484">
        <v>5</v>
      </c>
      <c r="AX34" s="3484"/>
      <c r="AY34" s="3484"/>
      <c r="AZ34" s="3484"/>
      <c r="BA34" s="3487"/>
      <c r="BB34" s="3487"/>
      <c r="BC34" s="3487">
        <f>Y34+AA34</f>
        <v>100</v>
      </c>
      <c r="BD34" s="3115">
        <f>Z34+AB34</f>
        <v>95</v>
      </c>
      <c r="BE34" s="3487">
        <v>16</v>
      </c>
      <c r="BF34" s="3339">
        <v>264152000</v>
      </c>
      <c r="BG34" s="3339">
        <v>70140000</v>
      </c>
      <c r="BH34" s="3856">
        <f>BG34/BF34</f>
        <v>0.26552893788424847</v>
      </c>
      <c r="BI34" s="3487" t="s">
        <v>1425</v>
      </c>
      <c r="BJ34" s="2977" t="s">
        <v>1500</v>
      </c>
      <c r="BK34" s="3852">
        <v>43466</v>
      </c>
      <c r="BL34" s="3852">
        <v>43482</v>
      </c>
      <c r="BM34" s="3852">
        <v>43829</v>
      </c>
      <c r="BN34" s="3852">
        <v>43809</v>
      </c>
      <c r="BO34" s="2977" t="s">
        <v>1501</v>
      </c>
    </row>
    <row r="35" spans="1:69" ht="28.5" x14ac:dyDescent="0.25">
      <c r="A35" s="3864"/>
      <c r="B35" s="3865"/>
      <c r="C35" s="3868"/>
      <c r="D35" s="3868"/>
      <c r="E35" s="3115"/>
      <c r="F35" s="3115"/>
      <c r="G35" s="3115"/>
      <c r="H35" s="3836"/>
      <c r="I35" s="2807"/>
      <c r="J35" s="3171"/>
      <c r="K35" s="3171"/>
      <c r="L35" s="3115"/>
      <c r="M35" s="3115"/>
      <c r="N35" s="3870"/>
      <c r="O35" s="3845"/>
      <c r="P35" s="3872"/>
      <c r="Q35" s="2923"/>
      <c r="R35" s="2923"/>
      <c r="S35" s="2575" t="s">
        <v>1502</v>
      </c>
      <c r="T35" s="1503">
        <v>15680000</v>
      </c>
      <c r="U35" s="1503">
        <v>7000000</v>
      </c>
      <c r="V35" s="1503">
        <v>0</v>
      </c>
      <c r="W35" s="2587">
        <v>20</v>
      </c>
      <c r="X35" s="2558" t="s">
        <v>1462</v>
      </c>
      <c r="Y35" s="3482"/>
      <c r="Z35" s="3485"/>
      <c r="AA35" s="3482"/>
      <c r="AB35" s="3485"/>
      <c r="AC35" s="3485"/>
      <c r="AD35" s="3485"/>
      <c r="AE35" s="3485"/>
      <c r="AF35" s="3485"/>
      <c r="AG35" s="3485"/>
      <c r="AH35" s="3485"/>
      <c r="AI35" s="3485"/>
      <c r="AJ35" s="3485"/>
      <c r="AK35" s="3485"/>
      <c r="AL35" s="3485"/>
      <c r="AM35" s="3485"/>
      <c r="AN35" s="3485"/>
      <c r="AO35" s="3485"/>
      <c r="AP35" s="3485"/>
      <c r="AQ35" s="3485"/>
      <c r="AR35" s="3485"/>
      <c r="AS35" s="3485"/>
      <c r="AT35" s="3485"/>
      <c r="AU35" s="3485"/>
      <c r="AV35" s="3485"/>
      <c r="AW35" s="3485"/>
      <c r="AX35" s="3485"/>
      <c r="AY35" s="3485"/>
      <c r="AZ35" s="3485"/>
      <c r="BA35" s="3488"/>
      <c r="BB35" s="3488"/>
      <c r="BC35" s="3488"/>
      <c r="BD35" s="3115"/>
      <c r="BE35" s="3488"/>
      <c r="BF35" s="3123"/>
      <c r="BG35" s="3123"/>
      <c r="BH35" s="3857"/>
      <c r="BI35" s="3488"/>
      <c r="BJ35" s="2966"/>
      <c r="BK35" s="3874"/>
      <c r="BL35" s="3874"/>
      <c r="BM35" s="3874"/>
      <c r="BN35" s="3874"/>
      <c r="BO35" s="2966"/>
    </row>
    <row r="36" spans="1:69" ht="85.5" x14ac:dyDescent="0.25">
      <c r="A36" s="3864"/>
      <c r="B36" s="3865"/>
      <c r="C36" s="3868"/>
      <c r="D36" s="3868"/>
      <c r="E36" s="3115"/>
      <c r="F36" s="3115"/>
      <c r="G36" s="3115">
        <v>22</v>
      </c>
      <c r="H36" s="3836" t="s">
        <v>1503</v>
      </c>
      <c r="I36" s="2807" t="s">
        <v>1504</v>
      </c>
      <c r="J36" s="3154">
        <v>3</v>
      </c>
      <c r="K36" s="3850">
        <v>1.3</v>
      </c>
      <c r="L36" s="3115"/>
      <c r="M36" s="3115"/>
      <c r="N36" s="3870"/>
      <c r="O36" s="3873">
        <f>+(T36+T37)/P34</f>
        <v>0.12161672230261096</v>
      </c>
      <c r="P36" s="3872"/>
      <c r="Q36" s="2923"/>
      <c r="R36" s="2923"/>
      <c r="S36" s="2575" t="s">
        <v>1505</v>
      </c>
      <c r="T36" s="1503">
        <v>30000000</v>
      </c>
      <c r="U36" s="1503">
        <v>10500000</v>
      </c>
      <c r="V36" s="1503">
        <v>8500000</v>
      </c>
      <c r="W36" s="2587">
        <v>20</v>
      </c>
      <c r="X36" s="2558" t="s">
        <v>1462</v>
      </c>
      <c r="Y36" s="3482"/>
      <c r="Z36" s="3485"/>
      <c r="AA36" s="3482"/>
      <c r="AB36" s="3485"/>
      <c r="AC36" s="3485"/>
      <c r="AD36" s="3485"/>
      <c r="AE36" s="3485"/>
      <c r="AF36" s="3485"/>
      <c r="AG36" s="3485"/>
      <c r="AH36" s="3485"/>
      <c r="AI36" s="3485"/>
      <c r="AJ36" s="3485"/>
      <c r="AK36" s="3485"/>
      <c r="AL36" s="3485"/>
      <c r="AM36" s="3485"/>
      <c r="AN36" s="3485"/>
      <c r="AO36" s="3485"/>
      <c r="AP36" s="3485"/>
      <c r="AQ36" s="3485"/>
      <c r="AR36" s="3485"/>
      <c r="AS36" s="3485"/>
      <c r="AT36" s="3485"/>
      <c r="AU36" s="3485"/>
      <c r="AV36" s="3485"/>
      <c r="AW36" s="3485"/>
      <c r="AX36" s="3485"/>
      <c r="AY36" s="3485"/>
      <c r="AZ36" s="3485"/>
      <c r="BA36" s="3488"/>
      <c r="BB36" s="3488"/>
      <c r="BC36" s="3488"/>
      <c r="BD36" s="3115"/>
      <c r="BE36" s="3488"/>
      <c r="BF36" s="3123"/>
      <c r="BG36" s="3123"/>
      <c r="BH36" s="3857"/>
      <c r="BI36" s="3488"/>
      <c r="BJ36" s="2966"/>
      <c r="BK36" s="3874"/>
      <c r="BL36" s="3874"/>
      <c r="BM36" s="3874"/>
      <c r="BN36" s="3874"/>
      <c r="BO36" s="2966"/>
    </row>
    <row r="37" spans="1:69" ht="71.25" x14ac:dyDescent="0.25">
      <c r="A37" s="3864"/>
      <c r="B37" s="3865"/>
      <c r="C37" s="3868"/>
      <c r="D37" s="3868"/>
      <c r="E37" s="3115"/>
      <c r="F37" s="3115"/>
      <c r="G37" s="3115"/>
      <c r="H37" s="3836"/>
      <c r="I37" s="2807"/>
      <c r="J37" s="3171"/>
      <c r="K37" s="3851"/>
      <c r="L37" s="3115"/>
      <c r="M37" s="3115"/>
      <c r="N37" s="3870"/>
      <c r="O37" s="3873"/>
      <c r="P37" s="3872"/>
      <c r="Q37" s="2923"/>
      <c r="R37" s="2835"/>
      <c r="S37" s="2575" t="s">
        <v>1506</v>
      </c>
      <c r="T37" s="1503">
        <v>14300000</v>
      </c>
      <c r="U37" s="1503">
        <v>8000000</v>
      </c>
      <c r="V37" s="1503">
        <v>4000000</v>
      </c>
      <c r="W37" s="2587">
        <v>20</v>
      </c>
      <c r="X37" s="2558" t="s">
        <v>1462</v>
      </c>
      <c r="Y37" s="3482"/>
      <c r="Z37" s="3485"/>
      <c r="AA37" s="3482"/>
      <c r="AB37" s="3485"/>
      <c r="AC37" s="3485"/>
      <c r="AD37" s="3485"/>
      <c r="AE37" s="3485"/>
      <c r="AF37" s="3485"/>
      <c r="AG37" s="3485"/>
      <c r="AH37" s="3485"/>
      <c r="AI37" s="3485"/>
      <c r="AJ37" s="3485"/>
      <c r="AK37" s="3485"/>
      <c r="AL37" s="3485"/>
      <c r="AM37" s="3485"/>
      <c r="AN37" s="3485"/>
      <c r="AO37" s="3485"/>
      <c r="AP37" s="3485"/>
      <c r="AQ37" s="3485"/>
      <c r="AR37" s="3485"/>
      <c r="AS37" s="3485"/>
      <c r="AT37" s="3485"/>
      <c r="AU37" s="3485"/>
      <c r="AV37" s="3485"/>
      <c r="AW37" s="3485"/>
      <c r="AX37" s="3485"/>
      <c r="AY37" s="3485"/>
      <c r="AZ37" s="3485"/>
      <c r="BA37" s="3488"/>
      <c r="BB37" s="3488"/>
      <c r="BC37" s="3488"/>
      <c r="BD37" s="3115"/>
      <c r="BE37" s="3488"/>
      <c r="BF37" s="3123"/>
      <c r="BG37" s="3123"/>
      <c r="BH37" s="3857"/>
      <c r="BI37" s="3488"/>
      <c r="BJ37" s="2966"/>
      <c r="BK37" s="3874"/>
      <c r="BL37" s="3874"/>
      <c r="BM37" s="3874"/>
      <c r="BN37" s="3874"/>
      <c r="BO37" s="2966"/>
    </row>
    <row r="38" spans="1:69" ht="57" x14ac:dyDescent="0.25">
      <c r="A38" s="3864"/>
      <c r="B38" s="3865"/>
      <c r="C38" s="3868"/>
      <c r="D38" s="3868"/>
      <c r="E38" s="3115"/>
      <c r="F38" s="3115"/>
      <c r="G38" s="3115">
        <v>23</v>
      </c>
      <c r="H38" s="3836" t="s">
        <v>1507</v>
      </c>
      <c r="I38" s="2807" t="s">
        <v>1508</v>
      </c>
      <c r="J38" s="3154">
        <v>1</v>
      </c>
      <c r="K38" s="3875">
        <v>0.5</v>
      </c>
      <c r="L38" s="3115"/>
      <c r="M38" s="3115"/>
      <c r="N38" s="3870"/>
      <c r="O38" s="3873">
        <f>+(T38+T39+T40)/P34</f>
        <v>0.19129239751796687</v>
      </c>
      <c r="P38" s="3872"/>
      <c r="Q38" s="2923"/>
      <c r="R38" s="3810" t="s">
        <v>1509</v>
      </c>
      <c r="S38" s="2575" t="s">
        <v>1510</v>
      </c>
      <c r="T38" s="1503">
        <v>18000000</v>
      </c>
      <c r="U38" s="1503">
        <v>16300000</v>
      </c>
      <c r="V38" s="1503">
        <v>11000000</v>
      </c>
      <c r="W38" s="2587">
        <v>20</v>
      </c>
      <c r="X38" s="2558" t="s">
        <v>1462</v>
      </c>
      <c r="Y38" s="3482"/>
      <c r="Z38" s="3485"/>
      <c r="AA38" s="3482"/>
      <c r="AB38" s="3485"/>
      <c r="AC38" s="3485"/>
      <c r="AD38" s="3485"/>
      <c r="AE38" s="3485"/>
      <c r="AF38" s="3485"/>
      <c r="AG38" s="3485"/>
      <c r="AH38" s="3485"/>
      <c r="AI38" s="3485"/>
      <c r="AJ38" s="3485"/>
      <c r="AK38" s="3485"/>
      <c r="AL38" s="3485"/>
      <c r="AM38" s="3485"/>
      <c r="AN38" s="3485"/>
      <c r="AO38" s="3485"/>
      <c r="AP38" s="3485"/>
      <c r="AQ38" s="3485"/>
      <c r="AR38" s="3485"/>
      <c r="AS38" s="3485"/>
      <c r="AT38" s="3485"/>
      <c r="AU38" s="3485"/>
      <c r="AV38" s="3485"/>
      <c r="AW38" s="3485"/>
      <c r="AX38" s="3485"/>
      <c r="AY38" s="3485"/>
      <c r="AZ38" s="3485"/>
      <c r="BA38" s="3488"/>
      <c r="BB38" s="3488"/>
      <c r="BC38" s="3488"/>
      <c r="BD38" s="3115"/>
      <c r="BE38" s="3488"/>
      <c r="BF38" s="3123"/>
      <c r="BG38" s="3123"/>
      <c r="BH38" s="3857"/>
      <c r="BI38" s="3488"/>
      <c r="BJ38" s="2966"/>
      <c r="BK38" s="3874"/>
      <c r="BL38" s="3874"/>
      <c r="BM38" s="3874"/>
      <c r="BN38" s="3874"/>
      <c r="BO38" s="2966"/>
    </row>
    <row r="39" spans="1:69" ht="71.25" x14ac:dyDescent="0.25">
      <c r="A39" s="3864"/>
      <c r="B39" s="3865"/>
      <c r="C39" s="3868"/>
      <c r="D39" s="3868"/>
      <c r="E39" s="3115"/>
      <c r="F39" s="3115"/>
      <c r="G39" s="3115"/>
      <c r="H39" s="3836"/>
      <c r="I39" s="2807"/>
      <c r="J39" s="3182"/>
      <c r="K39" s="3876"/>
      <c r="L39" s="3115"/>
      <c r="M39" s="3115"/>
      <c r="N39" s="3870"/>
      <c r="O39" s="3873"/>
      <c r="P39" s="3872"/>
      <c r="Q39" s="2923"/>
      <c r="R39" s="3823"/>
      <c r="S39" s="2575" t="s">
        <v>1511</v>
      </c>
      <c r="T39" s="1503">
        <v>5000000</v>
      </c>
      <c r="U39" s="1503">
        <v>4000000</v>
      </c>
      <c r="V39" s="1503">
        <v>3440000</v>
      </c>
      <c r="W39" s="2587">
        <v>20</v>
      </c>
      <c r="X39" s="2558" t="s">
        <v>1462</v>
      </c>
      <c r="Y39" s="3482"/>
      <c r="Z39" s="3485"/>
      <c r="AA39" s="3482"/>
      <c r="AB39" s="3485"/>
      <c r="AC39" s="3485"/>
      <c r="AD39" s="3485"/>
      <c r="AE39" s="3485"/>
      <c r="AF39" s="3485"/>
      <c r="AG39" s="3485"/>
      <c r="AH39" s="3485"/>
      <c r="AI39" s="3485"/>
      <c r="AJ39" s="3485"/>
      <c r="AK39" s="3485"/>
      <c r="AL39" s="3485"/>
      <c r="AM39" s="3485"/>
      <c r="AN39" s="3485"/>
      <c r="AO39" s="3485"/>
      <c r="AP39" s="3485"/>
      <c r="AQ39" s="3485"/>
      <c r="AR39" s="3485"/>
      <c r="AS39" s="3485"/>
      <c r="AT39" s="3485"/>
      <c r="AU39" s="3485"/>
      <c r="AV39" s="3485"/>
      <c r="AW39" s="3485"/>
      <c r="AX39" s="3485"/>
      <c r="AY39" s="3485"/>
      <c r="AZ39" s="3485"/>
      <c r="BA39" s="3488"/>
      <c r="BB39" s="3488"/>
      <c r="BC39" s="3488"/>
      <c r="BD39" s="3115"/>
      <c r="BE39" s="3488"/>
      <c r="BF39" s="3123"/>
      <c r="BG39" s="3123"/>
      <c r="BH39" s="3857"/>
      <c r="BI39" s="3488"/>
      <c r="BJ39" s="2966"/>
      <c r="BK39" s="3874"/>
      <c r="BL39" s="3874"/>
      <c r="BM39" s="3874"/>
      <c r="BN39" s="3874"/>
      <c r="BO39" s="2966"/>
    </row>
    <row r="40" spans="1:69" ht="28.5" x14ac:dyDescent="0.25">
      <c r="A40" s="3864"/>
      <c r="B40" s="3865"/>
      <c r="C40" s="3868"/>
      <c r="D40" s="3868"/>
      <c r="E40" s="3115"/>
      <c r="F40" s="3115"/>
      <c r="G40" s="3115"/>
      <c r="H40" s="3836"/>
      <c r="I40" s="2807"/>
      <c r="J40" s="3171"/>
      <c r="K40" s="3877"/>
      <c r="L40" s="3115"/>
      <c r="M40" s="3115"/>
      <c r="N40" s="3870"/>
      <c r="O40" s="3873"/>
      <c r="P40" s="3872"/>
      <c r="Q40" s="2923"/>
      <c r="R40" s="3823"/>
      <c r="S40" s="2575" t="s">
        <v>1512</v>
      </c>
      <c r="T40" s="1503">
        <v>46680000</v>
      </c>
      <c r="U40" s="1503">
        <v>22580000</v>
      </c>
      <c r="V40" s="1503">
        <v>5400000</v>
      </c>
      <c r="W40" s="2587">
        <v>20</v>
      </c>
      <c r="X40" s="2558" t="s">
        <v>1462</v>
      </c>
      <c r="Y40" s="3482"/>
      <c r="Z40" s="3485"/>
      <c r="AA40" s="3482"/>
      <c r="AB40" s="3485"/>
      <c r="AC40" s="3485"/>
      <c r="AD40" s="3485"/>
      <c r="AE40" s="3485"/>
      <c r="AF40" s="3485"/>
      <c r="AG40" s="3485"/>
      <c r="AH40" s="3485"/>
      <c r="AI40" s="3485"/>
      <c r="AJ40" s="3485"/>
      <c r="AK40" s="3485"/>
      <c r="AL40" s="3485"/>
      <c r="AM40" s="3485"/>
      <c r="AN40" s="3485"/>
      <c r="AO40" s="3485"/>
      <c r="AP40" s="3485"/>
      <c r="AQ40" s="3485"/>
      <c r="AR40" s="3485"/>
      <c r="AS40" s="3485"/>
      <c r="AT40" s="3485"/>
      <c r="AU40" s="3485"/>
      <c r="AV40" s="3485"/>
      <c r="AW40" s="3485"/>
      <c r="AX40" s="3485"/>
      <c r="AY40" s="3485"/>
      <c r="AZ40" s="3485"/>
      <c r="BA40" s="3488"/>
      <c r="BB40" s="3488"/>
      <c r="BC40" s="3488"/>
      <c r="BD40" s="3115"/>
      <c r="BE40" s="3488"/>
      <c r="BF40" s="3123"/>
      <c r="BG40" s="3123"/>
      <c r="BH40" s="3857"/>
      <c r="BI40" s="3488"/>
      <c r="BJ40" s="2966"/>
      <c r="BK40" s="3874"/>
      <c r="BL40" s="3874"/>
      <c r="BM40" s="3874"/>
      <c r="BN40" s="3874"/>
      <c r="BO40" s="2966"/>
    </row>
    <row r="41" spans="1:69" ht="71.25" x14ac:dyDescent="0.25">
      <c r="A41" s="3864"/>
      <c r="B41" s="3865"/>
      <c r="C41" s="3868"/>
      <c r="D41" s="3868"/>
      <c r="E41" s="3115"/>
      <c r="F41" s="3115"/>
      <c r="G41" s="2564">
        <v>24</v>
      </c>
      <c r="H41" s="2575" t="s">
        <v>1513</v>
      </c>
      <c r="I41" s="2575" t="s">
        <v>1514</v>
      </c>
      <c r="J41" s="2578">
        <v>1</v>
      </c>
      <c r="K41" s="2602">
        <v>0.6</v>
      </c>
      <c r="L41" s="3115"/>
      <c r="M41" s="3115"/>
      <c r="N41" s="3871"/>
      <c r="O41" s="2574">
        <f>T41/P34</f>
        <v>0.49579848266145532</v>
      </c>
      <c r="P41" s="3872"/>
      <c r="Q41" s="2835"/>
      <c r="R41" s="3811"/>
      <c r="S41" s="2575" t="s">
        <v>1515</v>
      </c>
      <c r="T41" s="1503">
        <v>180599118</v>
      </c>
      <c r="U41" s="1503">
        <v>159100000</v>
      </c>
      <c r="V41" s="1503">
        <v>16300000</v>
      </c>
      <c r="W41" s="2587">
        <v>20</v>
      </c>
      <c r="X41" s="2558" t="s">
        <v>1462</v>
      </c>
      <c r="Y41" s="3482"/>
      <c r="Z41" s="3486"/>
      <c r="AA41" s="3482"/>
      <c r="AB41" s="3486"/>
      <c r="AC41" s="3486"/>
      <c r="AD41" s="3486"/>
      <c r="AE41" s="3486"/>
      <c r="AF41" s="3486"/>
      <c r="AG41" s="3486"/>
      <c r="AH41" s="3486"/>
      <c r="AI41" s="3486"/>
      <c r="AJ41" s="3486"/>
      <c r="AK41" s="3486"/>
      <c r="AL41" s="3486"/>
      <c r="AM41" s="3486"/>
      <c r="AN41" s="3486"/>
      <c r="AO41" s="3486"/>
      <c r="AP41" s="3486"/>
      <c r="AQ41" s="3486"/>
      <c r="AR41" s="3486"/>
      <c r="AS41" s="3486"/>
      <c r="AT41" s="3486"/>
      <c r="AU41" s="3486"/>
      <c r="AV41" s="3486"/>
      <c r="AW41" s="3486"/>
      <c r="AX41" s="3486"/>
      <c r="AY41" s="3486"/>
      <c r="AZ41" s="3486"/>
      <c r="BA41" s="3489"/>
      <c r="BB41" s="3489"/>
      <c r="BC41" s="3489"/>
      <c r="BD41" s="3115"/>
      <c r="BE41" s="3489"/>
      <c r="BF41" s="3124"/>
      <c r="BG41" s="3124"/>
      <c r="BH41" s="3858"/>
      <c r="BI41" s="3489"/>
      <c r="BJ41" s="2967"/>
      <c r="BK41" s="3853"/>
      <c r="BL41" s="3853"/>
      <c r="BM41" s="3853"/>
      <c r="BN41" s="3853"/>
      <c r="BO41" s="2967"/>
    </row>
    <row r="42" spans="1:69" ht="15" x14ac:dyDescent="0.25">
      <c r="A42" s="3864"/>
      <c r="B42" s="3865"/>
      <c r="C42" s="3868"/>
      <c r="D42" s="3868"/>
      <c r="E42" s="1401">
        <v>5</v>
      </c>
      <c r="F42" s="1402" t="s">
        <v>1516</v>
      </c>
      <c r="G42" s="1402"/>
      <c r="H42" s="1440"/>
      <c r="I42" s="1440"/>
      <c r="J42" s="1440"/>
      <c r="K42" s="1440"/>
      <c r="L42" s="1440"/>
      <c r="M42" s="1440"/>
      <c r="N42" s="1434"/>
      <c r="O42" s="1435"/>
      <c r="P42" s="1494"/>
      <c r="Q42" s="1434"/>
      <c r="R42" s="1434"/>
      <c r="S42" s="1434"/>
      <c r="T42" s="1509"/>
      <c r="U42" s="1509"/>
      <c r="V42" s="1509"/>
      <c r="W42" s="1436"/>
      <c r="X42" s="1437"/>
      <c r="Y42" s="1438"/>
      <c r="Z42" s="1438"/>
      <c r="AA42" s="1438"/>
      <c r="AB42" s="1438"/>
      <c r="AC42" s="1438"/>
      <c r="AD42" s="1438"/>
      <c r="AE42" s="1438"/>
      <c r="AF42" s="1438"/>
      <c r="AG42" s="1438"/>
      <c r="AH42" s="1438"/>
      <c r="AI42" s="1438"/>
      <c r="AJ42" s="1438"/>
      <c r="AK42" s="1438"/>
      <c r="AL42" s="1438"/>
      <c r="AM42" s="1438"/>
      <c r="AN42" s="1438"/>
      <c r="AO42" s="1438"/>
      <c r="AP42" s="1438"/>
      <c r="AQ42" s="1438"/>
      <c r="AR42" s="1438"/>
      <c r="AS42" s="1438"/>
      <c r="AT42" s="1438"/>
      <c r="AU42" s="1438"/>
      <c r="AV42" s="1438"/>
      <c r="AW42" s="1438"/>
      <c r="AX42" s="1438"/>
      <c r="AY42" s="1438"/>
      <c r="AZ42" s="1438"/>
      <c r="BA42" s="1438"/>
      <c r="BB42" s="1438"/>
      <c r="BC42" s="1438"/>
      <c r="BD42" s="1438"/>
      <c r="BE42" s="1439"/>
      <c r="BF42" s="1519"/>
      <c r="BG42" s="1514"/>
      <c r="BH42" s="1397"/>
      <c r="BI42" s="1397"/>
      <c r="BJ42" s="1397"/>
      <c r="BK42" s="1397"/>
      <c r="BL42" s="1397"/>
      <c r="BM42" s="1397"/>
      <c r="BN42" s="1397"/>
      <c r="BO42" s="1397"/>
    </row>
    <row r="43" spans="1:69" ht="28.5" customHeight="1" x14ac:dyDescent="0.25">
      <c r="A43" s="3864"/>
      <c r="B43" s="3865"/>
      <c r="C43" s="3868"/>
      <c r="D43" s="3868"/>
      <c r="E43" s="3115"/>
      <c r="F43" s="3115"/>
      <c r="G43" s="3487">
        <v>25</v>
      </c>
      <c r="H43" s="3165" t="s">
        <v>1517</v>
      </c>
      <c r="I43" s="3165" t="s">
        <v>1518</v>
      </c>
      <c r="J43" s="3878">
        <v>2</v>
      </c>
      <c r="K43" s="3879">
        <v>0.8</v>
      </c>
      <c r="L43" s="3165" t="s">
        <v>1519</v>
      </c>
      <c r="M43" s="3878" t="s">
        <v>1520</v>
      </c>
      <c r="N43" s="3810" t="s">
        <v>1521</v>
      </c>
      <c r="O43" s="3882">
        <f>SUM(T43:T45)/P43</f>
        <v>0.21064074165230945</v>
      </c>
      <c r="P43" s="3413">
        <f>SUM(T43:T48)</f>
        <v>1365168000</v>
      </c>
      <c r="Q43" s="3810" t="s">
        <v>1522</v>
      </c>
      <c r="R43" s="3810" t="s">
        <v>1523</v>
      </c>
      <c r="S43" s="2575" t="s">
        <v>1524</v>
      </c>
      <c r="T43" s="1503">
        <v>118780000</v>
      </c>
      <c r="U43" s="1503">
        <v>37758000</v>
      </c>
      <c r="V43" s="1503">
        <v>22830000</v>
      </c>
      <c r="W43" s="2587">
        <v>20</v>
      </c>
      <c r="X43" s="2562" t="s">
        <v>1425</v>
      </c>
      <c r="Y43" s="3484">
        <v>600</v>
      </c>
      <c r="Z43" s="3484">
        <v>67</v>
      </c>
      <c r="AA43" s="3484">
        <v>600</v>
      </c>
      <c r="AB43" s="3484">
        <v>55</v>
      </c>
      <c r="AC43" s="3484">
        <v>125</v>
      </c>
      <c r="AD43" s="3487"/>
      <c r="AE43" s="3484">
        <v>75</v>
      </c>
      <c r="AF43" s="3484">
        <v>1</v>
      </c>
      <c r="AG43" s="3484">
        <v>300</v>
      </c>
      <c r="AH43" s="3484">
        <v>83</v>
      </c>
      <c r="AI43" s="3484">
        <v>700</v>
      </c>
      <c r="AJ43" s="3484">
        <v>36</v>
      </c>
      <c r="AK43" s="3484">
        <v>50</v>
      </c>
      <c r="AL43" s="3484"/>
      <c r="AM43" s="3484">
        <v>30</v>
      </c>
      <c r="AN43" s="3484"/>
      <c r="AO43" s="3484"/>
      <c r="AP43" s="3484"/>
      <c r="AQ43" s="3484"/>
      <c r="AR43" s="3484"/>
      <c r="AS43" s="3484"/>
      <c r="AT43" s="3484"/>
      <c r="AU43" s="3484"/>
      <c r="AV43" s="3484"/>
      <c r="AW43" s="3484"/>
      <c r="AX43" s="3484"/>
      <c r="AY43" s="3484">
        <v>10</v>
      </c>
      <c r="AZ43" s="3484"/>
      <c r="BA43" s="3484">
        <v>10</v>
      </c>
      <c r="BB43" s="3484"/>
      <c r="BC43" s="3484">
        <f>Y43+AA43</f>
        <v>1200</v>
      </c>
      <c r="BD43" s="3487">
        <f>Z43+AB43</f>
        <v>122</v>
      </c>
      <c r="BE43" s="3487">
        <v>16</v>
      </c>
      <c r="BF43" s="3339">
        <v>78813000</v>
      </c>
      <c r="BG43" s="3339">
        <v>47582000</v>
      </c>
      <c r="BH43" s="3856">
        <f>BG43/BF43</f>
        <v>0.60373288670650782</v>
      </c>
      <c r="BI43" s="3487" t="s">
        <v>1425</v>
      </c>
      <c r="BJ43" s="2977" t="s">
        <v>1525</v>
      </c>
      <c r="BK43" s="3852">
        <v>43466</v>
      </c>
      <c r="BL43" s="3852">
        <v>43482</v>
      </c>
      <c r="BM43" s="3852">
        <v>43829</v>
      </c>
      <c r="BN43" s="3852">
        <v>43819</v>
      </c>
      <c r="BO43" s="2977" t="s">
        <v>1526</v>
      </c>
    </row>
    <row r="44" spans="1:69" ht="14.25" customHeight="1" x14ac:dyDescent="0.25">
      <c r="A44" s="3864"/>
      <c r="B44" s="3865"/>
      <c r="C44" s="3868"/>
      <c r="D44" s="3868"/>
      <c r="E44" s="3115"/>
      <c r="F44" s="3115"/>
      <c r="G44" s="3488"/>
      <c r="H44" s="3207"/>
      <c r="I44" s="3207"/>
      <c r="J44" s="3840"/>
      <c r="K44" s="3880"/>
      <c r="L44" s="3840"/>
      <c r="M44" s="3840"/>
      <c r="N44" s="3823"/>
      <c r="O44" s="3883"/>
      <c r="P44" s="3414"/>
      <c r="Q44" s="3823"/>
      <c r="R44" s="3823"/>
      <c r="S44" s="3165" t="s">
        <v>1527</v>
      </c>
      <c r="T44" s="1503">
        <v>118780000</v>
      </c>
      <c r="U44" s="1503">
        <v>30435000</v>
      </c>
      <c r="V44" s="1503">
        <v>14360000</v>
      </c>
      <c r="W44" s="2587">
        <v>20</v>
      </c>
      <c r="X44" s="2562" t="s">
        <v>1425</v>
      </c>
      <c r="Y44" s="3485"/>
      <c r="Z44" s="3485"/>
      <c r="AA44" s="3485"/>
      <c r="AB44" s="3485"/>
      <c r="AC44" s="3485"/>
      <c r="AD44" s="3488"/>
      <c r="AE44" s="3485"/>
      <c r="AF44" s="3485"/>
      <c r="AG44" s="3485"/>
      <c r="AH44" s="3485"/>
      <c r="AI44" s="3485"/>
      <c r="AJ44" s="3485"/>
      <c r="AK44" s="3485"/>
      <c r="AL44" s="3485"/>
      <c r="AM44" s="3485"/>
      <c r="AN44" s="3485"/>
      <c r="AO44" s="3485"/>
      <c r="AP44" s="3485"/>
      <c r="AQ44" s="3485"/>
      <c r="AR44" s="3485"/>
      <c r="AS44" s="3485"/>
      <c r="AT44" s="3485"/>
      <c r="AU44" s="3485"/>
      <c r="AV44" s="3485"/>
      <c r="AW44" s="3485"/>
      <c r="AX44" s="3485"/>
      <c r="AY44" s="3485"/>
      <c r="AZ44" s="3485"/>
      <c r="BA44" s="3485"/>
      <c r="BB44" s="3485"/>
      <c r="BC44" s="3485"/>
      <c r="BD44" s="3488"/>
      <c r="BE44" s="3488"/>
      <c r="BF44" s="3123"/>
      <c r="BG44" s="3123"/>
      <c r="BH44" s="3857"/>
      <c r="BI44" s="3488"/>
      <c r="BJ44" s="2966"/>
      <c r="BK44" s="3874"/>
      <c r="BL44" s="3874"/>
      <c r="BM44" s="3874"/>
      <c r="BN44" s="3874"/>
      <c r="BO44" s="2966"/>
    </row>
    <row r="45" spans="1:69" ht="42.75" x14ac:dyDescent="0.25">
      <c r="A45" s="3864"/>
      <c r="B45" s="3865"/>
      <c r="C45" s="3868"/>
      <c r="D45" s="3868"/>
      <c r="E45" s="3115"/>
      <c r="F45" s="3115"/>
      <c r="G45" s="3489"/>
      <c r="H45" s="3179"/>
      <c r="I45" s="3179"/>
      <c r="J45" s="3841"/>
      <c r="K45" s="3881"/>
      <c r="L45" s="3840"/>
      <c r="M45" s="3840"/>
      <c r="N45" s="3823"/>
      <c r="O45" s="3884"/>
      <c r="P45" s="3414"/>
      <c r="Q45" s="3823"/>
      <c r="R45" s="3823"/>
      <c r="S45" s="3179"/>
      <c r="T45" s="1503">
        <v>50000000</v>
      </c>
      <c r="U45" s="1503"/>
      <c r="V45" s="1503"/>
      <c r="W45" s="2587">
        <v>88</v>
      </c>
      <c r="X45" s="2558" t="s">
        <v>189</v>
      </c>
      <c r="Y45" s="3485"/>
      <c r="Z45" s="3485"/>
      <c r="AA45" s="3485"/>
      <c r="AB45" s="3485"/>
      <c r="AC45" s="3485"/>
      <c r="AD45" s="3488"/>
      <c r="AE45" s="3485"/>
      <c r="AF45" s="3485"/>
      <c r="AG45" s="3485"/>
      <c r="AH45" s="3485"/>
      <c r="AI45" s="3485"/>
      <c r="AJ45" s="3485"/>
      <c r="AK45" s="3485"/>
      <c r="AL45" s="3485"/>
      <c r="AM45" s="3485"/>
      <c r="AN45" s="3485"/>
      <c r="AO45" s="3485"/>
      <c r="AP45" s="3485"/>
      <c r="AQ45" s="3485"/>
      <c r="AR45" s="3485"/>
      <c r="AS45" s="3485"/>
      <c r="AT45" s="3485"/>
      <c r="AU45" s="3485"/>
      <c r="AV45" s="3485"/>
      <c r="AW45" s="3485"/>
      <c r="AX45" s="3485"/>
      <c r="AY45" s="3485"/>
      <c r="AZ45" s="3485"/>
      <c r="BA45" s="3485"/>
      <c r="BB45" s="3485"/>
      <c r="BC45" s="3485"/>
      <c r="BD45" s="3488"/>
      <c r="BE45" s="3488"/>
      <c r="BF45" s="3123"/>
      <c r="BG45" s="3123"/>
      <c r="BH45" s="3857"/>
      <c r="BI45" s="3488"/>
      <c r="BJ45" s="2966"/>
      <c r="BK45" s="3874"/>
      <c r="BL45" s="3874"/>
      <c r="BM45" s="3874"/>
      <c r="BN45" s="3874"/>
      <c r="BO45" s="2966"/>
      <c r="BP45" s="1268"/>
      <c r="BQ45" s="1268"/>
    </row>
    <row r="46" spans="1:69" ht="85.5" x14ac:dyDescent="0.25">
      <c r="A46" s="3864"/>
      <c r="B46" s="3865"/>
      <c r="C46" s="3868"/>
      <c r="D46" s="3868"/>
      <c r="E46" s="3115"/>
      <c r="F46" s="3115"/>
      <c r="G46" s="2561">
        <v>26</v>
      </c>
      <c r="H46" s="2575" t="s">
        <v>1528</v>
      </c>
      <c r="I46" s="2575" t="s">
        <v>1529</v>
      </c>
      <c r="J46" s="2559">
        <v>2</v>
      </c>
      <c r="K46" s="2603">
        <v>1</v>
      </c>
      <c r="L46" s="3840"/>
      <c r="M46" s="3840"/>
      <c r="N46" s="3823"/>
      <c r="O46" s="2574">
        <f>T46/P43</f>
        <v>3.2486844110028952E-2</v>
      </c>
      <c r="P46" s="3414"/>
      <c r="Q46" s="3823"/>
      <c r="R46" s="3811"/>
      <c r="S46" s="2575" t="s">
        <v>1530</v>
      </c>
      <c r="T46" s="1503">
        <v>44350000</v>
      </c>
      <c r="U46" s="1503">
        <v>5600000</v>
      </c>
      <c r="V46" s="1503">
        <v>5600000</v>
      </c>
      <c r="W46" s="2587">
        <v>20</v>
      </c>
      <c r="X46" s="2562" t="s">
        <v>1425</v>
      </c>
      <c r="Y46" s="3485"/>
      <c r="Z46" s="3485"/>
      <c r="AA46" s="3485"/>
      <c r="AB46" s="3485"/>
      <c r="AC46" s="3485"/>
      <c r="AD46" s="3488"/>
      <c r="AE46" s="3485"/>
      <c r="AF46" s="3485"/>
      <c r="AG46" s="3485"/>
      <c r="AH46" s="3485"/>
      <c r="AI46" s="3485"/>
      <c r="AJ46" s="3485"/>
      <c r="AK46" s="3485"/>
      <c r="AL46" s="3485"/>
      <c r="AM46" s="3485"/>
      <c r="AN46" s="3485"/>
      <c r="AO46" s="3485"/>
      <c r="AP46" s="3485"/>
      <c r="AQ46" s="3485"/>
      <c r="AR46" s="3485"/>
      <c r="AS46" s="3485"/>
      <c r="AT46" s="3485"/>
      <c r="AU46" s="3485"/>
      <c r="AV46" s="3485"/>
      <c r="AW46" s="3485"/>
      <c r="AX46" s="3485"/>
      <c r="AY46" s="3485"/>
      <c r="AZ46" s="3485"/>
      <c r="BA46" s="3485"/>
      <c r="BB46" s="3485"/>
      <c r="BC46" s="3485"/>
      <c r="BD46" s="3488"/>
      <c r="BE46" s="3488"/>
      <c r="BF46" s="3123"/>
      <c r="BG46" s="3123"/>
      <c r="BH46" s="3857"/>
      <c r="BI46" s="3488"/>
      <c r="BJ46" s="2966"/>
      <c r="BK46" s="3874"/>
      <c r="BL46" s="3874"/>
      <c r="BM46" s="3874"/>
      <c r="BN46" s="3874"/>
      <c r="BO46" s="2966"/>
      <c r="BP46" s="1268"/>
      <c r="BQ46" s="1268"/>
    </row>
    <row r="47" spans="1:69" ht="42.75" x14ac:dyDescent="0.25">
      <c r="A47" s="3864"/>
      <c r="B47" s="3865"/>
      <c r="C47" s="3868"/>
      <c r="D47" s="3868"/>
      <c r="E47" s="3115"/>
      <c r="F47" s="3115"/>
      <c r="G47" s="2561">
        <v>27</v>
      </c>
      <c r="H47" s="2575" t="s">
        <v>1531</v>
      </c>
      <c r="I47" s="2575" t="s">
        <v>1532</v>
      </c>
      <c r="J47" s="2578">
        <v>3</v>
      </c>
      <c r="K47" s="2603">
        <v>0</v>
      </c>
      <c r="L47" s="3840"/>
      <c r="M47" s="3840"/>
      <c r="N47" s="3823"/>
      <c r="O47" s="2574">
        <f>T47/P43</f>
        <v>0.7325105774527384</v>
      </c>
      <c r="P47" s="3414"/>
      <c r="Q47" s="3823"/>
      <c r="R47" s="2575" t="s">
        <v>1533</v>
      </c>
      <c r="S47" s="2575" t="s">
        <v>1534</v>
      </c>
      <c r="T47" s="1503">
        <v>1000000000</v>
      </c>
      <c r="U47" s="1510">
        <v>0</v>
      </c>
      <c r="V47" s="1510">
        <v>0</v>
      </c>
      <c r="W47" s="2587">
        <v>46</v>
      </c>
      <c r="X47" s="2575" t="s">
        <v>1535</v>
      </c>
      <c r="Y47" s="3485"/>
      <c r="Z47" s="3485"/>
      <c r="AA47" s="3485"/>
      <c r="AB47" s="3485"/>
      <c r="AC47" s="3485"/>
      <c r="AD47" s="3488"/>
      <c r="AE47" s="3485"/>
      <c r="AF47" s="3485"/>
      <c r="AG47" s="3485"/>
      <c r="AH47" s="3485"/>
      <c r="AI47" s="3485"/>
      <c r="AJ47" s="3485"/>
      <c r="AK47" s="3485"/>
      <c r="AL47" s="3485"/>
      <c r="AM47" s="3485"/>
      <c r="AN47" s="3485"/>
      <c r="AO47" s="3485"/>
      <c r="AP47" s="3485"/>
      <c r="AQ47" s="3485"/>
      <c r="AR47" s="3485"/>
      <c r="AS47" s="3485"/>
      <c r="AT47" s="3485"/>
      <c r="AU47" s="3485"/>
      <c r="AV47" s="3485"/>
      <c r="AW47" s="3485"/>
      <c r="AX47" s="3485"/>
      <c r="AY47" s="3485"/>
      <c r="AZ47" s="3485"/>
      <c r="BA47" s="3485"/>
      <c r="BB47" s="3485"/>
      <c r="BC47" s="3485"/>
      <c r="BD47" s="3488"/>
      <c r="BE47" s="3488"/>
      <c r="BF47" s="3123"/>
      <c r="BG47" s="3123"/>
      <c r="BH47" s="3857"/>
      <c r="BI47" s="3488"/>
      <c r="BJ47" s="2966"/>
      <c r="BK47" s="3874"/>
      <c r="BL47" s="3874"/>
      <c r="BM47" s="3874"/>
      <c r="BN47" s="3874"/>
      <c r="BO47" s="2966"/>
      <c r="BP47" s="1268"/>
      <c r="BQ47" s="1268"/>
    </row>
    <row r="48" spans="1:69" ht="57" x14ac:dyDescent="0.25">
      <c r="A48" s="3864"/>
      <c r="B48" s="3865"/>
      <c r="C48" s="3868"/>
      <c r="D48" s="3868"/>
      <c r="E48" s="3115"/>
      <c r="F48" s="3115"/>
      <c r="G48" s="2561">
        <v>28</v>
      </c>
      <c r="H48" s="2575" t="s">
        <v>1536</v>
      </c>
      <c r="I48" s="2575" t="s">
        <v>1537</v>
      </c>
      <c r="J48" s="2559">
        <v>2</v>
      </c>
      <c r="K48" s="1399">
        <v>0.5</v>
      </c>
      <c r="L48" s="3841"/>
      <c r="M48" s="3841"/>
      <c r="N48" s="3811"/>
      <c r="O48" s="2574">
        <f>T48/P43</f>
        <v>2.4361836784923173E-2</v>
      </c>
      <c r="P48" s="3415"/>
      <c r="Q48" s="3811"/>
      <c r="R48" s="2575" t="s">
        <v>1538</v>
      </c>
      <c r="S48" s="2575" t="s">
        <v>1539</v>
      </c>
      <c r="T48" s="1503">
        <v>33258000</v>
      </c>
      <c r="U48" s="1503">
        <v>5020000</v>
      </c>
      <c r="V48" s="1503">
        <v>4792000</v>
      </c>
      <c r="W48" s="2587">
        <v>20</v>
      </c>
      <c r="X48" s="2562" t="s">
        <v>1425</v>
      </c>
      <c r="Y48" s="3486"/>
      <c r="Z48" s="3486"/>
      <c r="AA48" s="3486"/>
      <c r="AB48" s="3486"/>
      <c r="AC48" s="3486"/>
      <c r="AD48" s="3489"/>
      <c r="AE48" s="3486"/>
      <c r="AF48" s="3486"/>
      <c r="AG48" s="3486"/>
      <c r="AH48" s="3486"/>
      <c r="AI48" s="3486"/>
      <c r="AJ48" s="3486"/>
      <c r="AK48" s="3486"/>
      <c r="AL48" s="3486"/>
      <c r="AM48" s="3486"/>
      <c r="AN48" s="3486"/>
      <c r="AO48" s="3486"/>
      <c r="AP48" s="3486"/>
      <c r="AQ48" s="3486"/>
      <c r="AR48" s="3486"/>
      <c r="AS48" s="3486"/>
      <c r="AT48" s="3486"/>
      <c r="AU48" s="3486"/>
      <c r="AV48" s="3486"/>
      <c r="AW48" s="3486"/>
      <c r="AX48" s="3486"/>
      <c r="AY48" s="3486"/>
      <c r="AZ48" s="3486"/>
      <c r="BA48" s="3486"/>
      <c r="BB48" s="3486"/>
      <c r="BC48" s="3486"/>
      <c r="BD48" s="3489"/>
      <c r="BE48" s="3489"/>
      <c r="BF48" s="3124"/>
      <c r="BG48" s="3124"/>
      <c r="BH48" s="3858"/>
      <c r="BI48" s="3489"/>
      <c r="BJ48" s="2967"/>
      <c r="BK48" s="3853"/>
      <c r="BL48" s="3853"/>
      <c r="BM48" s="3853"/>
      <c r="BN48" s="3853"/>
      <c r="BO48" s="2967"/>
      <c r="BP48" s="1268"/>
      <c r="BQ48" s="1268"/>
    </row>
    <row r="49" spans="1:69" ht="57" customHeight="1" x14ac:dyDescent="0.25">
      <c r="A49" s="3864"/>
      <c r="B49" s="3865"/>
      <c r="C49" s="3868"/>
      <c r="D49" s="3868"/>
      <c r="E49" s="3115"/>
      <c r="F49" s="3115"/>
      <c r="G49" s="3487">
        <v>29</v>
      </c>
      <c r="H49" s="3810" t="s">
        <v>1540</v>
      </c>
      <c r="I49" s="3165" t="s">
        <v>1541</v>
      </c>
      <c r="J49" s="3878">
        <v>1</v>
      </c>
      <c r="K49" s="3878">
        <v>0.4</v>
      </c>
      <c r="L49" s="2569" t="s">
        <v>1542</v>
      </c>
      <c r="M49" s="3878" t="s">
        <v>1543</v>
      </c>
      <c r="N49" s="3165" t="s">
        <v>1544</v>
      </c>
      <c r="O49" s="3882">
        <f>SUM(T49:T51)/P49</f>
        <v>1</v>
      </c>
      <c r="P49" s="3413">
        <f>SUM(T49:T51)</f>
        <v>122170000</v>
      </c>
      <c r="Q49" s="3165" t="s">
        <v>1545</v>
      </c>
      <c r="R49" s="3885" t="s">
        <v>1546</v>
      </c>
      <c r="S49" s="2575" t="s">
        <v>1547</v>
      </c>
      <c r="T49" s="1503">
        <v>15000000</v>
      </c>
      <c r="U49" s="1503">
        <v>13800000</v>
      </c>
      <c r="V49" s="1503">
        <v>13440000</v>
      </c>
      <c r="W49" s="2587">
        <v>20</v>
      </c>
      <c r="X49" s="2558" t="s">
        <v>1462</v>
      </c>
      <c r="Y49" s="3487">
        <v>210</v>
      </c>
      <c r="Z49" s="3487"/>
      <c r="AA49" s="3487">
        <v>140</v>
      </c>
      <c r="AB49" s="3487"/>
      <c r="AC49" s="3487"/>
      <c r="AD49" s="3487"/>
      <c r="AE49" s="3487"/>
      <c r="AF49" s="3487"/>
      <c r="AG49" s="3487"/>
      <c r="AH49" s="3487"/>
      <c r="AI49" s="3487"/>
      <c r="AJ49" s="3487"/>
      <c r="AK49" s="3487"/>
      <c r="AL49" s="3487"/>
      <c r="AM49" s="3487"/>
      <c r="AN49" s="3487"/>
      <c r="AO49" s="3487"/>
      <c r="AP49" s="3487"/>
      <c r="AQ49" s="3487"/>
      <c r="AR49" s="3487"/>
      <c r="AS49" s="3487"/>
      <c r="AT49" s="3487"/>
      <c r="AU49" s="3487"/>
      <c r="AV49" s="3487"/>
      <c r="AW49" s="3487"/>
      <c r="AX49" s="3487"/>
      <c r="AY49" s="3487"/>
      <c r="AZ49" s="3487"/>
      <c r="BA49" s="3487"/>
      <c r="BB49" s="3487"/>
      <c r="BC49" s="3487">
        <f>Y49+AA49</f>
        <v>350</v>
      </c>
      <c r="BD49" s="3487"/>
      <c r="BE49" s="3487">
        <v>1</v>
      </c>
      <c r="BF49" s="3339">
        <v>13800000</v>
      </c>
      <c r="BG49" s="3339">
        <v>13440000</v>
      </c>
      <c r="BH49" s="3856">
        <f>BG49/BF49</f>
        <v>0.97391304347826091</v>
      </c>
      <c r="BI49" s="3487" t="s">
        <v>1425</v>
      </c>
      <c r="BJ49" s="2977" t="s">
        <v>1548</v>
      </c>
      <c r="BK49" s="3852">
        <v>43466</v>
      </c>
      <c r="BL49" s="3852">
        <v>43515</v>
      </c>
      <c r="BM49" s="3852">
        <v>43646</v>
      </c>
      <c r="BN49" s="3852">
        <v>43664</v>
      </c>
      <c r="BO49" s="2977" t="s">
        <v>1549</v>
      </c>
      <c r="BP49" s="1268"/>
      <c r="BQ49" s="1268"/>
    </row>
    <row r="50" spans="1:69" ht="28.5" x14ac:dyDescent="0.25">
      <c r="A50" s="3864"/>
      <c r="B50" s="3865"/>
      <c r="C50" s="3868"/>
      <c r="D50" s="3868"/>
      <c r="E50" s="3115"/>
      <c r="F50" s="3115"/>
      <c r="G50" s="3488"/>
      <c r="H50" s="3823"/>
      <c r="I50" s="3207"/>
      <c r="J50" s="3840"/>
      <c r="K50" s="3840"/>
      <c r="L50" s="2570" t="s">
        <v>1550</v>
      </c>
      <c r="M50" s="3840"/>
      <c r="N50" s="3207"/>
      <c r="O50" s="3883"/>
      <c r="P50" s="3414"/>
      <c r="Q50" s="3207"/>
      <c r="R50" s="3886"/>
      <c r="S50" s="3165" t="s">
        <v>1551</v>
      </c>
      <c r="T50" s="1503">
        <v>7170000</v>
      </c>
      <c r="U50" s="1503">
        <v>0</v>
      </c>
      <c r="V50" s="1503">
        <v>0</v>
      </c>
      <c r="W50" s="2587">
        <v>20</v>
      </c>
      <c r="X50" s="2558" t="s">
        <v>1462</v>
      </c>
      <c r="Y50" s="3488"/>
      <c r="Z50" s="3488"/>
      <c r="AA50" s="3488"/>
      <c r="AB50" s="3488"/>
      <c r="AC50" s="3488"/>
      <c r="AD50" s="3488"/>
      <c r="AE50" s="3488"/>
      <c r="AF50" s="3488"/>
      <c r="AG50" s="3488"/>
      <c r="AH50" s="3488"/>
      <c r="AI50" s="3488"/>
      <c r="AJ50" s="3488"/>
      <c r="AK50" s="3488"/>
      <c r="AL50" s="3488"/>
      <c r="AM50" s="3488"/>
      <c r="AN50" s="3488"/>
      <c r="AO50" s="3488"/>
      <c r="AP50" s="3488"/>
      <c r="AQ50" s="3488"/>
      <c r="AR50" s="3488"/>
      <c r="AS50" s="3488"/>
      <c r="AT50" s="3488"/>
      <c r="AU50" s="3488"/>
      <c r="AV50" s="3488"/>
      <c r="AW50" s="3488"/>
      <c r="AX50" s="3488"/>
      <c r="AY50" s="3488"/>
      <c r="AZ50" s="3488"/>
      <c r="BA50" s="3488"/>
      <c r="BB50" s="3488"/>
      <c r="BC50" s="3488"/>
      <c r="BD50" s="3488"/>
      <c r="BE50" s="3488"/>
      <c r="BF50" s="3123"/>
      <c r="BG50" s="3123"/>
      <c r="BH50" s="3857"/>
      <c r="BI50" s="3488"/>
      <c r="BJ50" s="2966"/>
      <c r="BK50" s="3874"/>
      <c r="BL50" s="3874"/>
      <c r="BM50" s="3874"/>
      <c r="BN50" s="3874"/>
      <c r="BO50" s="2966"/>
      <c r="BP50" s="1268"/>
      <c r="BQ50" s="1268"/>
    </row>
    <row r="51" spans="1:69" ht="42.75" x14ac:dyDescent="0.25">
      <c r="A51" s="3864"/>
      <c r="B51" s="3865"/>
      <c r="C51" s="3868"/>
      <c r="D51" s="3868"/>
      <c r="E51" s="3115"/>
      <c r="F51" s="3115"/>
      <c r="G51" s="3489"/>
      <c r="H51" s="3811"/>
      <c r="I51" s="3179"/>
      <c r="J51" s="3841"/>
      <c r="K51" s="3841"/>
      <c r="L51" s="1441"/>
      <c r="M51" s="3841"/>
      <c r="N51" s="3179"/>
      <c r="O51" s="3884"/>
      <c r="P51" s="3415"/>
      <c r="Q51" s="3179"/>
      <c r="R51" s="3887"/>
      <c r="S51" s="3179"/>
      <c r="T51" s="2571">
        <v>100000000</v>
      </c>
      <c r="U51" s="1503">
        <v>0</v>
      </c>
      <c r="V51" s="1503">
        <v>0</v>
      </c>
      <c r="W51" s="2572">
        <v>88</v>
      </c>
      <c r="X51" s="2553" t="s">
        <v>189</v>
      </c>
      <c r="Y51" s="3489"/>
      <c r="Z51" s="3489"/>
      <c r="AA51" s="3489"/>
      <c r="AB51" s="3489"/>
      <c r="AC51" s="3489"/>
      <c r="AD51" s="3489"/>
      <c r="AE51" s="3489"/>
      <c r="AF51" s="3489"/>
      <c r="AG51" s="3489"/>
      <c r="AH51" s="3489"/>
      <c r="AI51" s="3489"/>
      <c r="AJ51" s="3489"/>
      <c r="AK51" s="3489"/>
      <c r="AL51" s="3489"/>
      <c r="AM51" s="3489"/>
      <c r="AN51" s="3489"/>
      <c r="AO51" s="3489"/>
      <c r="AP51" s="3489"/>
      <c r="AQ51" s="3489"/>
      <c r="AR51" s="3489"/>
      <c r="AS51" s="3489"/>
      <c r="AT51" s="3489"/>
      <c r="AU51" s="3489"/>
      <c r="AV51" s="3489"/>
      <c r="AW51" s="3489"/>
      <c r="AX51" s="3489"/>
      <c r="AY51" s="3489"/>
      <c r="AZ51" s="3489"/>
      <c r="BA51" s="3489"/>
      <c r="BB51" s="3489"/>
      <c r="BC51" s="3489"/>
      <c r="BD51" s="3489"/>
      <c r="BE51" s="3489"/>
      <c r="BF51" s="3124"/>
      <c r="BG51" s="3124"/>
      <c r="BH51" s="3858"/>
      <c r="BI51" s="3489"/>
      <c r="BJ51" s="2967"/>
      <c r="BK51" s="3853"/>
      <c r="BL51" s="3853"/>
      <c r="BM51" s="3853"/>
      <c r="BN51" s="3853"/>
      <c r="BO51" s="2967"/>
      <c r="BP51" s="1268"/>
      <c r="BQ51" s="1268"/>
    </row>
    <row r="52" spans="1:69" ht="85.5" x14ac:dyDescent="0.25">
      <c r="A52" s="3864"/>
      <c r="B52" s="3865"/>
      <c r="C52" s="3868"/>
      <c r="D52" s="3868"/>
      <c r="E52" s="3115"/>
      <c r="F52" s="3115"/>
      <c r="G52" s="3115">
        <v>30</v>
      </c>
      <c r="H52" s="3810" t="s">
        <v>1552</v>
      </c>
      <c r="I52" s="3810" t="s">
        <v>1553</v>
      </c>
      <c r="J52" s="3878">
        <v>1</v>
      </c>
      <c r="K52" s="3878">
        <v>1</v>
      </c>
      <c r="L52" s="3878" t="s">
        <v>1554</v>
      </c>
      <c r="M52" s="3878" t="s">
        <v>1555</v>
      </c>
      <c r="N52" s="3810" t="s">
        <v>1556</v>
      </c>
      <c r="O52" s="3882">
        <f>T52/P52</f>
        <v>1</v>
      </c>
      <c r="P52" s="3413">
        <v>22169913</v>
      </c>
      <c r="Q52" s="3810" t="s">
        <v>1557</v>
      </c>
      <c r="R52" s="2566" t="s">
        <v>1558</v>
      </c>
      <c r="S52" s="3078" t="s">
        <v>1559</v>
      </c>
      <c r="T52" s="3888">
        <v>22169913</v>
      </c>
      <c r="U52" s="3888">
        <v>22169913</v>
      </c>
      <c r="V52" s="3888">
        <v>12466180</v>
      </c>
      <c r="W52" s="3890">
        <v>20</v>
      </c>
      <c r="X52" s="3165" t="s">
        <v>1462</v>
      </c>
      <c r="Y52" s="3487">
        <v>8</v>
      </c>
      <c r="Z52" s="3487"/>
      <c r="AA52" s="3487">
        <v>12</v>
      </c>
      <c r="AB52" s="3487"/>
      <c r="AC52" s="3487"/>
      <c r="AD52" s="3487"/>
      <c r="AE52" s="3487"/>
      <c r="AF52" s="3487"/>
      <c r="AG52" s="3487"/>
      <c r="AH52" s="3487"/>
      <c r="AI52" s="3487"/>
      <c r="AJ52" s="3487"/>
      <c r="AK52" s="3487"/>
      <c r="AL52" s="3487"/>
      <c r="AM52" s="3487"/>
      <c r="AN52" s="3487"/>
      <c r="AO52" s="3487"/>
      <c r="AP52" s="3487"/>
      <c r="AQ52" s="3487"/>
      <c r="AR52" s="3487"/>
      <c r="AS52" s="3487"/>
      <c r="AT52" s="3487"/>
      <c r="AU52" s="3487"/>
      <c r="AV52" s="3487"/>
      <c r="AW52" s="3487"/>
      <c r="AX52" s="3487"/>
      <c r="AY52" s="3487"/>
      <c r="AZ52" s="3487"/>
      <c r="BA52" s="3487"/>
      <c r="BB52" s="3487"/>
      <c r="BC52" s="3487">
        <f>+Y52+AA52</f>
        <v>20</v>
      </c>
      <c r="BD52" s="3487"/>
      <c r="BE52" s="3487">
        <v>4</v>
      </c>
      <c r="BF52" s="3339">
        <v>22169913</v>
      </c>
      <c r="BG52" s="3339">
        <v>12466180</v>
      </c>
      <c r="BH52" s="3856">
        <f>BG52/BF52</f>
        <v>0.56230171043070853</v>
      </c>
      <c r="BI52" s="3487" t="s">
        <v>1425</v>
      </c>
      <c r="BJ52" s="2977" t="s">
        <v>1426</v>
      </c>
      <c r="BK52" s="3852">
        <v>43466</v>
      </c>
      <c r="BL52" s="3852">
        <v>43482</v>
      </c>
      <c r="BM52" s="3852">
        <v>43829</v>
      </c>
      <c r="BN52" s="3852">
        <v>43785</v>
      </c>
      <c r="BO52" s="2977" t="s">
        <v>1427</v>
      </c>
      <c r="BP52" s="1268"/>
      <c r="BQ52" s="1268"/>
    </row>
    <row r="53" spans="1:69" ht="71.25" x14ac:dyDescent="0.25">
      <c r="A53" s="3864"/>
      <c r="B53" s="3865"/>
      <c r="C53" s="3868"/>
      <c r="D53" s="3868"/>
      <c r="E53" s="3115"/>
      <c r="F53" s="3115"/>
      <c r="G53" s="3487"/>
      <c r="H53" s="3823"/>
      <c r="I53" s="3823"/>
      <c r="J53" s="3840"/>
      <c r="K53" s="3841"/>
      <c r="L53" s="3840"/>
      <c r="M53" s="3840"/>
      <c r="N53" s="3823"/>
      <c r="O53" s="3883"/>
      <c r="P53" s="3414"/>
      <c r="Q53" s="3823"/>
      <c r="R53" s="2566" t="s">
        <v>1560</v>
      </c>
      <c r="S53" s="3142"/>
      <c r="T53" s="3889"/>
      <c r="U53" s="3889"/>
      <c r="V53" s="3889"/>
      <c r="W53" s="3891"/>
      <c r="X53" s="3179"/>
      <c r="Y53" s="3488"/>
      <c r="Z53" s="3488"/>
      <c r="AA53" s="3488"/>
      <c r="AB53" s="3488"/>
      <c r="AC53" s="3488"/>
      <c r="AD53" s="3488"/>
      <c r="AE53" s="3488"/>
      <c r="AF53" s="3488"/>
      <c r="AG53" s="3488"/>
      <c r="AH53" s="3488"/>
      <c r="AI53" s="3488"/>
      <c r="AJ53" s="3488"/>
      <c r="AK53" s="3488"/>
      <c r="AL53" s="3488"/>
      <c r="AM53" s="3488"/>
      <c r="AN53" s="3488"/>
      <c r="AO53" s="3488"/>
      <c r="AP53" s="3488"/>
      <c r="AQ53" s="3488"/>
      <c r="AR53" s="3488"/>
      <c r="AS53" s="3488"/>
      <c r="AT53" s="3488"/>
      <c r="AU53" s="3488"/>
      <c r="AV53" s="3488"/>
      <c r="AW53" s="3488"/>
      <c r="AX53" s="3488"/>
      <c r="AY53" s="3488"/>
      <c r="AZ53" s="3488"/>
      <c r="BA53" s="3488"/>
      <c r="BB53" s="3488"/>
      <c r="BC53" s="3488"/>
      <c r="BD53" s="3488"/>
      <c r="BE53" s="3488"/>
      <c r="BF53" s="3123"/>
      <c r="BG53" s="3123"/>
      <c r="BH53" s="3857"/>
      <c r="BI53" s="3488"/>
      <c r="BJ53" s="2966"/>
      <c r="BK53" s="3874"/>
      <c r="BL53" s="3874"/>
      <c r="BM53" s="3874"/>
      <c r="BN53" s="3874"/>
      <c r="BO53" s="2966"/>
    </row>
    <row r="54" spans="1:69" ht="15.75" thickBot="1" x14ac:dyDescent="0.3">
      <c r="A54" s="3864"/>
      <c r="B54" s="3865"/>
      <c r="C54" s="3868"/>
      <c r="D54" s="3868"/>
      <c r="E54" s="1401">
        <v>6</v>
      </c>
      <c r="F54" s="1442" t="s">
        <v>1561</v>
      </c>
      <c r="G54" s="1366"/>
      <c r="H54" s="1366"/>
      <c r="I54" s="1366"/>
      <c r="J54" s="1366"/>
      <c r="K54" s="1366"/>
      <c r="L54" s="1366"/>
      <c r="M54" s="1366"/>
      <c r="N54" s="1366"/>
      <c r="O54" s="1366"/>
      <c r="P54" s="1495"/>
      <c r="Q54" s="1366"/>
      <c r="R54" s="1366"/>
      <c r="S54" s="1366"/>
      <c r="T54" s="1495"/>
      <c r="U54" s="1495"/>
      <c r="V54" s="1495"/>
      <c r="W54" s="1366"/>
      <c r="X54" s="1366"/>
      <c r="Y54" s="1366"/>
      <c r="Z54" s="1366"/>
      <c r="AA54" s="1366"/>
      <c r="AB54" s="1366"/>
      <c r="AC54" s="1366"/>
      <c r="AD54" s="1366"/>
      <c r="AE54" s="1366"/>
      <c r="AF54" s="1366"/>
      <c r="AG54" s="1366"/>
      <c r="AH54" s="1366"/>
      <c r="AI54" s="1366"/>
      <c r="AJ54" s="1366"/>
      <c r="AK54" s="1366"/>
      <c r="AL54" s="1366"/>
      <c r="AM54" s="1366"/>
      <c r="AN54" s="1366"/>
      <c r="AO54" s="1366"/>
      <c r="AP54" s="1366"/>
      <c r="AQ54" s="1366"/>
      <c r="AR54" s="1366"/>
      <c r="AS54" s="1366"/>
      <c r="AT54" s="1366"/>
      <c r="AU54" s="1366"/>
      <c r="AV54" s="1366"/>
      <c r="AW54" s="1366"/>
      <c r="AX54" s="1366"/>
      <c r="AY54" s="1366"/>
      <c r="AZ54" s="1366"/>
      <c r="BA54" s="1366"/>
      <c r="BB54" s="1366"/>
      <c r="BC54" s="1366"/>
      <c r="BD54" s="1366"/>
      <c r="BE54" s="1402"/>
      <c r="BF54" s="1520"/>
      <c r="BG54" s="1514"/>
      <c r="BH54" s="1397"/>
      <c r="BI54" s="1397"/>
      <c r="BJ54" s="1397"/>
      <c r="BK54" s="1397"/>
      <c r="BL54" s="1397"/>
      <c r="BM54" s="1397"/>
      <c r="BN54" s="1397"/>
      <c r="BO54" s="1397"/>
    </row>
    <row r="55" spans="1:69" ht="185.25" x14ac:dyDescent="0.25">
      <c r="A55" s="3864"/>
      <c r="B55" s="3865"/>
      <c r="C55" s="3868"/>
      <c r="D55" s="3868"/>
      <c r="E55" s="3115"/>
      <c r="F55" s="3115"/>
      <c r="G55" s="2561">
        <v>31</v>
      </c>
      <c r="H55" s="2575" t="s">
        <v>1562</v>
      </c>
      <c r="I55" s="2563" t="s">
        <v>1563</v>
      </c>
      <c r="J55" s="1443">
        <v>4</v>
      </c>
      <c r="K55" s="2578">
        <v>2</v>
      </c>
      <c r="L55" s="3878" t="s">
        <v>1564</v>
      </c>
      <c r="M55" s="3878" t="s">
        <v>1565</v>
      </c>
      <c r="N55" s="3810" t="s">
        <v>1566</v>
      </c>
      <c r="O55" s="2574">
        <f>T55/P55</f>
        <v>0.34666567637771994</v>
      </c>
      <c r="P55" s="3413">
        <v>475120588</v>
      </c>
      <c r="Q55" s="3859" t="s">
        <v>1567</v>
      </c>
      <c r="R55" s="2575" t="s">
        <v>1568</v>
      </c>
      <c r="S55" s="2575" t="s">
        <v>1569</v>
      </c>
      <c r="T55" s="1503">
        <v>164708000</v>
      </c>
      <c r="U55" s="1511">
        <v>36900000</v>
      </c>
      <c r="V55" s="1511">
        <v>29940000</v>
      </c>
      <c r="W55" s="2587">
        <v>20</v>
      </c>
      <c r="X55" s="2558" t="s">
        <v>1462</v>
      </c>
      <c r="Y55" s="3484">
        <v>170</v>
      </c>
      <c r="Z55" s="3484">
        <v>1387</v>
      </c>
      <c r="AA55" s="3484">
        <v>200</v>
      </c>
      <c r="AB55" s="3484">
        <v>628</v>
      </c>
      <c r="AC55" s="3484"/>
      <c r="AD55" s="3484">
        <v>277</v>
      </c>
      <c r="AE55" s="3484"/>
      <c r="AF55" s="3484"/>
      <c r="AG55" s="3484">
        <v>300</v>
      </c>
      <c r="AH55" s="3484">
        <v>1154</v>
      </c>
      <c r="AI55" s="3484">
        <v>10</v>
      </c>
      <c r="AJ55" s="3484"/>
      <c r="AK55" s="3484"/>
      <c r="AL55" s="3484">
        <v>20</v>
      </c>
      <c r="AM55" s="3484"/>
      <c r="AN55" s="3484">
        <v>20</v>
      </c>
      <c r="AO55" s="3484"/>
      <c r="AP55" s="3484">
        <v>19</v>
      </c>
      <c r="AQ55" s="3484"/>
      <c r="AR55" s="3484">
        <v>20</v>
      </c>
      <c r="AS55" s="3484"/>
      <c r="AT55" s="3484"/>
      <c r="AU55" s="3484"/>
      <c r="AV55" s="3484"/>
      <c r="AW55" s="3484"/>
      <c r="AX55" s="3484">
        <v>20</v>
      </c>
      <c r="AY55" s="3484"/>
      <c r="AZ55" s="3484">
        <v>23</v>
      </c>
      <c r="BA55" s="3484"/>
      <c r="BB55" s="3484">
        <v>75</v>
      </c>
      <c r="BC55" s="3896">
        <f>Y55+AA55</f>
        <v>370</v>
      </c>
      <c r="BD55" s="3896">
        <f>Z55+AB55</f>
        <v>2015</v>
      </c>
      <c r="BE55" s="3488">
        <v>17</v>
      </c>
      <c r="BF55" s="3123">
        <v>246813480</v>
      </c>
      <c r="BG55" s="3123">
        <v>119528000</v>
      </c>
      <c r="BH55" s="3857">
        <f>BG55/BF55</f>
        <v>0.48428473193603527</v>
      </c>
      <c r="BI55" s="3488" t="s">
        <v>1425</v>
      </c>
      <c r="BJ55" s="2966" t="s">
        <v>1548</v>
      </c>
      <c r="BK55" s="3874">
        <v>43466</v>
      </c>
      <c r="BL55" s="3874">
        <v>43482</v>
      </c>
      <c r="BM55" s="3874">
        <v>43829</v>
      </c>
      <c r="BN55" s="3874">
        <v>43819</v>
      </c>
      <c r="BO55" s="2966" t="s">
        <v>1549</v>
      </c>
    </row>
    <row r="56" spans="1:69" ht="242.25" x14ac:dyDescent="0.25">
      <c r="A56" s="3864"/>
      <c r="B56" s="3865"/>
      <c r="C56" s="3868"/>
      <c r="D56" s="3868"/>
      <c r="E56" s="3115"/>
      <c r="F56" s="3115"/>
      <c r="G56" s="2561">
        <v>32</v>
      </c>
      <c r="H56" s="2575" t="s">
        <v>1570</v>
      </c>
      <c r="I56" s="2563" t="s">
        <v>1571</v>
      </c>
      <c r="J56" s="2578">
        <v>25</v>
      </c>
      <c r="K56" s="2578">
        <v>13</v>
      </c>
      <c r="L56" s="3840"/>
      <c r="M56" s="3840"/>
      <c r="N56" s="3823"/>
      <c r="O56" s="2574">
        <f>T56/P55</f>
        <v>0.52705059373263785</v>
      </c>
      <c r="P56" s="3414"/>
      <c r="Q56" s="3860"/>
      <c r="R56" s="2575" t="s">
        <v>1572</v>
      </c>
      <c r="S56" s="2575" t="s">
        <v>1573</v>
      </c>
      <c r="T56" s="1503">
        <v>250412588</v>
      </c>
      <c r="U56" s="1503">
        <v>176063480</v>
      </c>
      <c r="V56" s="1503">
        <v>70768000</v>
      </c>
      <c r="W56" s="2587">
        <v>20</v>
      </c>
      <c r="X56" s="2558" t="s">
        <v>1462</v>
      </c>
      <c r="Y56" s="3485"/>
      <c r="Z56" s="3485"/>
      <c r="AA56" s="3485"/>
      <c r="AB56" s="3485"/>
      <c r="AC56" s="3485"/>
      <c r="AD56" s="3485"/>
      <c r="AE56" s="3485"/>
      <c r="AF56" s="3485"/>
      <c r="AG56" s="3485"/>
      <c r="AH56" s="3485"/>
      <c r="AI56" s="3485"/>
      <c r="AJ56" s="3485"/>
      <c r="AK56" s="3485"/>
      <c r="AL56" s="3485"/>
      <c r="AM56" s="3485"/>
      <c r="AN56" s="3485"/>
      <c r="AO56" s="3485"/>
      <c r="AP56" s="3485"/>
      <c r="AQ56" s="3485"/>
      <c r="AR56" s="3485"/>
      <c r="AS56" s="3485"/>
      <c r="AT56" s="3485"/>
      <c r="AU56" s="3485"/>
      <c r="AV56" s="3485"/>
      <c r="AW56" s="3485"/>
      <c r="AX56" s="3485"/>
      <c r="AY56" s="3485"/>
      <c r="AZ56" s="3485"/>
      <c r="BA56" s="3485"/>
      <c r="BB56" s="3485"/>
      <c r="BC56" s="3897"/>
      <c r="BD56" s="3897"/>
      <c r="BE56" s="3488"/>
      <c r="BF56" s="3123"/>
      <c r="BG56" s="3123"/>
      <c r="BH56" s="3857"/>
      <c r="BI56" s="3488"/>
      <c r="BJ56" s="2966"/>
      <c r="BK56" s="3874"/>
      <c r="BL56" s="3874"/>
      <c r="BM56" s="3874"/>
      <c r="BN56" s="3874"/>
      <c r="BO56" s="2966"/>
    </row>
    <row r="57" spans="1:69" ht="42.75" x14ac:dyDescent="0.25">
      <c r="A57" s="3864"/>
      <c r="B57" s="3865"/>
      <c r="C57" s="3868"/>
      <c r="D57" s="3868"/>
      <c r="E57" s="3115"/>
      <c r="F57" s="3115"/>
      <c r="G57" s="2561">
        <v>33</v>
      </c>
      <c r="H57" s="2575" t="s">
        <v>1574</v>
      </c>
      <c r="I57" s="2563" t="s">
        <v>1575</v>
      </c>
      <c r="J57" s="2578">
        <v>200</v>
      </c>
      <c r="K57" s="2578">
        <v>180</v>
      </c>
      <c r="L57" s="3840"/>
      <c r="M57" s="3840"/>
      <c r="N57" s="3823"/>
      <c r="O57" s="2574">
        <f>T57/P55</f>
        <v>6.314186494482113E-2</v>
      </c>
      <c r="P57" s="3414"/>
      <c r="Q57" s="3860"/>
      <c r="R57" s="3810" t="s">
        <v>1576</v>
      </c>
      <c r="S57" s="2575" t="s">
        <v>1577</v>
      </c>
      <c r="T57" s="1503">
        <v>30000000</v>
      </c>
      <c r="U57" s="1503">
        <v>15125000</v>
      </c>
      <c r="V57" s="1503">
        <v>8300000</v>
      </c>
      <c r="W57" s="2587">
        <v>20</v>
      </c>
      <c r="X57" s="2558" t="s">
        <v>1462</v>
      </c>
      <c r="Y57" s="3485"/>
      <c r="Z57" s="3485"/>
      <c r="AA57" s="3485"/>
      <c r="AB57" s="3485"/>
      <c r="AC57" s="3485"/>
      <c r="AD57" s="3485"/>
      <c r="AE57" s="3485"/>
      <c r="AF57" s="3485"/>
      <c r="AG57" s="3485"/>
      <c r="AH57" s="3485"/>
      <c r="AI57" s="3485"/>
      <c r="AJ57" s="3485"/>
      <c r="AK57" s="3485"/>
      <c r="AL57" s="3485"/>
      <c r="AM57" s="3485"/>
      <c r="AN57" s="3485"/>
      <c r="AO57" s="3485"/>
      <c r="AP57" s="3485"/>
      <c r="AQ57" s="3485"/>
      <c r="AR57" s="3485"/>
      <c r="AS57" s="3485"/>
      <c r="AT57" s="3485"/>
      <c r="AU57" s="3485"/>
      <c r="AV57" s="3485"/>
      <c r="AW57" s="3485"/>
      <c r="AX57" s="3485"/>
      <c r="AY57" s="3485"/>
      <c r="AZ57" s="3485"/>
      <c r="BA57" s="3485"/>
      <c r="BB57" s="3485"/>
      <c r="BC57" s="3897"/>
      <c r="BD57" s="3897"/>
      <c r="BE57" s="3488"/>
      <c r="BF57" s="3123"/>
      <c r="BG57" s="3123"/>
      <c r="BH57" s="3857"/>
      <c r="BI57" s="3488"/>
      <c r="BJ57" s="2966"/>
      <c r="BK57" s="3874"/>
      <c r="BL57" s="3874"/>
      <c r="BM57" s="3874"/>
      <c r="BN57" s="3874"/>
      <c r="BO57" s="2966"/>
    </row>
    <row r="58" spans="1:69" ht="86.25" thickBot="1" x14ac:dyDescent="0.3">
      <c r="A58" s="3864"/>
      <c r="B58" s="3865"/>
      <c r="C58" s="3868"/>
      <c r="D58" s="3868"/>
      <c r="E58" s="3115"/>
      <c r="F58" s="3115"/>
      <c r="G58" s="2564">
        <v>34</v>
      </c>
      <c r="H58" s="2566" t="s">
        <v>1578</v>
      </c>
      <c r="I58" s="2552" t="s">
        <v>1579</v>
      </c>
      <c r="J58" s="1444">
        <v>600</v>
      </c>
      <c r="K58" s="2578">
        <v>362</v>
      </c>
      <c r="L58" s="3840"/>
      <c r="M58" s="3840"/>
      <c r="N58" s="3811"/>
      <c r="O58" s="2573">
        <f>T58/P55</f>
        <v>6.314186494482113E-2</v>
      </c>
      <c r="P58" s="3414"/>
      <c r="Q58" s="3861"/>
      <c r="R58" s="3811"/>
      <c r="S58" s="2566" t="s">
        <v>1580</v>
      </c>
      <c r="T58" s="2571">
        <v>30000000</v>
      </c>
      <c r="U58" s="1503">
        <v>18725000</v>
      </c>
      <c r="V58" s="1503">
        <v>10520000</v>
      </c>
      <c r="W58" s="2572">
        <v>20</v>
      </c>
      <c r="X58" s="2553" t="s">
        <v>1462</v>
      </c>
      <c r="Y58" s="3486"/>
      <c r="Z58" s="3486"/>
      <c r="AA58" s="3486"/>
      <c r="AB58" s="3486"/>
      <c r="AC58" s="3486"/>
      <c r="AD58" s="3486"/>
      <c r="AE58" s="3486"/>
      <c r="AF58" s="3486"/>
      <c r="AG58" s="3486"/>
      <c r="AH58" s="3486"/>
      <c r="AI58" s="3486"/>
      <c r="AJ58" s="3486"/>
      <c r="AK58" s="3486"/>
      <c r="AL58" s="3486"/>
      <c r="AM58" s="3486"/>
      <c r="AN58" s="3486"/>
      <c r="AO58" s="3486"/>
      <c r="AP58" s="3486"/>
      <c r="AQ58" s="3486"/>
      <c r="AR58" s="3486"/>
      <c r="AS58" s="3486"/>
      <c r="AT58" s="3486"/>
      <c r="AU58" s="3486"/>
      <c r="AV58" s="3486"/>
      <c r="AW58" s="3486"/>
      <c r="AX58" s="3486"/>
      <c r="AY58" s="3486"/>
      <c r="AZ58" s="3486"/>
      <c r="BA58" s="3486"/>
      <c r="BB58" s="3486"/>
      <c r="BC58" s="3898"/>
      <c r="BD58" s="3898"/>
      <c r="BE58" s="3489"/>
      <c r="BF58" s="3123"/>
      <c r="BG58" s="3123"/>
      <c r="BH58" s="3857"/>
      <c r="BI58" s="3488"/>
      <c r="BJ58" s="2966"/>
      <c r="BK58" s="3874"/>
      <c r="BL58" s="3874"/>
      <c r="BM58" s="3874"/>
      <c r="BN58" s="3874"/>
      <c r="BO58" s="2966"/>
    </row>
    <row r="59" spans="1:69" ht="15" x14ac:dyDescent="0.25">
      <c r="A59" s="3864"/>
      <c r="B59" s="3865"/>
      <c r="C59" s="3868"/>
      <c r="D59" s="3868"/>
      <c r="E59" s="1401">
        <v>7</v>
      </c>
      <c r="F59" s="1402" t="s">
        <v>1581</v>
      </c>
      <c r="G59" s="1401"/>
      <c r="H59" s="1445"/>
      <c r="I59" s="1366"/>
      <c r="J59" s="1438"/>
      <c r="K59" s="1438"/>
      <c r="L59" s="1438"/>
      <c r="M59" s="1437"/>
      <c r="N59" s="1446"/>
      <c r="O59" s="1435"/>
      <c r="P59" s="1494"/>
      <c r="Q59" s="1434"/>
      <c r="R59" s="1434"/>
      <c r="S59" s="1434"/>
      <c r="T59" s="1509"/>
      <c r="U59" s="1509"/>
      <c r="V59" s="1509"/>
      <c r="W59" s="1436"/>
      <c r="X59" s="1437"/>
      <c r="Y59" s="1438"/>
      <c r="Z59" s="1438"/>
      <c r="AA59" s="1438"/>
      <c r="AB59" s="1438"/>
      <c r="AC59" s="1438"/>
      <c r="AD59" s="1438"/>
      <c r="AE59" s="1438"/>
      <c r="AF59" s="1438"/>
      <c r="AG59" s="1438"/>
      <c r="AH59" s="1438"/>
      <c r="AI59" s="1438"/>
      <c r="AJ59" s="1438"/>
      <c r="AK59" s="1438"/>
      <c r="AL59" s="1438"/>
      <c r="AM59" s="1438"/>
      <c r="AN59" s="1438"/>
      <c r="AO59" s="1438"/>
      <c r="AP59" s="1438"/>
      <c r="AQ59" s="1438"/>
      <c r="AR59" s="1438"/>
      <c r="AS59" s="1438"/>
      <c r="AT59" s="1438"/>
      <c r="AU59" s="1438"/>
      <c r="AV59" s="1438"/>
      <c r="AW59" s="1438"/>
      <c r="AX59" s="1438"/>
      <c r="AY59" s="1438"/>
      <c r="AZ59" s="1438"/>
      <c r="BA59" s="1438"/>
      <c r="BB59" s="1438"/>
      <c r="BC59" s="1438"/>
      <c r="BD59" s="1438"/>
      <c r="BE59" s="1439"/>
      <c r="BF59" s="1519"/>
      <c r="BG59" s="1514"/>
      <c r="BH59" s="1397"/>
      <c r="BI59" s="1397"/>
      <c r="BJ59" s="1397"/>
      <c r="BK59" s="1397"/>
      <c r="BL59" s="1397"/>
      <c r="BM59" s="1397"/>
      <c r="BN59" s="1397"/>
      <c r="BO59" s="1397"/>
    </row>
    <row r="60" spans="1:69" ht="42.75" customHeight="1" x14ac:dyDescent="0.25">
      <c r="A60" s="3864"/>
      <c r="B60" s="3865"/>
      <c r="C60" s="3868"/>
      <c r="D60" s="3868"/>
      <c r="E60" s="3892"/>
      <c r="F60" s="3893"/>
      <c r="G60" s="2561">
        <v>35</v>
      </c>
      <c r="H60" s="2575" t="s">
        <v>1582</v>
      </c>
      <c r="I60" s="2575" t="s">
        <v>1529</v>
      </c>
      <c r="J60" s="1447">
        <v>5</v>
      </c>
      <c r="K60" s="1448">
        <v>2</v>
      </c>
      <c r="L60" s="3878" t="s">
        <v>1583</v>
      </c>
      <c r="M60" s="3878" t="s">
        <v>1584</v>
      </c>
      <c r="N60" s="3810" t="s">
        <v>1585</v>
      </c>
      <c r="O60" s="2574">
        <f>T60/P60</f>
        <v>0.35199821675250459</v>
      </c>
      <c r="P60" s="3413">
        <v>197966912</v>
      </c>
      <c r="Q60" s="3859" t="s">
        <v>1586</v>
      </c>
      <c r="R60" s="1449" t="s">
        <v>1587</v>
      </c>
      <c r="S60" s="1449" t="s">
        <v>1588</v>
      </c>
      <c r="T60" s="1505">
        <v>69684000</v>
      </c>
      <c r="U60" s="1505">
        <v>4200000</v>
      </c>
      <c r="V60" s="1505">
        <v>3840000</v>
      </c>
      <c r="W60" s="2587">
        <v>20</v>
      </c>
      <c r="X60" s="2558" t="s">
        <v>1462</v>
      </c>
      <c r="Y60" s="3487">
        <v>100</v>
      </c>
      <c r="Z60" s="3487"/>
      <c r="AA60" s="3487">
        <v>60</v>
      </c>
      <c r="AB60" s="3487"/>
      <c r="AC60" s="3487"/>
      <c r="AD60" s="3487"/>
      <c r="AE60" s="3487"/>
      <c r="AF60" s="3487"/>
      <c r="AG60" s="3487">
        <v>110</v>
      </c>
      <c r="AH60" s="3487"/>
      <c r="AI60" s="3487">
        <v>50</v>
      </c>
      <c r="AJ60" s="3487"/>
      <c r="AK60" s="3487"/>
      <c r="AL60" s="3487"/>
      <c r="AM60" s="3487"/>
      <c r="AN60" s="3487"/>
      <c r="AO60" s="3487"/>
      <c r="AP60" s="3487"/>
      <c r="AQ60" s="3487"/>
      <c r="AR60" s="3487"/>
      <c r="AS60" s="3487"/>
      <c r="AT60" s="3487"/>
      <c r="AU60" s="3487"/>
      <c r="AV60" s="3487"/>
      <c r="AW60" s="3487"/>
      <c r="AX60" s="3487"/>
      <c r="AY60" s="3487"/>
      <c r="AZ60" s="3487"/>
      <c r="BA60" s="3487"/>
      <c r="BB60" s="3487"/>
      <c r="BC60" s="3487">
        <f>Y60+AA60</f>
        <v>160</v>
      </c>
      <c r="BD60" s="3487"/>
      <c r="BE60" s="3487">
        <v>7</v>
      </c>
      <c r="BF60" s="3339">
        <v>80800000</v>
      </c>
      <c r="BG60" s="3339">
        <v>52920000</v>
      </c>
      <c r="BH60" s="3856">
        <f>BG60/BF60</f>
        <v>0.65495049504950498</v>
      </c>
      <c r="BI60" s="3487" t="s">
        <v>1425</v>
      </c>
      <c r="BJ60" s="2977" t="s">
        <v>1589</v>
      </c>
      <c r="BK60" s="3852">
        <v>43466</v>
      </c>
      <c r="BL60" s="3852">
        <v>43489</v>
      </c>
      <c r="BM60" s="3852">
        <v>43661</v>
      </c>
      <c r="BN60" s="3852">
        <v>43687</v>
      </c>
      <c r="BO60" s="2977" t="s">
        <v>1549</v>
      </c>
    </row>
    <row r="61" spans="1:69" ht="71.25" x14ac:dyDescent="0.25">
      <c r="A61" s="3866"/>
      <c r="B61" s="3867"/>
      <c r="C61" s="3868"/>
      <c r="D61" s="3868"/>
      <c r="E61" s="3894"/>
      <c r="F61" s="3895"/>
      <c r="G61" s="2561">
        <v>37</v>
      </c>
      <c r="H61" s="2575" t="s">
        <v>1590</v>
      </c>
      <c r="I61" s="2575" t="s">
        <v>1591</v>
      </c>
      <c r="J61" s="1448">
        <v>1</v>
      </c>
      <c r="K61" s="1450">
        <v>0.4</v>
      </c>
      <c r="L61" s="3841"/>
      <c r="M61" s="3841"/>
      <c r="N61" s="3811"/>
      <c r="O61" s="2574">
        <f>T61/P60</f>
        <v>0.64800178324749547</v>
      </c>
      <c r="P61" s="3415"/>
      <c r="Q61" s="3861"/>
      <c r="R61" s="2575" t="s">
        <v>1592</v>
      </c>
      <c r="S61" s="1449" t="s">
        <v>1593</v>
      </c>
      <c r="T61" s="1505">
        <v>128282912</v>
      </c>
      <c r="U61" s="1505">
        <v>76600000</v>
      </c>
      <c r="V61" s="1505">
        <v>49080000</v>
      </c>
      <c r="W61" s="2587">
        <v>20</v>
      </c>
      <c r="X61" s="2558" t="s">
        <v>1462</v>
      </c>
      <c r="Y61" s="3489"/>
      <c r="Z61" s="3489"/>
      <c r="AA61" s="3489"/>
      <c r="AB61" s="3489"/>
      <c r="AC61" s="3489"/>
      <c r="AD61" s="3489"/>
      <c r="AE61" s="3489"/>
      <c r="AF61" s="3489"/>
      <c r="AG61" s="3489"/>
      <c r="AH61" s="3489"/>
      <c r="AI61" s="3489"/>
      <c r="AJ61" s="3489"/>
      <c r="AK61" s="3489"/>
      <c r="AL61" s="3489"/>
      <c r="AM61" s="3489"/>
      <c r="AN61" s="3489"/>
      <c r="AO61" s="3489"/>
      <c r="AP61" s="3489"/>
      <c r="AQ61" s="3489"/>
      <c r="AR61" s="3489"/>
      <c r="AS61" s="3489"/>
      <c r="AT61" s="3489"/>
      <c r="AU61" s="3489"/>
      <c r="AV61" s="3489"/>
      <c r="AW61" s="3489"/>
      <c r="AX61" s="3489"/>
      <c r="AY61" s="3489"/>
      <c r="AZ61" s="3489"/>
      <c r="BA61" s="3489"/>
      <c r="BB61" s="3489"/>
      <c r="BC61" s="3489"/>
      <c r="BD61" s="3489"/>
      <c r="BE61" s="3489"/>
      <c r="BF61" s="3124"/>
      <c r="BG61" s="3124"/>
      <c r="BH61" s="3858"/>
      <c r="BI61" s="3489"/>
      <c r="BJ61" s="2967"/>
      <c r="BK61" s="3853"/>
      <c r="BL61" s="3853"/>
      <c r="BM61" s="3853"/>
      <c r="BN61" s="3853"/>
      <c r="BO61" s="2967"/>
    </row>
    <row r="62" spans="1:69" ht="15" x14ac:dyDescent="0.25">
      <c r="A62" s="1451">
        <v>3</v>
      </c>
      <c r="B62" s="671" t="s">
        <v>115</v>
      </c>
      <c r="C62" s="1452"/>
      <c r="D62" s="1452"/>
      <c r="E62" s="1453"/>
      <c r="F62" s="1454"/>
      <c r="G62" s="1455"/>
      <c r="H62" s="1456"/>
      <c r="I62" s="1454"/>
      <c r="J62" s="1454"/>
      <c r="K62" s="1454"/>
      <c r="L62" s="1454"/>
      <c r="M62" s="1455"/>
      <c r="N62" s="1456"/>
      <c r="O62" s="1457"/>
      <c r="P62" s="1496"/>
      <c r="Q62" s="1456"/>
      <c r="R62" s="1456"/>
      <c r="S62" s="1456"/>
      <c r="T62" s="1512"/>
      <c r="U62" s="1512"/>
      <c r="V62" s="1512"/>
      <c r="W62" s="1458"/>
      <c r="X62" s="1455"/>
      <c r="Y62" s="1454"/>
      <c r="Z62" s="1454"/>
      <c r="AA62" s="1454"/>
      <c r="AB62" s="1454"/>
      <c r="AC62" s="1454"/>
      <c r="AD62" s="1454"/>
      <c r="AE62" s="1454"/>
      <c r="AF62" s="1454"/>
      <c r="AG62" s="1454"/>
      <c r="AH62" s="1454"/>
      <c r="AI62" s="1454"/>
      <c r="AJ62" s="1454"/>
      <c r="AK62" s="1454"/>
      <c r="AL62" s="1454"/>
      <c r="AM62" s="1454"/>
      <c r="AN62" s="1454"/>
      <c r="AO62" s="1454"/>
      <c r="AP62" s="1454"/>
      <c r="AQ62" s="1454"/>
      <c r="AR62" s="1454"/>
      <c r="AS62" s="1454"/>
      <c r="AT62" s="1454"/>
      <c r="AU62" s="1454"/>
      <c r="AV62" s="1454"/>
      <c r="AW62" s="1454"/>
      <c r="AX62" s="1454"/>
      <c r="AY62" s="1454"/>
      <c r="AZ62" s="1454"/>
      <c r="BA62" s="1454"/>
      <c r="BB62" s="1454"/>
      <c r="BC62" s="1454"/>
      <c r="BD62" s="1454"/>
      <c r="BE62" s="1459"/>
      <c r="BF62" s="1521"/>
      <c r="BG62" s="1516"/>
      <c r="BH62" s="1423"/>
      <c r="BI62" s="1423"/>
      <c r="BJ62" s="1423"/>
      <c r="BK62" s="1423"/>
      <c r="BL62" s="1423"/>
      <c r="BM62" s="1423"/>
      <c r="BN62" s="1423"/>
      <c r="BO62" s="1423"/>
    </row>
    <row r="63" spans="1:69" ht="15" x14ac:dyDescent="0.25">
      <c r="A63" s="3868"/>
      <c r="B63" s="3868"/>
      <c r="C63" s="1460">
        <v>11</v>
      </c>
      <c r="D63" s="1461" t="s">
        <v>756</v>
      </c>
      <c r="E63" s="1462"/>
      <c r="F63" s="1461"/>
      <c r="G63" s="1463"/>
      <c r="H63" s="1464"/>
      <c r="I63" s="1465"/>
      <c r="J63" s="1465"/>
      <c r="K63" s="1465"/>
      <c r="L63" s="1465"/>
      <c r="M63" s="1463"/>
      <c r="N63" s="1464"/>
      <c r="O63" s="1466"/>
      <c r="P63" s="1497"/>
      <c r="Q63" s="1464"/>
      <c r="R63" s="1464"/>
      <c r="S63" s="1464"/>
      <c r="T63" s="1513"/>
      <c r="U63" s="1513"/>
      <c r="V63" s="1513"/>
      <c r="W63" s="1467"/>
      <c r="X63" s="1463"/>
      <c r="Y63" s="1465"/>
      <c r="Z63" s="1465"/>
      <c r="AA63" s="1465"/>
      <c r="AB63" s="1465"/>
      <c r="AC63" s="1465"/>
      <c r="AD63" s="1465"/>
      <c r="AE63" s="1465"/>
      <c r="AF63" s="1465"/>
      <c r="AG63" s="1465"/>
      <c r="AH63" s="1465"/>
      <c r="AI63" s="1465"/>
      <c r="AJ63" s="1465"/>
      <c r="AK63" s="1465"/>
      <c r="AL63" s="1465"/>
      <c r="AM63" s="1465"/>
      <c r="AN63" s="1465"/>
      <c r="AO63" s="1465"/>
      <c r="AP63" s="1465"/>
      <c r="AQ63" s="1465"/>
      <c r="AR63" s="1465"/>
      <c r="AS63" s="1465"/>
      <c r="AT63" s="1465"/>
      <c r="AU63" s="1465"/>
      <c r="AV63" s="1465"/>
      <c r="AW63" s="1465"/>
      <c r="AX63" s="1465"/>
      <c r="AY63" s="1465"/>
      <c r="AZ63" s="1465"/>
      <c r="BA63" s="1465"/>
      <c r="BB63" s="1465"/>
      <c r="BC63" s="1465"/>
      <c r="BD63" s="1465"/>
      <c r="BE63" s="1468"/>
      <c r="BF63" s="1522"/>
      <c r="BG63" s="1523"/>
      <c r="BH63" s="1469"/>
      <c r="BI63" s="1469"/>
      <c r="BJ63" s="1469"/>
      <c r="BK63" s="1469"/>
      <c r="BL63" s="1469"/>
      <c r="BM63" s="1469"/>
      <c r="BN63" s="1469"/>
      <c r="BO63" s="1469"/>
    </row>
    <row r="64" spans="1:69" ht="15" x14ac:dyDescent="0.25">
      <c r="A64" s="3868"/>
      <c r="B64" s="3868"/>
      <c r="C64" s="3115"/>
      <c r="D64" s="3115"/>
      <c r="E64" s="1442">
        <v>34</v>
      </c>
      <c r="F64" s="1366" t="s">
        <v>1594</v>
      </c>
      <c r="G64" s="1437"/>
      <c r="H64" s="1434"/>
      <c r="I64" s="1438"/>
      <c r="J64" s="1438"/>
      <c r="K64" s="1438"/>
      <c r="L64" s="1438"/>
      <c r="M64" s="1437"/>
      <c r="N64" s="1434"/>
      <c r="O64" s="1435"/>
      <c r="P64" s="1494"/>
      <c r="Q64" s="1434"/>
      <c r="R64" s="1434"/>
      <c r="S64" s="1434"/>
      <c r="T64" s="1509"/>
      <c r="U64" s="1509"/>
      <c r="V64" s="1509"/>
      <c r="W64" s="1436"/>
      <c r="X64" s="1437"/>
      <c r="Y64" s="1438"/>
      <c r="Z64" s="1438"/>
      <c r="AA64" s="1438"/>
      <c r="AB64" s="1438"/>
      <c r="AC64" s="1438"/>
      <c r="AD64" s="1438"/>
      <c r="AE64" s="1438"/>
      <c r="AF64" s="1438"/>
      <c r="AG64" s="1438"/>
      <c r="AH64" s="1438"/>
      <c r="AI64" s="1438"/>
      <c r="AJ64" s="1438"/>
      <c r="AK64" s="1438"/>
      <c r="AL64" s="1438"/>
      <c r="AM64" s="1438"/>
      <c r="AN64" s="1438"/>
      <c r="AO64" s="1438"/>
      <c r="AP64" s="1438"/>
      <c r="AQ64" s="1438"/>
      <c r="AR64" s="1438"/>
      <c r="AS64" s="1438"/>
      <c r="AT64" s="1438"/>
      <c r="AU64" s="1438"/>
      <c r="AV64" s="1438"/>
      <c r="AW64" s="1438"/>
      <c r="AX64" s="1438"/>
      <c r="AY64" s="1438"/>
      <c r="AZ64" s="1438"/>
      <c r="BA64" s="1438"/>
      <c r="BB64" s="1438"/>
      <c r="BC64" s="1438"/>
      <c r="BD64" s="1438"/>
      <c r="BE64" s="1439"/>
      <c r="BF64" s="1519"/>
      <c r="BG64" s="1514"/>
      <c r="BH64" s="1397"/>
      <c r="BI64" s="1397"/>
      <c r="BJ64" s="1397"/>
      <c r="BK64" s="1397"/>
      <c r="BL64" s="1397"/>
      <c r="BM64" s="1397"/>
      <c r="BN64" s="1397"/>
      <c r="BO64" s="1397"/>
    </row>
    <row r="65" spans="1:67" ht="57" x14ac:dyDescent="0.25">
      <c r="A65" s="3868"/>
      <c r="B65" s="3868"/>
      <c r="C65" s="3115"/>
      <c r="D65" s="3115"/>
      <c r="E65" s="3115"/>
      <c r="F65" s="3115"/>
      <c r="G65" s="2561">
        <v>122</v>
      </c>
      <c r="H65" s="2575" t="s">
        <v>1595</v>
      </c>
      <c r="I65" s="2552" t="s">
        <v>1596</v>
      </c>
      <c r="J65" s="1448">
        <v>1</v>
      </c>
      <c r="K65" s="1450">
        <v>0.7</v>
      </c>
      <c r="L65" s="3878" t="s">
        <v>1597</v>
      </c>
      <c r="M65" s="3878" t="s">
        <v>1598</v>
      </c>
      <c r="N65" s="3810" t="s">
        <v>1599</v>
      </c>
      <c r="O65" s="2574">
        <f>T65/P65</f>
        <v>0.24602162822149062</v>
      </c>
      <c r="P65" s="3413">
        <v>168373530</v>
      </c>
      <c r="Q65" s="3859" t="s">
        <v>1600</v>
      </c>
      <c r="R65" s="2552" t="s">
        <v>1601</v>
      </c>
      <c r="S65" s="2575" t="s">
        <v>1602</v>
      </c>
      <c r="T65" s="1503">
        <v>41423530</v>
      </c>
      <c r="U65" s="1505">
        <v>39725000</v>
      </c>
      <c r="V65" s="1505">
        <v>27401666</v>
      </c>
      <c r="W65" s="2587">
        <v>20</v>
      </c>
      <c r="X65" s="2558" t="s">
        <v>1462</v>
      </c>
      <c r="Y65" s="3484">
        <v>4608</v>
      </c>
      <c r="Z65" s="3484">
        <v>486</v>
      </c>
      <c r="AA65" s="3484">
        <v>4992</v>
      </c>
      <c r="AB65" s="3484">
        <v>448</v>
      </c>
      <c r="AC65" s="3484">
        <v>2714</v>
      </c>
      <c r="AD65" s="3484">
        <v>20</v>
      </c>
      <c r="AE65" s="3484">
        <v>765</v>
      </c>
      <c r="AF65" s="3484">
        <v>92</v>
      </c>
      <c r="AG65" s="3484">
        <v>5500</v>
      </c>
      <c r="AH65" s="3484">
        <v>656</v>
      </c>
      <c r="AI65" s="3484">
        <v>594</v>
      </c>
      <c r="AJ65" s="3484">
        <v>166</v>
      </c>
      <c r="AK65" s="3484">
        <v>40</v>
      </c>
      <c r="AL65" s="3484"/>
      <c r="AM65" s="3484">
        <v>50</v>
      </c>
      <c r="AN65" s="3484"/>
      <c r="AO65" s="3484"/>
      <c r="AP65" s="3484"/>
      <c r="AQ65" s="3484"/>
      <c r="AR65" s="3484"/>
      <c r="AS65" s="3487"/>
      <c r="AT65" s="3487"/>
      <c r="AU65" s="3487"/>
      <c r="AV65" s="3487"/>
      <c r="AW65" s="3487">
        <v>100</v>
      </c>
      <c r="AX65" s="3487"/>
      <c r="AY65" s="3487">
        <v>10</v>
      </c>
      <c r="AZ65" s="3487"/>
      <c r="BA65" s="3487"/>
      <c r="BB65" s="3487"/>
      <c r="BC65" s="3487">
        <f>Y65+AA65</f>
        <v>9600</v>
      </c>
      <c r="BD65" s="3487">
        <f>Z65+AB65+AD65+AF65+AH65+AJ65</f>
        <v>1868</v>
      </c>
      <c r="BE65" s="3487">
        <v>14</v>
      </c>
      <c r="BF65" s="3339">
        <v>97504426</v>
      </c>
      <c r="BG65" s="3339">
        <v>63375000</v>
      </c>
      <c r="BH65" s="3856">
        <f>BG65/BF65</f>
        <v>0.64997049467272383</v>
      </c>
      <c r="BI65" s="3487" t="s">
        <v>1425</v>
      </c>
      <c r="BJ65" s="2977" t="s">
        <v>1500</v>
      </c>
      <c r="BK65" s="3852">
        <v>43466</v>
      </c>
      <c r="BL65" s="3852">
        <v>43482</v>
      </c>
      <c r="BM65" s="3852">
        <v>43829</v>
      </c>
      <c r="BN65" s="3852">
        <v>43809</v>
      </c>
      <c r="BO65" s="2977" t="s">
        <v>1501</v>
      </c>
    </row>
    <row r="66" spans="1:67" ht="114" x14ac:dyDescent="0.25">
      <c r="A66" s="3868"/>
      <c r="B66" s="3868"/>
      <c r="C66" s="3115"/>
      <c r="D66" s="3115"/>
      <c r="E66" s="3115"/>
      <c r="F66" s="3115"/>
      <c r="G66" s="2561">
        <v>123</v>
      </c>
      <c r="H66" s="2575" t="s">
        <v>1603</v>
      </c>
      <c r="I66" s="2563" t="s">
        <v>1604</v>
      </c>
      <c r="J66" s="2579">
        <v>4</v>
      </c>
      <c r="K66" s="2579">
        <v>1.8</v>
      </c>
      <c r="L66" s="3840"/>
      <c r="M66" s="3840"/>
      <c r="N66" s="3823"/>
      <c r="O66" s="2574">
        <f>T66/P65</f>
        <v>0.11284434079394784</v>
      </c>
      <c r="P66" s="3414"/>
      <c r="Q66" s="3860"/>
      <c r="R66" s="2563" t="s">
        <v>1605</v>
      </c>
      <c r="S66" s="2575" t="s">
        <v>1606</v>
      </c>
      <c r="T66" s="1503">
        <v>19000000</v>
      </c>
      <c r="U66" s="1505">
        <v>6875000</v>
      </c>
      <c r="V66" s="1505">
        <v>2660000</v>
      </c>
      <c r="W66" s="2587">
        <v>20</v>
      </c>
      <c r="X66" s="2558" t="s">
        <v>1462</v>
      </c>
      <c r="Y66" s="3485"/>
      <c r="Z66" s="3485"/>
      <c r="AA66" s="3485"/>
      <c r="AB66" s="3485"/>
      <c r="AC66" s="3485"/>
      <c r="AD66" s="3485"/>
      <c r="AE66" s="3485"/>
      <c r="AF66" s="3485"/>
      <c r="AG66" s="3485"/>
      <c r="AH66" s="3485"/>
      <c r="AI66" s="3485"/>
      <c r="AJ66" s="3485"/>
      <c r="AK66" s="3485"/>
      <c r="AL66" s="3485"/>
      <c r="AM66" s="3485"/>
      <c r="AN66" s="3485"/>
      <c r="AO66" s="3485"/>
      <c r="AP66" s="3485"/>
      <c r="AQ66" s="3485"/>
      <c r="AR66" s="3485"/>
      <c r="AS66" s="3488"/>
      <c r="AT66" s="3488"/>
      <c r="AU66" s="3488"/>
      <c r="AV66" s="3488"/>
      <c r="AW66" s="3488"/>
      <c r="AX66" s="3488"/>
      <c r="AY66" s="3488"/>
      <c r="AZ66" s="3488"/>
      <c r="BA66" s="3488"/>
      <c r="BB66" s="3488"/>
      <c r="BC66" s="3488"/>
      <c r="BD66" s="3488"/>
      <c r="BE66" s="3488"/>
      <c r="BF66" s="3123"/>
      <c r="BG66" s="3123"/>
      <c r="BH66" s="3857"/>
      <c r="BI66" s="3488"/>
      <c r="BJ66" s="2966"/>
      <c r="BK66" s="3874"/>
      <c r="BL66" s="3874"/>
      <c r="BM66" s="3874"/>
      <c r="BN66" s="3874"/>
      <c r="BO66" s="2966"/>
    </row>
    <row r="67" spans="1:67" ht="90" x14ac:dyDescent="0.25">
      <c r="A67" s="3868"/>
      <c r="B67" s="3868"/>
      <c r="C67" s="3115"/>
      <c r="D67" s="3115"/>
      <c r="E67" s="3115"/>
      <c r="F67" s="3115"/>
      <c r="G67" s="2561">
        <v>124</v>
      </c>
      <c r="H67" s="2575" t="s">
        <v>1607</v>
      </c>
      <c r="I67" s="2552" t="s">
        <v>1608</v>
      </c>
      <c r="J67" s="2579">
        <v>150</v>
      </c>
      <c r="K67" s="2592">
        <v>44.2</v>
      </c>
      <c r="L67" s="3840"/>
      <c r="M67" s="3840"/>
      <c r="N67" s="3823"/>
      <c r="O67" s="2574">
        <f>T67/P65</f>
        <v>0.26340244811639929</v>
      </c>
      <c r="P67" s="3414"/>
      <c r="Q67" s="3860"/>
      <c r="R67" s="2552" t="s">
        <v>1605</v>
      </c>
      <c r="S67" s="2575" t="s">
        <v>1609</v>
      </c>
      <c r="T67" s="1503">
        <v>44350000</v>
      </c>
      <c r="U67" s="1505">
        <v>15700000</v>
      </c>
      <c r="V67" s="1505">
        <v>11926667</v>
      </c>
      <c r="W67" s="2587">
        <v>20</v>
      </c>
      <c r="X67" s="2558" t="s">
        <v>1462</v>
      </c>
      <c r="Y67" s="3485"/>
      <c r="Z67" s="3485"/>
      <c r="AA67" s="3485"/>
      <c r="AB67" s="3485"/>
      <c r="AC67" s="3485"/>
      <c r="AD67" s="3485"/>
      <c r="AE67" s="3485"/>
      <c r="AF67" s="3485"/>
      <c r="AG67" s="3485"/>
      <c r="AH67" s="3485"/>
      <c r="AI67" s="3485"/>
      <c r="AJ67" s="3485"/>
      <c r="AK67" s="3485"/>
      <c r="AL67" s="3485"/>
      <c r="AM67" s="3485"/>
      <c r="AN67" s="3485"/>
      <c r="AO67" s="3485"/>
      <c r="AP67" s="3485"/>
      <c r="AQ67" s="3485"/>
      <c r="AR67" s="3485"/>
      <c r="AS67" s="3488"/>
      <c r="AT67" s="3488"/>
      <c r="AU67" s="3488"/>
      <c r="AV67" s="3488"/>
      <c r="AW67" s="3488"/>
      <c r="AX67" s="3488"/>
      <c r="AY67" s="3488"/>
      <c r="AZ67" s="3488"/>
      <c r="BA67" s="3488"/>
      <c r="BB67" s="3488"/>
      <c r="BC67" s="3488"/>
      <c r="BD67" s="3488"/>
      <c r="BE67" s="3488"/>
      <c r="BF67" s="3123"/>
      <c r="BG67" s="3123"/>
      <c r="BH67" s="3857"/>
      <c r="BI67" s="3488"/>
      <c r="BJ67" s="2966"/>
      <c r="BK67" s="3874"/>
      <c r="BL67" s="3874"/>
      <c r="BM67" s="3874"/>
      <c r="BN67" s="3874"/>
      <c r="BO67" s="2966"/>
    </row>
    <row r="68" spans="1:67" ht="75" x14ac:dyDescent="0.25">
      <c r="A68" s="3868"/>
      <c r="B68" s="3868"/>
      <c r="C68" s="3115"/>
      <c r="D68" s="3115"/>
      <c r="E68" s="3115"/>
      <c r="F68" s="3115"/>
      <c r="G68" s="2561">
        <v>125</v>
      </c>
      <c r="H68" s="2575" t="s">
        <v>1610</v>
      </c>
      <c r="I68" s="2563" t="s">
        <v>1611</v>
      </c>
      <c r="J68" s="2587">
        <v>760</v>
      </c>
      <c r="K68" s="2587">
        <v>432</v>
      </c>
      <c r="L68" s="3840"/>
      <c r="M68" s="3840"/>
      <c r="N68" s="3823"/>
      <c r="O68" s="2574">
        <f>T68/P65</f>
        <v>0.2619176541585842</v>
      </c>
      <c r="P68" s="3414"/>
      <c r="Q68" s="3860"/>
      <c r="R68" s="2563" t="s">
        <v>1612</v>
      </c>
      <c r="S68" s="2575" t="s">
        <v>1613</v>
      </c>
      <c r="T68" s="1503">
        <v>44100000</v>
      </c>
      <c r="U68" s="1505">
        <v>23433333</v>
      </c>
      <c r="V68" s="1505">
        <v>16236667</v>
      </c>
      <c r="W68" s="2587">
        <v>20</v>
      </c>
      <c r="X68" s="2558" t="s">
        <v>1462</v>
      </c>
      <c r="Y68" s="3485"/>
      <c r="Z68" s="3485"/>
      <c r="AA68" s="3485"/>
      <c r="AB68" s="3485"/>
      <c r="AC68" s="3485"/>
      <c r="AD68" s="3485"/>
      <c r="AE68" s="3485"/>
      <c r="AF68" s="3485"/>
      <c r="AG68" s="3485"/>
      <c r="AH68" s="3485"/>
      <c r="AI68" s="3485"/>
      <c r="AJ68" s="3485"/>
      <c r="AK68" s="3485"/>
      <c r="AL68" s="3485"/>
      <c r="AM68" s="3485"/>
      <c r="AN68" s="3485"/>
      <c r="AO68" s="3485"/>
      <c r="AP68" s="3485"/>
      <c r="AQ68" s="3485"/>
      <c r="AR68" s="3485"/>
      <c r="AS68" s="3488"/>
      <c r="AT68" s="3488"/>
      <c r="AU68" s="3488"/>
      <c r="AV68" s="3488"/>
      <c r="AW68" s="3488"/>
      <c r="AX68" s="3488"/>
      <c r="AY68" s="3488"/>
      <c r="AZ68" s="3488"/>
      <c r="BA68" s="3488"/>
      <c r="BB68" s="3488"/>
      <c r="BC68" s="3488"/>
      <c r="BD68" s="3488"/>
      <c r="BE68" s="3488"/>
      <c r="BF68" s="3123"/>
      <c r="BG68" s="3123"/>
      <c r="BH68" s="3857"/>
      <c r="BI68" s="3488"/>
      <c r="BJ68" s="2966"/>
      <c r="BK68" s="3874"/>
      <c r="BL68" s="3874"/>
      <c r="BM68" s="3874"/>
      <c r="BN68" s="3874"/>
      <c r="BO68" s="2966"/>
    </row>
    <row r="69" spans="1:67" ht="90" x14ac:dyDescent="0.25">
      <c r="A69" s="3868"/>
      <c r="B69" s="3868"/>
      <c r="C69" s="3115"/>
      <c r="D69" s="3115"/>
      <c r="E69" s="3115"/>
      <c r="F69" s="3115"/>
      <c r="G69" s="2561">
        <v>126</v>
      </c>
      <c r="H69" s="2575" t="s">
        <v>1614</v>
      </c>
      <c r="I69" s="2563" t="s">
        <v>1615</v>
      </c>
      <c r="J69" s="2579">
        <v>3326</v>
      </c>
      <c r="K69" s="2579">
        <v>939</v>
      </c>
      <c r="L69" s="3841"/>
      <c r="M69" s="3841"/>
      <c r="N69" s="3811"/>
      <c r="O69" s="2574">
        <f>T69/P65</f>
        <v>0.11581392870957805</v>
      </c>
      <c r="P69" s="3415"/>
      <c r="Q69" s="3861"/>
      <c r="R69" s="2563" t="s">
        <v>1616</v>
      </c>
      <c r="S69" s="2575" t="s">
        <v>1617</v>
      </c>
      <c r="T69" s="1503">
        <v>19500000</v>
      </c>
      <c r="U69" s="1505">
        <v>11771093</v>
      </c>
      <c r="V69" s="1505">
        <v>5150000</v>
      </c>
      <c r="W69" s="2587">
        <v>20</v>
      </c>
      <c r="X69" s="2558" t="s">
        <v>1462</v>
      </c>
      <c r="Y69" s="3486"/>
      <c r="Z69" s="3486"/>
      <c r="AA69" s="3486"/>
      <c r="AB69" s="3486"/>
      <c r="AC69" s="3486"/>
      <c r="AD69" s="3486"/>
      <c r="AE69" s="3486"/>
      <c r="AF69" s="3486"/>
      <c r="AG69" s="3486"/>
      <c r="AH69" s="3486"/>
      <c r="AI69" s="3486"/>
      <c r="AJ69" s="3486"/>
      <c r="AK69" s="3486"/>
      <c r="AL69" s="3486"/>
      <c r="AM69" s="3486"/>
      <c r="AN69" s="3486"/>
      <c r="AO69" s="3486"/>
      <c r="AP69" s="3486"/>
      <c r="AQ69" s="3486"/>
      <c r="AR69" s="3486"/>
      <c r="AS69" s="3489"/>
      <c r="AT69" s="3489"/>
      <c r="AU69" s="3489"/>
      <c r="AV69" s="3489"/>
      <c r="AW69" s="3489"/>
      <c r="AX69" s="3489"/>
      <c r="AY69" s="3489"/>
      <c r="AZ69" s="3489"/>
      <c r="BA69" s="3489"/>
      <c r="BB69" s="3489"/>
      <c r="BC69" s="3489"/>
      <c r="BD69" s="3489"/>
      <c r="BE69" s="3489"/>
      <c r="BF69" s="3124"/>
      <c r="BG69" s="3124"/>
      <c r="BH69" s="3858"/>
      <c r="BI69" s="3489"/>
      <c r="BJ69" s="2967"/>
      <c r="BK69" s="3853"/>
      <c r="BL69" s="3853"/>
      <c r="BM69" s="3853"/>
      <c r="BN69" s="3853"/>
      <c r="BO69" s="2967"/>
    </row>
    <row r="70" spans="1:67" ht="15.75" x14ac:dyDescent="0.25">
      <c r="A70" s="1470" t="s">
        <v>104</v>
      </c>
      <c r="B70" s="1176"/>
      <c r="C70" s="1176"/>
      <c r="D70" s="1176"/>
      <c r="E70" s="1176"/>
      <c r="F70" s="1176"/>
      <c r="G70" s="2584"/>
      <c r="H70" s="1472"/>
      <c r="I70" s="1473"/>
      <c r="J70" s="1474"/>
      <c r="K70" s="1474"/>
      <c r="L70" s="1474"/>
      <c r="M70" s="2593"/>
      <c r="N70" s="1472"/>
      <c r="O70" s="1475"/>
      <c r="P70" s="1498">
        <f>SUM(P8:P69)</f>
        <v>4714794686</v>
      </c>
      <c r="Q70" s="1472"/>
      <c r="R70" s="1476"/>
      <c r="S70" s="1472"/>
      <c r="T70" s="1498">
        <f>SUM(T8:T69)</f>
        <v>4714794686</v>
      </c>
      <c r="U70" s="1498">
        <f t="shared" ref="U70:V70" si="0">SUM(U8:U69)</f>
        <v>1163757939</v>
      </c>
      <c r="V70" s="1498">
        <f t="shared" si="0"/>
        <v>601002380</v>
      </c>
      <c r="W70" s="1477"/>
      <c r="X70" s="2593"/>
      <c r="Y70" s="1176"/>
      <c r="Z70" s="1176"/>
      <c r="AA70" s="1176"/>
      <c r="AB70" s="1176"/>
      <c r="AC70" s="1176"/>
      <c r="AD70" s="1176"/>
      <c r="AE70" s="1176"/>
      <c r="AF70" s="1176"/>
      <c r="AG70" s="1176"/>
      <c r="AH70" s="1176"/>
      <c r="AI70" s="1176"/>
      <c r="AJ70" s="1176"/>
      <c r="AK70" s="1176"/>
      <c r="AL70" s="1176"/>
      <c r="AM70" s="1176"/>
      <c r="AN70" s="1176"/>
      <c r="AO70" s="1176"/>
      <c r="AP70" s="1176"/>
      <c r="AQ70" s="1176"/>
      <c r="AR70" s="1176"/>
      <c r="AS70" s="1176"/>
      <c r="AT70" s="1176"/>
      <c r="AU70" s="1176"/>
      <c r="AV70" s="1176"/>
      <c r="AW70" s="1176"/>
      <c r="AX70" s="1176"/>
      <c r="AY70" s="1176"/>
      <c r="AZ70" s="1176"/>
      <c r="BA70" s="1176"/>
      <c r="BB70" s="1176"/>
      <c r="BC70" s="1176"/>
      <c r="BD70" s="1176"/>
      <c r="BE70" s="1176"/>
      <c r="BF70" s="2604">
        <f>SUM(BF12:BF53,BF55,BF60,BF65)</f>
        <v>1163757939</v>
      </c>
      <c r="BG70" s="2604">
        <f>SUM(BG12:BG53,BG55,BG60,BG65)</f>
        <v>601002380</v>
      </c>
      <c r="BH70" s="1478"/>
      <c r="BI70" s="1176"/>
      <c r="BJ70" s="1176"/>
      <c r="BK70" s="1479"/>
      <c r="BL70" s="1479"/>
      <c r="BM70" s="1480"/>
      <c r="BN70" s="1480"/>
      <c r="BO70" s="2594"/>
    </row>
    <row r="71" spans="1:67" ht="15" x14ac:dyDescent="0.25">
      <c r="I71" s="1482"/>
      <c r="J71" s="1335"/>
      <c r="K71" s="1335"/>
      <c r="T71" s="1335"/>
      <c r="U71" s="1335"/>
      <c r="V71" s="1335"/>
    </row>
    <row r="72" spans="1:67" ht="15" x14ac:dyDescent="0.25">
      <c r="I72" s="1482"/>
    </row>
    <row r="73" spans="1:67" ht="15" x14ac:dyDescent="0.25">
      <c r="I73" s="1482"/>
      <c r="AA73" s="1487"/>
      <c r="AB73" s="1487"/>
      <c r="AC73" s="1487"/>
      <c r="AD73" s="1487"/>
      <c r="AE73" s="1488"/>
      <c r="AF73" s="1488"/>
      <c r="AG73" s="1489"/>
      <c r="AH73" s="1489"/>
      <c r="AI73" s="1489"/>
      <c r="AJ73" s="1489"/>
      <c r="AK73" s="1489"/>
      <c r="AL73" s="1489"/>
      <c r="AM73" s="1489"/>
      <c r="AN73" s="1489"/>
      <c r="AO73" s="1489"/>
      <c r="AP73" s="1489"/>
    </row>
    <row r="74" spans="1:67" ht="15" x14ac:dyDescent="0.25">
      <c r="I74" s="1482"/>
    </row>
    <row r="79" spans="1:67" ht="15" x14ac:dyDescent="0.25">
      <c r="H79" s="3899" t="s">
        <v>1618</v>
      </c>
      <c r="I79" s="3899"/>
      <c r="J79" s="3899"/>
      <c r="K79" s="2565"/>
    </row>
    <row r="80" spans="1:67" x14ac:dyDescent="0.25">
      <c r="H80" s="1268" t="s">
        <v>1619</v>
      </c>
    </row>
  </sheetData>
  <sheetProtection password="CBEB" sheet="1" objects="1" scenarios="1"/>
  <mergeCells count="672">
    <mergeCell ref="BL65:BL69"/>
    <mergeCell ref="BM65:BM69"/>
    <mergeCell ref="BN65:BN69"/>
    <mergeCell ref="BO65:BO69"/>
    <mergeCell ref="H79:J79"/>
    <mergeCell ref="BF65:BF69"/>
    <mergeCell ref="BG65:BG69"/>
    <mergeCell ref="BH65:BH69"/>
    <mergeCell ref="BI65:BI69"/>
    <mergeCell ref="BJ65:BJ69"/>
    <mergeCell ref="BK65:BK69"/>
    <mergeCell ref="AZ65:AZ69"/>
    <mergeCell ref="BA65:BA69"/>
    <mergeCell ref="BB65:BB69"/>
    <mergeCell ref="BC65:BC69"/>
    <mergeCell ref="BD65:BD69"/>
    <mergeCell ref="BE65:BE69"/>
    <mergeCell ref="AT65:AT69"/>
    <mergeCell ref="AU65:AU69"/>
    <mergeCell ref="AV65:AV69"/>
    <mergeCell ref="AW65:AW69"/>
    <mergeCell ref="AX65:AX69"/>
    <mergeCell ref="AY65:AY69"/>
    <mergeCell ref="AN65:AN69"/>
    <mergeCell ref="AO65:AO69"/>
    <mergeCell ref="AP65:AP69"/>
    <mergeCell ref="AQ65:AQ69"/>
    <mergeCell ref="AR65:AR69"/>
    <mergeCell ref="AS65:AS69"/>
    <mergeCell ref="AH65:AH69"/>
    <mergeCell ref="AI65:AI69"/>
    <mergeCell ref="AJ65:AJ69"/>
    <mergeCell ref="AK65:AK69"/>
    <mergeCell ref="AL65:AL69"/>
    <mergeCell ref="AM65:AM69"/>
    <mergeCell ref="AB65:AB69"/>
    <mergeCell ref="AC65:AC69"/>
    <mergeCell ref="AD65:AD69"/>
    <mergeCell ref="AE65:AE69"/>
    <mergeCell ref="AF65:AF69"/>
    <mergeCell ref="AG65:AG69"/>
    <mergeCell ref="N65:N69"/>
    <mergeCell ref="P65:P69"/>
    <mergeCell ref="Q65:Q69"/>
    <mergeCell ref="Y65:Y69"/>
    <mergeCell ref="Z65:Z69"/>
    <mergeCell ref="AA65:AA69"/>
    <mergeCell ref="BK60:BK61"/>
    <mergeCell ref="BL60:BL61"/>
    <mergeCell ref="BM60:BM61"/>
    <mergeCell ref="BN60:BN61"/>
    <mergeCell ref="BO60:BO61"/>
    <mergeCell ref="A63:B69"/>
    <mergeCell ref="C64:D69"/>
    <mergeCell ref="E65:F69"/>
    <mergeCell ref="L65:L69"/>
    <mergeCell ref="M65:M69"/>
    <mergeCell ref="BE60:BE61"/>
    <mergeCell ref="BF60:BF61"/>
    <mergeCell ref="BG60:BG61"/>
    <mergeCell ref="BH60:BH61"/>
    <mergeCell ref="BI60:BI61"/>
    <mergeCell ref="BJ60:BJ61"/>
    <mergeCell ref="AY60:AY61"/>
    <mergeCell ref="AZ60:AZ61"/>
    <mergeCell ref="BA60:BA61"/>
    <mergeCell ref="BB60:BB61"/>
    <mergeCell ref="BC60:BC61"/>
    <mergeCell ref="BD60:BD61"/>
    <mergeCell ref="AS60:AS61"/>
    <mergeCell ref="AT60:AT61"/>
    <mergeCell ref="AU60:AU61"/>
    <mergeCell ref="AV60:AV61"/>
    <mergeCell ref="AW60:AW61"/>
    <mergeCell ref="AX60:AX61"/>
    <mergeCell ref="AM60:AM61"/>
    <mergeCell ref="AN60:AN61"/>
    <mergeCell ref="AO60:AO61"/>
    <mergeCell ref="AP60:AP61"/>
    <mergeCell ref="AQ60:AQ61"/>
    <mergeCell ref="AR60:AR61"/>
    <mergeCell ref="AG60:AG61"/>
    <mergeCell ref="AH60:AH61"/>
    <mergeCell ref="AI60:AI61"/>
    <mergeCell ref="AJ60:AJ61"/>
    <mergeCell ref="AK60:AK61"/>
    <mergeCell ref="AL60:AL61"/>
    <mergeCell ref="AA60:AA61"/>
    <mergeCell ref="AB60:AB61"/>
    <mergeCell ref="AC60:AC61"/>
    <mergeCell ref="AD60:AD61"/>
    <mergeCell ref="AE60:AE61"/>
    <mergeCell ref="AF60:AF61"/>
    <mergeCell ref="BO55:BO58"/>
    <mergeCell ref="R57:R58"/>
    <mergeCell ref="E60:F61"/>
    <mergeCell ref="L60:L61"/>
    <mergeCell ref="M60:M61"/>
    <mergeCell ref="N60:N61"/>
    <mergeCell ref="P60:P61"/>
    <mergeCell ref="Q60:Q61"/>
    <mergeCell ref="Y60:Y61"/>
    <mergeCell ref="Z60:Z61"/>
    <mergeCell ref="BI55:BI58"/>
    <mergeCell ref="BJ55:BJ58"/>
    <mergeCell ref="BK55:BK58"/>
    <mergeCell ref="BL55:BL58"/>
    <mergeCell ref="BM55:BM58"/>
    <mergeCell ref="BN55:BN58"/>
    <mergeCell ref="BC55:BC58"/>
    <mergeCell ref="BD55:BD58"/>
    <mergeCell ref="BE55:BE58"/>
    <mergeCell ref="BF55:BF58"/>
    <mergeCell ref="BG55:BG58"/>
    <mergeCell ref="BH55:BH58"/>
    <mergeCell ref="AW55:AW58"/>
    <mergeCell ref="AX55:AX58"/>
    <mergeCell ref="AY55:AY58"/>
    <mergeCell ref="AZ55:AZ58"/>
    <mergeCell ref="BA55:BA58"/>
    <mergeCell ref="BB55:BB58"/>
    <mergeCell ref="AQ55:AQ58"/>
    <mergeCell ref="AR55:AR58"/>
    <mergeCell ref="AS55:AS58"/>
    <mergeCell ref="AT55:AT58"/>
    <mergeCell ref="AU55:AU58"/>
    <mergeCell ref="AV55:AV58"/>
    <mergeCell ref="AK55:AK58"/>
    <mergeCell ref="AL55:AL58"/>
    <mergeCell ref="AM55:AM58"/>
    <mergeCell ref="AN55:AN58"/>
    <mergeCell ref="AO55:AO58"/>
    <mergeCell ref="AP55:AP58"/>
    <mergeCell ref="AE55:AE58"/>
    <mergeCell ref="AF55:AF58"/>
    <mergeCell ref="AG55:AG58"/>
    <mergeCell ref="AH55:AH58"/>
    <mergeCell ref="AI55:AI58"/>
    <mergeCell ref="AJ55:AJ58"/>
    <mergeCell ref="Y55:Y58"/>
    <mergeCell ref="Z55:Z58"/>
    <mergeCell ref="AA55:AA58"/>
    <mergeCell ref="AB55:AB58"/>
    <mergeCell ref="AC55:AC58"/>
    <mergeCell ref="AD55:AD58"/>
    <mergeCell ref="E55:F58"/>
    <mergeCell ref="L55:L58"/>
    <mergeCell ref="M55:M58"/>
    <mergeCell ref="N55:N58"/>
    <mergeCell ref="P55:P58"/>
    <mergeCell ref="Q55:Q58"/>
    <mergeCell ref="BJ52:BJ53"/>
    <mergeCell ref="BK52:BK53"/>
    <mergeCell ref="BL52:BL53"/>
    <mergeCell ref="BM52:BM53"/>
    <mergeCell ref="BN52:BN53"/>
    <mergeCell ref="BO52:BO53"/>
    <mergeCell ref="BD52:BD53"/>
    <mergeCell ref="BE52:BE53"/>
    <mergeCell ref="BF52:BF53"/>
    <mergeCell ref="BG52:BG53"/>
    <mergeCell ref="BH52:BH53"/>
    <mergeCell ref="BI52:BI53"/>
    <mergeCell ref="AX52:AX53"/>
    <mergeCell ref="AY52:AY53"/>
    <mergeCell ref="AZ52:AZ53"/>
    <mergeCell ref="BA52:BA53"/>
    <mergeCell ref="BB52:BB53"/>
    <mergeCell ref="BC52:BC53"/>
    <mergeCell ref="AR52:AR53"/>
    <mergeCell ref="AS52:AS53"/>
    <mergeCell ref="AT52:AT53"/>
    <mergeCell ref="AU52:AU53"/>
    <mergeCell ref="AV52:AV53"/>
    <mergeCell ref="AW52:AW53"/>
    <mergeCell ref="AL52:AL53"/>
    <mergeCell ref="AM52:AM53"/>
    <mergeCell ref="AN52:AN53"/>
    <mergeCell ref="AO52:AO53"/>
    <mergeCell ref="AP52:AP53"/>
    <mergeCell ref="AQ52:AQ53"/>
    <mergeCell ref="AF52:AF53"/>
    <mergeCell ref="AG52:AG53"/>
    <mergeCell ref="AH52:AH53"/>
    <mergeCell ref="AI52:AI53"/>
    <mergeCell ref="AJ52:AJ53"/>
    <mergeCell ref="AK52:AK53"/>
    <mergeCell ref="AB52:AB53"/>
    <mergeCell ref="AC52:AC53"/>
    <mergeCell ref="AD52:AD53"/>
    <mergeCell ref="AE52:AE53"/>
    <mergeCell ref="T52:T53"/>
    <mergeCell ref="U52:U53"/>
    <mergeCell ref="V52:V53"/>
    <mergeCell ref="W52:W53"/>
    <mergeCell ref="X52:X53"/>
    <mergeCell ref="Y52:Y53"/>
    <mergeCell ref="S52:S53"/>
    <mergeCell ref="G52:G53"/>
    <mergeCell ref="H52:H53"/>
    <mergeCell ref="I52:I53"/>
    <mergeCell ref="J52:J53"/>
    <mergeCell ref="K52:K53"/>
    <mergeCell ref="L52:L53"/>
    <mergeCell ref="Z52:Z53"/>
    <mergeCell ref="AA52:AA53"/>
    <mergeCell ref="BK49:BK51"/>
    <mergeCell ref="BL49:BL51"/>
    <mergeCell ref="BM49:BM51"/>
    <mergeCell ref="BN49:BN51"/>
    <mergeCell ref="BO49:BO51"/>
    <mergeCell ref="S50:S51"/>
    <mergeCell ref="BE49:BE51"/>
    <mergeCell ref="BF49:BF51"/>
    <mergeCell ref="BG49:BG51"/>
    <mergeCell ref="BH49:BH51"/>
    <mergeCell ref="BI49:BI51"/>
    <mergeCell ref="BJ49:BJ51"/>
    <mergeCell ref="AY49:AY51"/>
    <mergeCell ref="AZ49:AZ51"/>
    <mergeCell ref="BA49:BA51"/>
    <mergeCell ref="BB49:BB51"/>
    <mergeCell ref="BC49:BC51"/>
    <mergeCell ref="BD49:BD51"/>
    <mergeCell ref="AS49:AS51"/>
    <mergeCell ref="AT49:AT51"/>
    <mergeCell ref="AU49:AU51"/>
    <mergeCell ref="AV49:AV51"/>
    <mergeCell ref="AW49:AW51"/>
    <mergeCell ref="AX49:AX51"/>
    <mergeCell ref="AM49:AM51"/>
    <mergeCell ref="AN49:AN51"/>
    <mergeCell ref="AO49:AO51"/>
    <mergeCell ref="AP49:AP51"/>
    <mergeCell ref="AQ49:AQ51"/>
    <mergeCell ref="AR49:AR51"/>
    <mergeCell ref="AG49:AG51"/>
    <mergeCell ref="AH49:AH51"/>
    <mergeCell ref="AI49:AI51"/>
    <mergeCell ref="AJ49:AJ51"/>
    <mergeCell ref="AK49:AK51"/>
    <mergeCell ref="AL49:AL51"/>
    <mergeCell ref="AA49:AA51"/>
    <mergeCell ref="AB49:AB51"/>
    <mergeCell ref="AC49:AC51"/>
    <mergeCell ref="AD49:AD51"/>
    <mergeCell ref="AE49:AE51"/>
    <mergeCell ref="AF49:AF51"/>
    <mergeCell ref="O49:O51"/>
    <mergeCell ref="P49:P51"/>
    <mergeCell ref="Q49:Q51"/>
    <mergeCell ref="R49:R51"/>
    <mergeCell ref="Y49:Y51"/>
    <mergeCell ref="Z49:Z51"/>
    <mergeCell ref="BN43:BN48"/>
    <mergeCell ref="BO43:BO48"/>
    <mergeCell ref="S44:S45"/>
    <mergeCell ref="G49:G51"/>
    <mergeCell ref="H49:H51"/>
    <mergeCell ref="I49:I51"/>
    <mergeCell ref="J49:J51"/>
    <mergeCell ref="K49:K51"/>
    <mergeCell ref="M49:M51"/>
    <mergeCell ref="N49:N51"/>
    <mergeCell ref="BH43:BH48"/>
    <mergeCell ref="BI43:BI48"/>
    <mergeCell ref="BJ43:BJ48"/>
    <mergeCell ref="BK43:BK48"/>
    <mergeCell ref="BL43:BL48"/>
    <mergeCell ref="BM43:BM48"/>
    <mergeCell ref="BB43:BB48"/>
    <mergeCell ref="BC43:BC48"/>
    <mergeCell ref="BD43:BD48"/>
    <mergeCell ref="BE43:BE48"/>
    <mergeCell ref="BF43:BF48"/>
    <mergeCell ref="BG43:BG48"/>
    <mergeCell ref="AV43:AV48"/>
    <mergeCell ref="AW43:AW48"/>
    <mergeCell ref="AX43:AX48"/>
    <mergeCell ref="AY43:AY48"/>
    <mergeCell ref="AZ43:AZ48"/>
    <mergeCell ref="BA43:BA48"/>
    <mergeCell ref="AP43:AP48"/>
    <mergeCell ref="AQ43:AQ48"/>
    <mergeCell ref="AR43:AR48"/>
    <mergeCell ref="AS43:AS48"/>
    <mergeCell ref="AT43:AT48"/>
    <mergeCell ref="AU43:AU48"/>
    <mergeCell ref="AJ43:AJ48"/>
    <mergeCell ref="AK43:AK48"/>
    <mergeCell ref="AL43:AL48"/>
    <mergeCell ref="AM43:AM48"/>
    <mergeCell ref="AN43:AN48"/>
    <mergeCell ref="AO43:AO48"/>
    <mergeCell ref="AD43:AD48"/>
    <mergeCell ref="AE43:AE48"/>
    <mergeCell ref="AF43:AF48"/>
    <mergeCell ref="AG43:AG48"/>
    <mergeCell ref="AH43:AH48"/>
    <mergeCell ref="AI43:AI48"/>
    <mergeCell ref="Y43:Y48"/>
    <mergeCell ref="Z43:Z48"/>
    <mergeCell ref="AA43:AA48"/>
    <mergeCell ref="AB43:AB48"/>
    <mergeCell ref="AC43:AC48"/>
    <mergeCell ref="L43:L48"/>
    <mergeCell ref="M43:M48"/>
    <mergeCell ref="N43:N48"/>
    <mergeCell ref="O43:O45"/>
    <mergeCell ref="P43:P48"/>
    <mergeCell ref="Q43:Q48"/>
    <mergeCell ref="J38:J40"/>
    <mergeCell ref="K38:K40"/>
    <mergeCell ref="O38:O40"/>
    <mergeCell ref="R38:R41"/>
    <mergeCell ref="E43:F53"/>
    <mergeCell ref="G43:G45"/>
    <mergeCell ref="H43:H45"/>
    <mergeCell ref="I43:I45"/>
    <mergeCell ref="J43:J45"/>
    <mergeCell ref="K43:K45"/>
    <mergeCell ref="R43:R46"/>
    <mergeCell ref="M52:M53"/>
    <mergeCell ref="N52:N53"/>
    <mergeCell ref="O52:O53"/>
    <mergeCell ref="P52:P53"/>
    <mergeCell ref="Q52:Q53"/>
    <mergeCell ref="BO34:BO41"/>
    <mergeCell ref="G36:G37"/>
    <mergeCell ref="H36:H37"/>
    <mergeCell ref="I36:I37"/>
    <mergeCell ref="J36:J37"/>
    <mergeCell ref="K36:K37"/>
    <mergeCell ref="O36:O37"/>
    <mergeCell ref="G38:G40"/>
    <mergeCell ref="H38:H40"/>
    <mergeCell ref="I38:I40"/>
    <mergeCell ref="BI34:BI41"/>
    <mergeCell ref="BJ34:BJ41"/>
    <mergeCell ref="BK34:BK41"/>
    <mergeCell ref="BL34:BL41"/>
    <mergeCell ref="BM34:BM41"/>
    <mergeCell ref="BN34:BN41"/>
    <mergeCell ref="BC34:BC41"/>
    <mergeCell ref="BD34:BD41"/>
    <mergeCell ref="BE34:BE41"/>
    <mergeCell ref="BF34:BF41"/>
    <mergeCell ref="BG34:BG41"/>
    <mergeCell ref="BH34:BH41"/>
    <mergeCell ref="AW34:AW41"/>
    <mergeCell ref="AX34:AX41"/>
    <mergeCell ref="AY34:AY41"/>
    <mergeCell ref="AZ34:AZ41"/>
    <mergeCell ref="BA34:BA41"/>
    <mergeCell ref="BB34:BB41"/>
    <mergeCell ref="AQ34:AQ41"/>
    <mergeCell ref="AR34:AR41"/>
    <mergeCell ref="AS34:AS41"/>
    <mergeCell ref="AT34:AT41"/>
    <mergeCell ref="AU34:AU41"/>
    <mergeCell ref="AV34:AV41"/>
    <mergeCell ref="AK34:AK41"/>
    <mergeCell ref="AL34:AL41"/>
    <mergeCell ref="AM34:AM41"/>
    <mergeCell ref="AN34:AN41"/>
    <mergeCell ref="AO34:AO41"/>
    <mergeCell ref="AP34:AP41"/>
    <mergeCell ref="AE34:AE41"/>
    <mergeCell ref="AF34:AF41"/>
    <mergeCell ref="AG34:AG41"/>
    <mergeCell ref="AH34:AH41"/>
    <mergeCell ref="AI34:AI41"/>
    <mergeCell ref="AJ34:AJ41"/>
    <mergeCell ref="Y34:Y41"/>
    <mergeCell ref="Z34:Z41"/>
    <mergeCell ref="AA34:AA41"/>
    <mergeCell ref="AB34:AB41"/>
    <mergeCell ref="AC34:AC41"/>
    <mergeCell ref="AD34:AD41"/>
    <mergeCell ref="M34:M41"/>
    <mergeCell ref="N34:N41"/>
    <mergeCell ref="O34:O35"/>
    <mergeCell ref="P34:P41"/>
    <mergeCell ref="Q34:Q41"/>
    <mergeCell ref="R34:R37"/>
    <mergeCell ref="BO26:BO30"/>
    <mergeCell ref="A32:B61"/>
    <mergeCell ref="C33:D61"/>
    <mergeCell ref="E34:F41"/>
    <mergeCell ref="G34:G35"/>
    <mergeCell ref="H34:H35"/>
    <mergeCell ref="I34:I35"/>
    <mergeCell ref="J34:J35"/>
    <mergeCell ref="K34:K35"/>
    <mergeCell ref="L34:L41"/>
    <mergeCell ref="BI26:BI30"/>
    <mergeCell ref="BJ26:BJ30"/>
    <mergeCell ref="BK26:BK30"/>
    <mergeCell ref="BL26:BL30"/>
    <mergeCell ref="BM26:BM30"/>
    <mergeCell ref="BN26:BN30"/>
    <mergeCell ref="BC26:BC30"/>
    <mergeCell ref="BD26:BD30"/>
    <mergeCell ref="BE26:BE30"/>
    <mergeCell ref="BF26:BF30"/>
    <mergeCell ref="BG26:BG30"/>
    <mergeCell ref="BH26:BH30"/>
    <mergeCell ref="AW26:AW30"/>
    <mergeCell ref="AX26:AX30"/>
    <mergeCell ref="AY26:AY30"/>
    <mergeCell ref="AZ26:AZ30"/>
    <mergeCell ref="BA26:BA30"/>
    <mergeCell ref="BB26:BB30"/>
    <mergeCell ref="AQ26:AQ30"/>
    <mergeCell ref="AR26:AR30"/>
    <mergeCell ref="AS26:AS30"/>
    <mergeCell ref="AT26:AT30"/>
    <mergeCell ref="AU26:AU30"/>
    <mergeCell ref="AV26:AV30"/>
    <mergeCell ref="AK26:AK30"/>
    <mergeCell ref="AL26:AL30"/>
    <mergeCell ref="AM26:AM30"/>
    <mergeCell ref="AN26:AN30"/>
    <mergeCell ref="AO26:AO30"/>
    <mergeCell ref="AP26:AP30"/>
    <mergeCell ref="AE26:AE30"/>
    <mergeCell ref="AF26:AF30"/>
    <mergeCell ref="AG26:AG30"/>
    <mergeCell ref="AH26:AH30"/>
    <mergeCell ref="AI26:AI30"/>
    <mergeCell ref="AJ26:AJ30"/>
    <mergeCell ref="Y26:Y30"/>
    <mergeCell ref="Z26:Z30"/>
    <mergeCell ref="AA26:AA30"/>
    <mergeCell ref="AB26:AB30"/>
    <mergeCell ref="AC26:AC30"/>
    <mergeCell ref="AD26:AD30"/>
    <mergeCell ref="L24:L25"/>
    <mergeCell ref="O24:O25"/>
    <mergeCell ref="S24:S25"/>
    <mergeCell ref="L26:L30"/>
    <mergeCell ref="M26:M30"/>
    <mergeCell ref="N26:N30"/>
    <mergeCell ref="P26:P30"/>
    <mergeCell ref="Q26:Q30"/>
    <mergeCell ref="R26:R30"/>
    <mergeCell ref="BK22:BK25"/>
    <mergeCell ref="BL22:BL25"/>
    <mergeCell ref="BM22:BM25"/>
    <mergeCell ref="BN22:BN25"/>
    <mergeCell ref="BO22:BO25"/>
    <mergeCell ref="G24:G25"/>
    <mergeCell ref="H24:H25"/>
    <mergeCell ref="I24:I25"/>
    <mergeCell ref="J24:J25"/>
    <mergeCell ref="K24:K25"/>
    <mergeCell ref="BE22:BE25"/>
    <mergeCell ref="BF22:BF25"/>
    <mergeCell ref="BG22:BG25"/>
    <mergeCell ref="BH22:BH25"/>
    <mergeCell ref="BI22:BI25"/>
    <mergeCell ref="BJ22:BJ25"/>
    <mergeCell ref="AY22:AY25"/>
    <mergeCell ref="AZ22:AZ25"/>
    <mergeCell ref="BA22:BA25"/>
    <mergeCell ref="BB22:BB25"/>
    <mergeCell ref="BC22:BC25"/>
    <mergeCell ref="BD22:BD25"/>
    <mergeCell ref="AS22:AS25"/>
    <mergeCell ref="AT22:AT25"/>
    <mergeCell ref="AU22:AU25"/>
    <mergeCell ref="AV22:AV25"/>
    <mergeCell ref="AW22:AW25"/>
    <mergeCell ref="AX22:AX25"/>
    <mergeCell ref="AM22:AM25"/>
    <mergeCell ref="AN22:AN25"/>
    <mergeCell ref="AO22:AO25"/>
    <mergeCell ref="AP22:AP25"/>
    <mergeCell ref="AQ22:AQ25"/>
    <mergeCell ref="AR22:AR25"/>
    <mergeCell ref="AG22:AG25"/>
    <mergeCell ref="AH22:AH25"/>
    <mergeCell ref="AI22:AI25"/>
    <mergeCell ref="AJ22:AJ25"/>
    <mergeCell ref="AK22:AK25"/>
    <mergeCell ref="AL22:AL25"/>
    <mergeCell ref="AA22:AA25"/>
    <mergeCell ref="AB22:AB25"/>
    <mergeCell ref="AC22:AC25"/>
    <mergeCell ref="AD22:AD25"/>
    <mergeCell ref="AE22:AE25"/>
    <mergeCell ref="AF22:AF25"/>
    <mergeCell ref="O22:O23"/>
    <mergeCell ref="P22:P25"/>
    <mergeCell ref="Q22:Q25"/>
    <mergeCell ref="R22:R25"/>
    <mergeCell ref="Y22:Y25"/>
    <mergeCell ref="Z22:Z25"/>
    <mergeCell ref="BO19:BO20"/>
    <mergeCell ref="E22:F30"/>
    <mergeCell ref="G22:G23"/>
    <mergeCell ref="H22:H23"/>
    <mergeCell ref="I22:I23"/>
    <mergeCell ref="J22:J23"/>
    <mergeCell ref="K22:K23"/>
    <mergeCell ref="L22:L23"/>
    <mergeCell ref="M22:M25"/>
    <mergeCell ref="N22:N25"/>
    <mergeCell ref="BI19:BI20"/>
    <mergeCell ref="BJ19:BJ20"/>
    <mergeCell ref="BK19:BK20"/>
    <mergeCell ref="BL19:BL20"/>
    <mergeCell ref="BM19:BM20"/>
    <mergeCell ref="BN19:BN20"/>
    <mergeCell ref="BC19:BC20"/>
    <mergeCell ref="BD19:BD20"/>
    <mergeCell ref="BE19:BE20"/>
    <mergeCell ref="BF19:BF20"/>
    <mergeCell ref="BG19:BG20"/>
    <mergeCell ref="BH19:BH20"/>
    <mergeCell ref="AW19:AW20"/>
    <mergeCell ref="AX19:AX20"/>
    <mergeCell ref="AY19:AY20"/>
    <mergeCell ref="AZ19:AZ20"/>
    <mergeCell ref="BA19:BA20"/>
    <mergeCell ref="BB19:BB20"/>
    <mergeCell ref="AQ19:AQ20"/>
    <mergeCell ref="AR19:AR20"/>
    <mergeCell ref="AS19:AS20"/>
    <mergeCell ref="AT19:AT20"/>
    <mergeCell ref="AU19:AU20"/>
    <mergeCell ref="AV19:AV20"/>
    <mergeCell ref="AK19:AK20"/>
    <mergeCell ref="AL19:AL20"/>
    <mergeCell ref="AM19:AM20"/>
    <mergeCell ref="AN19:AN20"/>
    <mergeCell ref="AO19:AO20"/>
    <mergeCell ref="AP19:AP20"/>
    <mergeCell ref="AE19:AE20"/>
    <mergeCell ref="AF19:AF20"/>
    <mergeCell ref="AG19:AG20"/>
    <mergeCell ref="AH19:AH20"/>
    <mergeCell ref="AI19:AI20"/>
    <mergeCell ref="AJ19:AJ20"/>
    <mergeCell ref="Y19:Y20"/>
    <mergeCell ref="Z19:Z20"/>
    <mergeCell ref="AA19:AA20"/>
    <mergeCell ref="AB19:AB20"/>
    <mergeCell ref="AC19:AC20"/>
    <mergeCell ref="AD19:AD20"/>
    <mergeCell ref="L19:L20"/>
    <mergeCell ref="M19:M20"/>
    <mergeCell ref="N19:N20"/>
    <mergeCell ref="P19:P20"/>
    <mergeCell ref="Q19:Q20"/>
    <mergeCell ref="R19:R20"/>
    <mergeCell ref="BK12:BK17"/>
    <mergeCell ref="BL12:BL17"/>
    <mergeCell ref="BM12:BM17"/>
    <mergeCell ref="AP12:AP17"/>
    <mergeCell ref="AQ12:AQ17"/>
    <mergeCell ref="AR12:AR17"/>
    <mergeCell ref="AG12:AG17"/>
    <mergeCell ref="AH12:AH17"/>
    <mergeCell ref="AI12:AI17"/>
    <mergeCell ref="AJ12:AJ17"/>
    <mergeCell ref="AK12:AK17"/>
    <mergeCell ref="AL12:AL17"/>
    <mergeCell ref="AA12:AA17"/>
    <mergeCell ref="AB12:AB17"/>
    <mergeCell ref="AC12:AC17"/>
    <mergeCell ref="AD12:AD17"/>
    <mergeCell ref="AE12:AE17"/>
    <mergeCell ref="AF12:AF17"/>
    <mergeCell ref="BN12:BN17"/>
    <mergeCell ref="BO12:BO17"/>
    <mergeCell ref="R15:R17"/>
    <mergeCell ref="BE12:BE17"/>
    <mergeCell ref="BF12:BF17"/>
    <mergeCell ref="BG12:BG17"/>
    <mergeCell ref="BH12:BH17"/>
    <mergeCell ref="BI12:BI17"/>
    <mergeCell ref="BJ12:BJ17"/>
    <mergeCell ref="AY12:AY17"/>
    <mergeCell ref="AZ12:AZ17"/>
    <mergeCell ref="BA12:BA17"/>
    <mergeCell ref="BB12:BB17"/>
    <mergeCell ref="BC12:BC17"/>
    <mergeCell ref="BD12:BD17"/>
    <mergeCell ref="AS12:AS17"/>
    <mergeCell ref="AT12:AT17"/>
    <mergeCell ref="AU12:AU17"/>
    <mergeCell ref="AV12:AV17"/>
    <mergeCell ref="AW12:AW17"/>
    <mergeCell ref="AX12:AX17"/>
    <mergeCell ref="AM12:AM17"/>
    <mergeCell ref="AN12:AN17"/>
    <mergeCell ref="AO12:AO17"/>
    <mergeCell ref="R12:R14"/>
    <mergeCell ref="Y12:Y17"/>
    <mergeCell ref="Z12:Z17"/>
    <mergeCell ref="I12:I13"/>
    <mergeCell ref="J12:J13"/>
    <mergeCell ref="K12:K13"/>
    <mergeCell ref="L12:L17"/>
    <mergeCell ref="M12:M17"/>
    <mergeCell ref="N12:N17"/>
    <mergeCell ref="B9:D9"/>
    <mergeCell ref="A10:B30"/>
    <mergeCell ref="C11:D30"/>
    <mergeCell ref="E12:F17"/>
    <mergeCell ref="G12:G13"/>
    <mergeCell ref="H12:H13"/>
    <mergeCell ref="F18:I18"/>
    <mergeCell ref="E19:F20"/>
    <mergeCell ref="BE8:BE9"/>
    <mergeCell ref="N7:N8"/>
    <mergeCell ref="O7:O8"/>
    <mergeCell ref="P7:P8"/>
    <mergeCell ref="Q7:Q8"/>
    <mergeCell ref="R7:R8"/>
    <mergeCell ref="S7:S8"/>
    <mergeCell ref="G7:G8"/>
    <mergeCell ref="H7:H8"/>
    <mergeCell ref="I7:I8"/>
    <mergeCell ref="J7:K7"/>
    <mergeCell ref="L7:L8"/>
    <mergeCell ref="M7:M8"/>
    <mergeCell ref="O12:O13"/>
    <mergeCell ref="P12:P17"/>
    <mergeCell ref="Q12:Q17"/>
    <mergeCell ref="AI8:AJ8"/>
    <mergeCell ref="AK8:AL8"/>
    <mergeCell ref="AM8:AN8"/>
    <mergeCell ref="AO8:AP8"/>
    <mergeCell ref="BF8:BF9"/>
    <mergeCell ref="BG8:BG9"/>
    <mergeCell ref="BH8:BH9"/>
    <mergeCell ref="BI8:BI9"/>
    <mergeCell ref="BJ8:BJ9"/>
    <mergeCell ref="AQ8:AR8"/>
    <mergeCell ref="AS8:AT8"/>
    <mergeCell ref="AU8:AV8"/>
    <mergeCell ref="AW8:AX8"/>
    <mergeCell ref="AY8:AZ8"/>
    <mergeCell ref="BA8:BB8"/>
    <mergeCell ref="BC7:BD8"/>
    <mergeCell ref="BE7:BJ7"/>
    <mergeCell ref="A1:BM4"/>
    <mergeCell ref="A5:J6"/>
    <mergeCell ref="L5:BO5"/>
    <mergeCell ref="Y6:BA6"/>
    <mergeCell ref="A7:A8"/>
    <mergeCell ref="B7:B8"/>
    <mergeCell ref="C7:C8"/>
    <mergeCell ref="D7:D8"/>
    <mergeCell ref="E7:E8"/>
    <mergeCell ref="F7:F8"/>
    <mergeCell ref="BK7:BL8"/>
    <mergeCell ref="BM7:BN8"/>
    <mergeCell ref="BO7:BO8"/>
    <mergeCell ref="Y8:Z8"/>
    <mergeCell ref="AA8:AB8"/>
    <mergeCell ref="AC8:AD8"/>
    <mergeCell ref="AE8:AF8"/>
    <mergeCell ref="AG8:AH8"/>
    <mergeCell ref="T7:V7"/>
    <mergeCell ref="X7:X8"/>
    <mergeCell ref="Y7:AA7"/>
    <mergeCell ref="AC7:AI7"/>
    <mergeCell ref="AK7:AU7"/>
    <mergeCell ref="AW7:BA7"/>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BX32"/>
  <sheetViews>
    <sheetView showGridLines="0" zoomScale="60" zoomScaleNormal="60" workbookViewId="0">
      <selection sqref="A1:BL4"/>
    </sheetView>
  </sheetViews>
  <sheetFormatPr baseColWidth="10" defaultColWidth="11.42578125" defaultRowHeight="15" x14ac:dyDescent="0.2"/>
  <cols>
    <col min="1" max="1" width="12.42578125" style="2" customWidth="1"/>
    <col min="2" max="2" width="17.7109375" style="2" customWidth="1"/>
    <col min="3" max="3" width="6.7109375" style="2" customWidth="1"/>
    <col min="4" max="4" width="13" style="2" bestFit="1" customWidth="1"/>
    <col min="5" max="5" width="25.42578125" style="2" customWidth="1"/>
    <col min="6" max="6" width="10.140625" style="2" customWidth="1"/>
    <col min="7" max="7" width="34.28515625" style="2" customWidth="1"/>
    <col min="8" max="8" width="10.5703125" style="2" bestFit="1" customWidth="1"/>
    <col min="9" max="9" width="28" style="2" customWidth="1"/>
    <col min="10" max="10" width="21.28515625" style="2" customWidth="1"/>
    <col min="11" max="12" width="14" style="2" customWidth="1"/>
    <col min="13" max="13" width="42.42578125" style="2" customWidth="1"/>
    <col min="14" max="14" width="23.42578125" style="2" customWidth="1"/>
    <col min="15" max="15" width="33.140625" style="2" customWidth="1"/>
    <col min="16" max="16" width="16.85546875" style="2" customWidth="1"/>
    <col min="17" max="17" width="27.140625" style="2" customWidth="1"/>
    <col min="18" max="18" width="34.42578125" style="2" customWidth="1"/>
    <col min="19" max="19" width="42.140625" style="2" customWidth="1"/>
    <col min="20" max="20" width="34.7109375" style="2" customWidth="1"/>
    <col min="21" max="23" width="27.85546875" style="130" customWidth="1"/>
    <col min="24" max="24" width="18.28515625" style="2" customWidth="1"/>
    <col min="25" max="25" width="28.140625" style="2" customWidth="1"/>
    <col min="26" max="58" width="15.7109375" style="2" customWidth="1"/>
    <col min="59" max="59" width="24" style="2" customWidth="1"/>
    <col min="60" max="60" width="21.28515625" style="2" customWidth="1"/>
    <col min="61" max="61" width="15.7109375" style="2" customWidth="1"/>
    <col min="62" max="62" width="21.140625" style="2" customWidth="1"/>
    <col min="63" max="63" width="25.42578125" style="2" customWidth="1"/>
    <col min="64" max="64" width="17.140625" style="2" customWidth="1"/>
    <col min="65" max="65" width="20.140625" style="2" customWidth="1"/>
    <col min="66" max="66" width="19.140625" style="2" customWidth="1"/>
    <col min="67" max="67" width="20.85546875" style="2" customWidth="1"/>
    <col min="68" max="68" width="22.140625" style="2" customWidth="1"/>
    <col min="69" max="81" width="14.85546875" style="2" customWidth="1"/>
    <col min="82" max="16384" width="11.42578125" style="2"/>
  </cols>
  <sheetData>
    <row r="1" spans="1:69" ht="18" x14ac:dyDescent="0.25">
      <c r="A1" s="2745" t="s">
        <v>0</v>
      </c>
      <c r="B1" s="2745"/>
      <c r="C1" s="2745"/>
      <c r="D1" s="2745"/>
      <c r="E1" s="2745"/>
      <c r="F1" s="2745"/>
      <c r="G1" s="2745"/>
      <c r="H1" s="2745"/>
      <c r="I1" s="2745"/>
      <c r="J1" s="2745"/>
      <c r="K1" s="2745"/>
      <c r="L1" s="2745"/>
      <c r="M1" s="2745"/>
      <c r="N1" s="2745"/>
      <c r="O1" s="2745"/>
      <c r="P1" s="2745"/>
      <c r="Q1" s="2745"/>
      <c r="R1" s="2745"/>
      <c r="S1" s="2745"/>
      <c r="T1" s="2745"/>
      <c r="U1" s="2745"/>
      <c r="V1" s="2745"/>
      <c r="W1" s="2745"/>
      <c r="X1" s="2745"/>
      <c r="Y1" s="2745"/>
      <c r="Z1" s="2745"/>
      <c r="AA1" s="2745"/>
      <c r="AB1" s="2745"/>
      <c r="AC1" s="2745"/>
      <c r="AD1" s="2745"/>
      <c r="AE1" s="2745"/>
      <c r="AF1" s="2745"/>
      <c r="AG1" s="2745"/>
      <c r="AH1" s="2745"/>
      <c r="AI1" s="2745"/>
      <c r="AJ1" s="2745"/>
      <c r="AK1" s="2745"/>
      <c r="AL1" s="2745"/>
      <c r="AM1" s="2745"/>
      <c r="AN1" s="2745"/>
      <c r="AO1" s="2745"/>
      <c r="AP1" s="2745"/>
      <c r="AQ1" s="2745"/>
      <c r="AR1" s="2745"/>
      <c r="AS1" s="2745"/>
      <c r="AT1" s="2745"/>
      <c r="AU1" s="2745"/>
      <c r="AV1" s="2745"/>
      <c r="AW1" s="2745"/>
      <c r="AX1" s="2745"/>
      <c r="AY1" s="2745"/>
      <c r="AZ1" s="2745"/>
      <c r="BA1" s="2745"/>
      <c r="BB1" s="2745"/>
      <c r="BC1" s="2745"/>
      <c r="BD1" s="2745"/>
      <c r="BE1" s="2745"/>
      <c r="BF1" s="2745"/>
      <c r="BG1" s="2745"/>
      <c r="BH1" s="2745"/>
      <c r="BI1" s="2745"/>
      <c r="BJ1" s="2745"/>
      <c r="BK1" s="2745"/>
      <c r="BL1" s="2745"/>
      <c r="BM1" s="1"/>
      <c r="BO1" s="3" t="s">
        <v>1</v>
      </c>
      <c r="BP1" s="4" t="s">
        <v>2</v>
      </c>
    </row>
    <row r="2" spans="1:69" ht="18" x14ac:dyDescent="0.25">
      <c r="A2" s="2745"/>
      <c r="B2" s="2745"/>
      <c r="C2" s="2745"/>
      <c r="D2" s="2745"/>
      <c r="E2" s="2745"/>
      <c r="F2" s="2745"/>
      <c r="G2" s="2745"/>
      <c r="H2" s="2745"/>
      <c r="I2" s="2745"/>
      <c r="J2" s="2745"/>
      <c r="K2" s="2745"/>
      <c r="L2" s="2745"/>
      <c r="M2" s="2745"/>
      <c r="N2" s="2745"/>
      <c r="O2" s="2745"/>
      <c r="P2" s="2745"/>
      <c r="Q2" s="2745"/>
      <c r="R2" s="2745"/>
      <c r="S2" s="2745"/>
      <c r="T2" s="2745"/>
      <c r="U2" s="2745"/>
      <c r="V2" s="2745"/>
      <c r="W2" s="2745"/>
      <c r="X2" s="2745"/>
      <c r="Y2" s="2745"/>
      <c r="Z2" s="2745"/>
      <c r="AA2" s="2745"/>
      <c r="AB2" s="2745"/>
      <c r="AC2" s="2745"/>
      <c r="AD2" s="2745"/>
      <c r="AE2" s="2745"/>
      <c r="AF2" s="2745"/>
      <c r="AG2" s="2745"/>
      <c r="AH2" s="2745"/>
      <c r="AI2" s="2745"/>
      <c r="AJ2" s="2745"/>
      <c r="AK2" s="2745"/>
      <c r="AL2" s="2745"/>
      <c r="AM2" s="2745"/>
      <c r="AN2" s="2745"/>
      <c r="AO2" s="2745"/>
      <c r="AP2" s="2745"/>
      <c r="AQ2" s="2745"/>
      <c r="AR2" s="2745"/>
      <c r="AS2" s="2745"/>
      <c r="AT2" s="2745"/>
      <c r="AU2" s="2745"/>
      <c r="AV2" s="2745"/>
      <c r="AW2" s="2745"/>
      <c r="AX2" s="2745"/>
      <c r="AY2" s="2745"/>
      <c r="AZ2" s="2745"/>
      <c r="BA2" s="2745"/>
      <c r="BB2" s="2745"/>
      <c r="BC2" s="2745"/>
      <c r="BD2" s="2745"/>
      <c r="BE2" s="2745"/>
      <c r="BF2" s="2745"/>
      <c r="BG2" s="2745"/>
      <c r="BH2" s="2745"/>
      <c r="BI2" s="2745"/>
      <c r="BJ2" s="2745"/>
      <c r="BK2" s="2745"/>
      <c r="BL2" s="2745"/>
      <c r="BM2" s="1"/>
      <c r="BO2" s="5" t="s">
        <v>3</v>
      </c>
      <c r="BP2" s="6">
        <v>6</v>
      </c>
    </row>
    <row r="3" spans="1:69" ht="18" x14ac:dyDescent="0.25">
      <c r="A3" s="2745"/>
      <c r="B3" s="2745"/>
      <c r="C3" s="2745"/>
      <c r="D3" s="2745"/>
      <c r="E3" s="2745"/>
      <c r="F3" s="2745"/>
      <c r="G3" s="2745"/>
      <c r="H3" s="2745"/>
      <c r="I3" s="2745"/>
      <c r="J3" s="2745"/>
      <c r="K3" s="2745"/>
      <c r="L3" s="2745"/>
      <c r="M3" s="2745"/>
      <c r="N3" s="2745"/>
      <c r="O3" s="2745"/>
      <c r="P3" s="2745"/>
      <c r="Q3" s="2745"/>
      <c r="R3" s="2745"/>
      <c r="S3" s="2745"/>
      <c r="T3" s="2745"/>
      <c r="U3" s="2745"/>
      <c r="V3" s="2745"/>
      <c r="W3" s="2745"/>
      <c r="X3" s="2745"/>
      <c r="Y3" s="2745"/>
      <c r="Z3" s="2745"/>
      <c r="AA3" s="2745"/>
      <c r="AB3" s="2745"/>
      <c r="AC3" s="2745"/>
      <c r="AD3" s="2745"/>
      <c r="AE3" s="2745"/>
      <c r="AF3" s="2745"/>
      <c r="AG3" s="2745"/>
      <c r="AH3" s="2745"/>
      <c r="AI3" s="2745"/>
      <c r="AJ3" s="2745"/>
      <c r="AK3" s="2745"/>
      <c r="AL3" s="2745"/>
      <c r="AM3" s="2745"/>
      <c r="AN3" s="2745"/>
      <c r="AO3" s="2745"/>
      <c r="AP3" s="2745"/>
      <c r="AQ3" s="2745"/>
      <c r="AR3" s="2745"/>
      <c r="AS3" s="2745"/>
      <c r="AT3" s="2745"/>
      <c r="AU3" s="2745"/>
      <c r="AV3" s="2745"/>
      <c r="AW3" s="2745"/>
      <c r="AX3" s="2745"/>
      <c r="AY3" s="2745"/>
      <c r="AZ3" s="2745"/>
      <c r="BA3" s="2745"/>
      <c r="BB3" s="2745"/>
      <c r="BC3" s="2745"/>
      <c r="BD3" s="2745"/>
      <c r="BE3" s="2745"/>
      <c r="BF3" s="2745"/>
      <c r="BG3" s="2745"/>
      <c r="BH3" s="2745"/>
      <c r="BI3" s="2745"/>
      <c r="BJ3" s="2745"/>
      <c r="BK3" s="2745"/>
      <c r="BL3" s="2745"/>
      <c r="BM3" s="1"/>
      <c r="BO3" s="3" t="s">
        <v>4</v>
      </c>
      <c r="BP3" s="7" t="s">
        <v>5</v>
      </c>
    </row>
    <row r="4" spans="1:69" s="9" customFormat="1" ht="18" x14ac:dyDescent="0.2">
      <c r="A4" s="2746"/>
      <c r="B4" s="2746"/>
      <c r="C4" s="2746"/>
      <c r="D4" s="2746"/>
      <c r="E4" s="2746"/>
      <c r="F4" s="2746"/>
      <c r="G4" s="2746"/>
      <c r="H4" s="2746"/>
      <c r="I4" s="2746"/>
      <c r="J4" s="2746"/>
      <c r="K4" s="2746"/>
      <c r="L4" s="2746"/>
      <c r="M4" s="2746"/>
      <c r="N4" s="2746"/>
      <c r="O4" s="2746"/>
      <c r="P4" s="2746"/>
      <c r="Q4" s="2746"/>
      <c r="R4" s="2746"/>
      <c r="S4" s="2746"/>
      <c r="T4" s="2746"/>
      <c r="U4" s="2746"/>
      <c r="V4" s="2746"/>
      <c r="W4" s="2746"/>
      <c r="X4" s="2746"/>
      <c r="Y4" s="2746"/>
      <c r="Z4" s="2746"/>
      <c r="AA4" s="2746"/>
      <c r="AB4" s="2746"/>
      <c r="AC4" s="2746"/>
      <c r="AD4" s="2746"/>
      <c r="AE4" s="2746"/>
      <c r="AF4" s="2746"/>
      <c r="AG4" s="2746"/>
      <c r="AH4" s="2746"/>
      <c r="AI4" s="2746"/>
      <c r="AJ4" s="2746"/>
      <c r="AK4" s="2746"/>
      <c r="AL4" s="2746"/>
      <c r="AM4" s="2746"/>
      <c r="AN4" s="2746"/>
      <c r="AO4" s="2746"/>
      <c r="AP4" s="2746"/>
      <c r="AQ4" s="2746"/>
      <c r="AR4" s="2746"/>
      <c r="AS4" s="2746"/>
      <c r="AT4" s="2746"/>
      <c r="AU4" s="2746"/>
      <c r="AV4" s="2746"/>
      <c r="AW4" s="2746"/>
      <c r="AX4" s="2746"/>
      <c r="AY4" s="2746"/>
      <c r="AZ4" s="2746"/>
      <c r="BA4" s="2746"/>
      <c r="BB4" s="2746"/>
      <c r="BC4" s="2746"/>
      <c r="BD4" s="2746"/>
      <c r="BE4" s="2746"/>
      <c r="BF4" s="2746"/>
      <c r="BG4" s="2746"/>
      <c r="BH4" s="2746"/>
      <c r="BI4" s="2746"/>
      <c r="BJ4" s="2746"/>
      <c r="BK4" s="2746"/>
      <c r="BL4" s="2746"/>
      <c r="BM4" s="8"/>
      <c r="BO4" s="3" t="s">
        <v>6</v>
      </c>
      <c r="BP4" s="10" t="s">
        <v>7</v>
      </c>
    </row>
    <row r="5" spans="1:69" ht="15.75" x14ac:dyDescent="0.2">
      <c r="A5" s="2993" t="s">
        <v>8</v>
      </c>
      <c r="B5" s="2642"/>
      <c r="C5" s="2642"/>
      <c r="D5" s="2642"/>
      <c r="E5" s="2642"/>
      <c r="F5" s="2642"/>
      <c r="G5" s="2642"/>
      <c r="H5" s="2642"/>
      <c r="I5" s="2642"/>
      <c r="J5" s="2642"/>
      <c r="K5" s="2642"/>
      <c r="L5" s="11"/>
      <c r="M5" s="12"/>
      <c r="N5" s="12"/>
      <c r="O5" s="2644" t="s">
        <v>9</v>
      </c>
      <c r="P5" s="2644"/>
      <c r="Q5" s="2644"/>
      <c r="R5" s="2644"/>
      <c r="S5" s="2644"/>
      <c r="T5" s="2644"/>
      <c r="U5" s="2644"/>
      <c r="V5" s="2644"/>
      <c r="W5" s="2644"/>
      <c r="X5" s="2644"/>
      <c r="Y5" s="2644"/>
      <c r="Z5" s="2644"/>
      <c r="AA5" s="2644"/>
      <c r="AB5" s="2644"/>
      <c r="AC5" s="2644"/>
      <c r="AD5" s="2644"/>
      <c r="AE5" s="2644"/>
      <c r="AF5" s="2644"/>
      <c r="AG5" s="2644"/>
      <c r="AH5" s="2644"/>
      <c r="AI5" s="2644"/>
      <c r="AJ5" s="2644"/>
      <c r="AK5" s="2644"/>
      <c r="AL5" s="2644"/>
      <c r="AM5" s="2644"/>
      <c r="AN5" s="2644"/>
      <c r="AO5" s="2644"/>
      <c r="AP5" s="2644"/>
      <c r="AQ5" s="2644"/>
      <c r="AR5" s="2644"/>
      <c r="AS5" s="2644"/>
      <c r="AT5" s="2644"/>
      <c r="AU5" s="2644"/>
      <c r="AV5" s="2644"/>
      <c r="AW5" s="2644"/>
      <c r="AX5" s="2644"/>
      <c r="AY5" s="2644"/>
      <c r="AZ5" s="2644"/>
      <c r="BA5" s="2644"/>
      <c r="BB5" s="2644"/>
      <c r="BC5" s="2644"/>
      <c r="BD5" s="2644"/>
      <c r="BE5" s="2644"/>
      <c r="BF5" s="2644"/>
      <c r="BG5" s="2644"/>
      <c r="BH5" s="2644"/>
      <c r="BI5" s="2644"/>
      <c r="BJ5" s="2644"/>
      <c r="BK5" s="2644"/>
      <c r="BL5" s="2644"/>
      <c r="BM5" s="2644"/>
      <c r="BN5" s="2644"/>
      <c r="BO5" s="2644"/>
      <c r="BP5" s="2644"/>
    </row>
    <row r="6" spans="1:69" ht="16.5" thickBot="1" x14ac:dyDescent="0.25">
      <c r="A6" s="2645"/>
      <c r="B6" s="2643"/>
      <c r="C6" s="2643"/>
      <c r="D6" s="2643"/>
      <c r="E6" s="2643"/>
      <c r="F6" s="2643"/>
      <c r="G6" s="2643"/>
      <c r="H6" s="2643"/>
      <c r="I6" s="2643"/>
      <c r="J6" s="2643"/>
      <c r="K6" s="2643"/>
      <c r="L6" s="13"/>
      <c r="M6" s="12"/>
      <c r="N6" s="14"/>
      <c r="O6" s="2994"/>
      <c r="P6" s="3246"/>
      <c r="Q6" s="3246"/>
      <c r="R6" s="3246"/>
      <c r="S6" s="3246"/>
      <c r="T6" s="3246"/>
      <c r="U6" s="3246"/>
      <c r="V6" s="3246"/>
      <c r="W6" s="3246"/>
      <c r="X6" s="3246"/>
      <c r="Y6" s="3247"/>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2994"/>
      <c r="BM6" s="3246"/>
      <c r="BN6" s="3246"/>
      <c r="BO6" s="3246"/>
      <c r="BP6" s="3247"/>
    </row>
    <row r="7" spans="1:69" ht="41.25" customHeight="1" x14ac:dyDescent="0.2">
      <c r="A7" s="2659" t="s">
        <v>10</v>
      </c>
      <c r="B7" s="2659" t="s">
        <v>11</v>
      </c>
      <c r="C7" s="2659"/>
      <c r="D7" s="2659" t="s">
        <v>10</v>
      </c>
      <c r="E7" s="2659" t="s">
        <v>12</v>
      </c>
      <c r="F7" s="2659" t="s">
        <v>10</v>
      </c>
      <c r="G7" s="2659" t="s">
        <v>13</v>
      </c>
      <c r="H7" s="2659" t="s">
        <v>10</v>
      </c>
      <c r="I7" s="2659" t="s">
        <v>14</v>
      </c>
      <c r="J7" s="2659" t="s">
        <v>15</v>
      </c>
      <c r="K7" s="3248" t="s">
        <v>16</v>
      </c>
      <c r="L7" s="3249"/>
      <c r="M7" s="2659" t="s">
        <v>17</v>
      </c>
      <c r="N7" s="2659" t="s">
        <v>18</v>
      </c>
      <c r="O7" s="2659" t="s">
        <v>9</v>
      </c>
      <c r="P7" s="2659" t="s">
        <v>19</v>
      </c>
      <c r="Q7" s="2659" t="s">
        <v>20</v>
      </c>
      <c r="R7" s="2659" t="s">
        <v>21</v>
      </c>
      <c r="S7" s="2659" t="s">
        <v>22</v>
      </c>
      <c r="T7" s="3906" t="s">
        <v>23</v>
      </c>
      <c r="U7" s="2659" t="s">
        <v>20</v>
      </c>
      <c r="V7" s="2659"/>
      <c r="W7" s="2659"/>
      <c r="X7" s="2659" t="s">
        <v>10</v>
      </c>
      <c r="Y7" s="2659" t="s">
        <v>24</v>
      </c>
      <c r="Z7" s="3910" t="s">
        <v>25</v>
      </c>
      <c r="AA7" s="3910"/>
      <c r="AB7" s="3910"/>
      <c r="AC7" s="16"/>
      <c r="AD7" s="3911" t="s">
        <v>26</v>
      </c>
      <c r="AE7" s="3663"/>
      <c r="AF7" s="3663"/>
      <c r="AG7" s="3663"/>
      <c r="AH7" s="3663"/>
      <c r="AI7" s="3663"/>
      <c r="AJ7" s="3663"/>
      <c r="AK7" s="17"/>
      <c r="AL7" s="3653" t="s">
        <v>27</v>
      </c>
      <c r="AM7" s="3654"/>
      <c r="AN7" s="3654"/>
      <c r="AO7" s="3654"/>
      <c r="AP7" s="3654"/>
      <c r="AQ7" s="3654"/>
      <c r="AR7" s="3654"/>
      <c r="AS7" s="3654"/>
      <c r="AT7" s="3654"/>
      <c r="AU7" s="3654"/>
      <c r="AV7" s="3654"/>
      <c r="AW7" s="18"/>
      <c r="AX7" s="3911" t="s">
        <v>28</v>
      </c>
      <c r="AY7" s="3663"/>
      <c r="AZ7" s="3663"/>
      <c r="BA7" s="3663"/>
      <c r="BB7" s="3663"/>
      <c r="BC7" s="19"/>
      <c r="BD7" s="3659" t="s">
        <v>29</v>
      </c>
      <c r="BE7" s="3660"/>
      <c r="BF7" s="2673" t="s">
        <v>30</v>
      </c>
      <c r="BG7" s="2674"/>
      <c r="BH7" s="2674"/>
      <c r="BI7" s="2674"/>
      <c r="BJ7" s="2674"/>
      <c r="BK7" s="2675"/>
      <c r="BL7" s="3902" t="s">
        <v>31</v>
      </c>
      <c r="BM7" s="3903"/>
      <c r="BN7" s="3902" t="s">
        <v>32</v>
      </c>
      <c r="BO7" s="3903"/>
      <c r="BP7" s="3900" t="s">
        <v>33</v>
      </c>
    </row>
    <row r="8" spans="1:69" ht="112.5" customHeight="1" x14ac:dyDescent="0.2">
      <c r="A8" s="2659"/>
      <c r="B8" s="2659"/>
      <c r="C8" s="2659"/>
      <c r="D8" s="2659"/>
      <c r="E8" s="2659"/>
      <c r="F8" s="2659"/>
      <c r="G8" s="2659"/>
      <c r="H8" s="2659"/>
      <c r="I8" s="2659"/>
      <c r="J8" s="3906"/>
      <c r="K8" s="3907"/>
      <c r="L8" s="3908"/>
      <c r="M8" s="3909"/>
      <c r="N8" s="2659"/>
      <c r="O8" s="2659"/>
      <c r="P8" s="2659"/>
      <c r="Q8" s="2659"/>
      <c r="R8" s="2659"/>
      <c r="S8" s="2659"/>
      <c r="T8" s="3906"/>
      <c r="U8" s="2689" t="s">
        <v>34</v>
      </c>
      <c r="V8" s="2689" t="s">
        <v>35</v>
      </c>
      <c r="W8" s="2689" t="s">
        <v>36</v>
      </c>
      <c r="X8" s="2659"/>
      <c r="Y8" s="2659"/>
      <c r="Z8" s="2771" t="s">
        <v>37</v>
      </c>
      <c r="AA8" s="2772"/>
      <c r="AB8" s="2771" t="s">
        <v>38</v>
      </c>
      <c r="AC8" s="2772"/>
      <c r="AD8" s="2771" t="s">
        <v>39</v>
      </c>
      <c r="AE8" s="2772"/>
      <c r="AF8" s="2771" t="s">
        <v>40</v>
      </c>
      <c r="AG8" s="2772"/>
      <c r="AH8" s="2771" t="s">
        <v>41</v>
      </c>
      <c r="AI8" s="2772"/>
      <c r="AJ8" s="2771" t="s">
        <v>42</v>
      </c>
      <c r="AK8" s="2772"/>
      <c r="AL8" s="2771" t="s">
        <v>43</v>
      </c>
      <c r="AM8" s="2772"/>
      <c r="AN8" s="2771" t="s">
        <v>44</v>
      </c>
      <c r="AO8" s="2772"/>
      <c r="AP8" s="2771" t="s">
        <v>45</v>
      </c>
      <c r="AQ8" s="2772"/>
      <c r="AR8" s="2771" t="s">
        <v>46</v>
      </c>
      <c r="AS8" s="2772"/>
      <c r="AT8" s="2771" t="s">
        <v>47</v>
      </c>
      <c r="AU8" s="2772"/>
      <c r="AV8" s="2771" t="s">
        <v>48</v>
      </c>
      <c r="AW8" s="2772"/>
      <c r="AX8" s="2771" t="s">
        <v>49</v>
      </c>
      <c r="AY8" s="2772"/>
      <c r="AZ8" s="2771" t="s">
        <v>50</v>
      </c>
      <c r="BA8" s="2772"/>
      <c r="BB8" s="2771" t="s">
        <v>51</v>
      </c>
      <c r="BC8" s="2772"/>
      <c r="BD8" s="3014"/>
      <c r="BE8" s="3015"/>
      <c r="BF8" s="2700" t="s">
        <v>52</v>
      </c>
      <c r="BG8" s="2701" t="s">
        <v>53</v>
      </c>
      <c r="BH8" s="2700" t="s">
        <v>54</v>
      </c>
      <c r="BI8" s="2702" t="s">
        <v>55</v>
      </c>
      <c r="BJ8" s="2700" t="s">
        <v>56</v>
      </c>
      <c r="BK8" s="2698" t="s">
        <v>57</v>
      </c>
      <c r="BL8" s="3904"/>
      <c r="BM8" s="3905"/>
      <c r="BN8" s="3904"/>
      <c r="BO8" s="3905"/>
      <c r="BP8" s="3901"/>
    </row>
    <row r="9" spans="1:69" ht="22.5" customHeight="1" x14ac:dyDescent="0.2">
      <c r="A9" s="21"/>
      <c r="B9" s="22"/>
      <c r="C9" s="22"/>
      <c r="D9" s="22"/>
      <c r="E9" s="22"/>
      <c r="F9" s="22"/>
      <c r="G9" s="22"/>
      <c r="H9" s="22"/>
      <c r="I9" s="22"/>
      <c r="J9" s="22"/>
      <c r="K9" s="23" t="s">
        <v>58</v>
      </c>
      <c r="L9" s="24" t="s">
        <v>59</v>
      </c>
      <c r="M9" s="22"/>
      <c r="N9" s="25"/>
      <c r="O9" s="22"/>
      <c r="P9" s="22"/>
      <c r="Q9" s="22"/>
      <c r="R9" s="22"/>
      <c r="S9" s="22"/>
      <c r="T9" s="22"/>
      <c r="U9" s="2689"/>
      <c r="V9" s="2689"/>
      <c r="W9" s="2689"/>
      <c r="X9" s="24"/>
      <c r="Y9" s="26"/>
      <c r="Z9" s="24" t="s">
        <v>58</v>
      </c>
      <c r="AA9" s="24" t="s">
        <v>59</v>
      </c>
      <c r="AB9" s="24" t="s">
        <v>58</v>
      </c>
      <c r="AC9" s="24" t="s">
        <v>59</v>
      </c>
      <c r="AD9" s="24" t="s">
        <v>58</v>
      </c>
      <c r="AE9" s="24" t="s">
        <v>59</v>
      </c>
      <c r="AF9" s="24" t="s">
        <v>58</v>
      </c>
      <c r="AG9" s="24" t="s">
        <v>59</v>
      </c>
      <c r="AH9" s="24" t="s">
        <v>58</v>
      </c>
      <c r="AI9" s="24" t="s">
        <v>59</v>
      </c>
      <c r="AJ9" s="24" t="s">
        <v>58</v>
      </c>
      <c r="AK9" s="24" t="s">
        <v>59</v>
      </c>
      <c r="AL9" s="24" t="s">
        <v>58</v>
      </c>
      <c r="AM9" s="24" t="s">
        <v>59</v>
      </c>
      <c r="AN9" s="24" t="s">
        <v>58</v>
      </c>
      <c r="AO9" s="24" t="s">
        <v>59</v>
      </c>
      <c r="AP9" s="24" t="s">
        <v>58</v>
      </c>
      <c r="AQ9" s="24" t="s">
        <v>59</v>
      </c>
      <c r="AR9" s="24" t="s">
        <v>58</v>
      </c>
      <c r="AS9" s="24" t="s">
        <v>59</v>
      </c>
      <c r="AT9" s="24" t="s">
        <v>58</v>
      </c>
      <c r="AU9" s="24" t="s">
        <v>59</v>
      </c>
      <c r="AV9" s="24" t="s">
        <v>58</v>
      </c>
      <c r="AW9" s="24" t="s">
        <v>59</v>
      </c>
      <c r="AX9" s="24" t="s">
        <v>58</v>
      </c>
      <c r="AY9" s="24" t="s">
        <v>59</v>
      </c>
      <c r="AZ9" s="24" t="s">
        <v>58</v>
      </c>
      <c r="BA9" s="24" t="s">
        <v>59</v>
      </c>
      <c r="BB9" s="24" t="s">
        <v>58</v>
      </c>
      <c r="BC9" s="24" t="s">
        <v>59</v>
      </c>
      <c r="BD9" s="27" t="s">
        <v>58</v>
      </c>
      <c r="BE9" s="24" t="s">
        <v>59</v>
      </c>
      <c r="BF9" s="2700"/>
      <c r="BG9" s="2701"/>
      <c r="BH9" s="2700"/>
      <c r="BI9" s="2702"/>
      <c r="BJ9" s="2700"/>
      <c r="BK9" s="2699"/>
      <c r="BL9" s="28" t="s">
        <v>58</v>
      </c>
      <c r="BM9" s="28" t="s">
        <v>59</v>
      </c>
      <c r="BN9" s="28" t="s">
        <v>58</v>
      </c>
      <c r="BO9" s="28" t="s">
        <v>59</v>
      </c>
      <c r="BP9" s="3023"/>
    </row>
    <row r="10" spans="1:69" ht="15.75" customHeight="1" x14ac:dyDescent="0.2">
      <c r="A10" s="29">
        <v>5</v>
      </c>
      <c r="B10" s="30" t="s">
        <v>60</v>
      </c>
      <c r="C10" s="30"/>
      <c r="D10" s="30"/>
      <c r="E10" s="30"/>
      <c r="F10" s="30"/>
      <c r="G10" s="30"/>
      <c r="H10" s="30"/>
      <c r="I10" s="31"/>
      <c r="J10" s="31"/>
      <c r="K10" s="30"/>
      <c r="L10" s="30"/>
      <c r="M10" s="32"/>
      <c r="N10" s="31"/>
      <c r="O10" s="33"/>
      <c r="P10" s="34"/>
      <c r="Q10" s="31"/>
      <c r="R10" s="31"/>
      <c r="S10" s="31"/>
      <c r="T10" s="35"/>
      <c r="U10" s="35"/>
      <c r="V10" s="35"/>
      <c r="W10" s="35"/>
      <c r="X10" s="30"/>
      <c r="Y10" s="30"/>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7"/>
    </row>
    <row r="11" spans="1:69" s="52" customFormat="1" ht="15.75" customHeight="1" x14ac:dyDescent="0.2">
      <c r="A11" s="38"/>
      <c r="B11" s="3912"/>
      <c r="C11" s="3913"/>
      <c r="D11" s="39">
        <v>26</v>
      </c>
      <c r="E11" s="40" t="s">
        <v>61</v>
      </c>
      <c r="F11" s="41"/>
      <c r="G11" s="41"/>
      <c r="H11" s="41"/>
      <c r="I11" s="42"/>
      <c r="J11" s="42"/>
      <c r="K11" s="41"/>
      <c r="L11" s="41"/>
      <c r="M11" s="43"/>
      <c r="N11" s="42"/>
      <c r="O11" s="44"/>
      <c r="P11" s="45"/>
      <c r="Q11" s="42"/>
      <c r="R11" s="42"/>
      <c r="S11" s="42"/>
      <c r="T11" s="46"/>
      <c r="U11" s="46"/>
      <c r="V11" s="46"/>
      <c r="W11" s="46"/>
      <c r="X11" s="41"/>
      <c r="Y11" s="41"/>
      <c r="Z11" s="47"/>
      <c r="AA11" s="47"/>
      <c r="AB11" s="48"/>
      <c r="AC11" s="48"/>
      <c r="AD11" s="48"/>
      <c r="AE11" s="48"/>
      <c r="AF11" s="48"/>
      <c r="AG11" s="48"/>
      <c r="AH11" s="48"/>
      <c r="AI11" s="48"/>
      <c r="AJ11" s="48"/>
      <c r="AK11" s="48"/>
      <c r="AL11" s="49"/>
      <c r="AM11" s="49"/>
      <c r="AN11" s="50"/>
      <c r="AO11" s="50"/>
      <c r="AP11" s="49"/>
      <c r="AQ11" s="49"/>
      <c r="AR11" s="49"/>
      <c r="AS11" s="49"/>
      <c r="AT11" s="50"/>
      <c r="AU11" s="50"/>
      <c r="AV11" s="51"/>
      <c r="AW11" s="51"/>
      <c r="AX11" s="49"/>
      <c r="AY11" s="49"/>
      <c r="AZ11" s="49"/>
      <c r="BA11" s="49"/>
      <c r="BB11" s="50"/>
      <c r="BC11" s="50"/>
      <c r="BD11" s="49"/>
      <c r="BE11" s="49"/>
      <c r="BF11" s="49"/>
      <c r="BG11" s="49"/>
      <c r="BH11" s="49"/>
      <c r="BI11" s="49"/>
      <c r="BJ11" s="49"/>
      <c r="BK11" s="49"/>
      <c r="BL11" s="50"/>
      <c r="BM11" s="50"/>
      <c r="BN11" s="50"/>
      <c r="BO11" s="50"/>
      <c r="BP11" s="50"/>
    </row>
    <row r="12" spans="1:69" s="52" customFormat="1" ht="15.75" customHeight="1" x14ac:dyDescent="0.2">
      <c r="A12" s="53"/>
      <c r="B12" s="3912"/>
      <c r="C12" s="3913"/>
      <c r="D12" s="3916"/>
      <c r="E12" s="3090"/>
      <c r="F12" s="54">
        <v>83</v>
      </c>
      <c r="G12" s="55" t="s">
        <v>62</v>
      </c>
      <c r="H12" s="56"/>
      <c r="I12" s="57"/>
      <c r="J12" s="57"/>
      <c r="K12" s="58"/>
      <c r="L12" s="58"/>
      <c r="M12" s="59"/>
      <c r="N12" s="57"/>
      <c r="O12" s="60"/>
      <c r="P12" s="61"/>
      <c r="Q12" s="57"/>
      <c r="R12" s="57"/>
      <c r="S12" s="57"/>
      <c r="T12" s="62"/>
      <c r="U12" s="62"/>
      <c r="V12" s="62"/>
      <c r="W12" s="62"/>
      <c r="X12" s="63"/>
      <c r="Y12" s="63"/>
      <c r="Z12" s="58"/>
      <c r="AA12" s="58"/>
      <c r="AB12" s="58"/>
      <c r="AC12" s="58"/>
      <c r="AD12" s="58"/>
      <c r="AE12" s="58"/>
      <c r="AF12" s="58"/>
      <c r="AG12" s="58"/>
      <c r="AH12" s="58"/>
      <c r="AI12" s="58"/>
      <c r="AJ12" s="58"/>
      <c r="AK12" s="58"/>
      <c r="AL12" s="58"/>
      <c r="AM12" s="58"/>
      <c r="AN12" s="64"/>
      <c r="AO12" s="64"/>
      <c r="AP12" s="58"/>
      <c r="AQ12" s="58"/>
      <c r="AR12" s="64"/>
      <c r="AS12" s="64"/>
      <c r="AT12" s="57"/>
      <c r="AU12" s="57"/>
      <c r="AV12" s="58"/>
      <c r="AW12" s="58"/>
      <c r="AX12" s="64"/>
      <c r="AY12" s="64"/>
      <c r="AZ12" s="58"/>
      <c r="BA12" s="58"/>
      <c r="BB12" s="64"/>
      <c r="BC12" s="64"/>
      <c r="BD12" s="57"/>
      <c r="BE12" s="57"/>
      <c r="BF12" s="57"/>
      <c r="BG12" s="57"/>
      <c r="BH12" s="57"/>
      <c r="BI12" s="57"/>
      <c r="BJ12" s="57"/>
      <c r="BK12" s="57"/>
      <c r="BL12" s="64"/>
      <c r="BM12" s="64"/>
      <c r="BN12" s="57"/>
      <c r="BO12" s="57"/>
      <c r="BP12" s="57"/>
    </row>
    <row r="13" spans="1:69" s="52" customFormat="1" ht="45" customHeight="1" x14ac:dyDescent="0.2">
      <c r="A13" s="53"/>
      <c r="B13" s="3912"/>
      <c r="C13" s="3913"/>
      <c r="D13" s="3917"/>
      <c r="E13" s="3092"/>
      <c r="F13" s="3919"/>
      <c r="G13" s="3920"/>
      <c r="H13" s="2711">
        <v>244</v>
      </c>
      <c r="I13" s="3096" t="s">
        <v>63</v>
      </c>
      <c r="J13" s="3096" t="s">
        <v>64</v>
      </c>
      <c r="K13" s="2711">
        <v>12</v>
      </c>
      <c r="L13" s="3080">
        <v>4</v>
      </c>
      <c r="M13" s="3096" t="s">
        <v>65</v>
      </c>
      <c r="N13" s="2711" t="s">
        <v>66</v>
      </c>
      <c r="O13" s="3096" t="s">
        <v>67</v>
      </c>
      <c r="P13" s="3921">
        <f>SUM(U13:U16)/Q13</f>
        <v>1</v>
      </c>
      <c r="Q13" s="3769">
        <f>SUM(U13:U16)</f>
        <v>450000000</v>
      </c>
      <c r="R13" s="3096" t="s">
        <v>68</v>
      </c>
      <c r="S13" s="3702" t="s">
        <v>69</v>
      </c>
      <c r="T13" s="3738" t="s">
        <v>70</v>
      </c>
      <c r="U13" s="65">
        <v>328040000</v>
      </c>
      <c r="V13" s="66">
        <v>260566732</v>
      </c>
      <c r="W13" s="66">
        <v>116983900</v>
      </c>
      <c r="X13" s="67">
        <v>20</v>
      </c>
      <c r="Y13" s="68" t="s">
        <v>71</v>
      </c>
      <c r="Z13" s="3925">
        <v>294321</v>
      </c>
      <c r="AA13" s="3922"/>
      <c r="AB13" s="3926">
        <v>283947</v>
      </c>
      <c r="AC13" s="3922"/>
      <c r="AD13" s="3922">
        <v>135754</v>
      </c>
      <c r="AE13" s="3922"/>
      <c r="AF13" s="3922">
        <v>44640</v>
      </c>
      <c r="AG13" s="3922"/>
      <c r="AH13" s="3922">
        <v>308178</v>
      </c>
      <c r="AI13" s="3922"/>
      <c r="AJ13" s="3922">
        <v>89696</v>
      </c>
      <c r="AK13" s="3922"/>
      <c r="AL13" s="3922">
        <v>2145</v>
      </c>
      <c r="AM13" s="3922"/>
      <c r="AN13" s="3922">
        <v>12718</v>
      </c>
      <c r="AO13" s="3922"/>
      <c r="AP13" s="3922">
        <v>26</v>
      </c>
      <c r="AQ13" s="3922"/>
      <c r="AR13" s="3922">
        <v>37</v>
      </c>
      <c r="AS13" s="3922"/>
      <c r="AT13" s="3922">
        <v>0</v>
      </c>
      <c r="AU13" s="3922"/>
      <c r="AV13" s="3922">
        <v>0</v>
      </c>
      <c r="AW13" s="3922"/>
      <c r="AX13" s="3922">
        <v>52505</v>
      </c>
      <c r="AY13" s="3922"/>
      <c r="AZ13" s="3922">
        <v>16897</v>
      </c>
      <c r="BA13" s="3922"/>
      <c r="BB13" s="3922">
        <v>61646</v>
      </c>
      <c r="BC13" s="3922"/>
      <c r="BD13" s="3922">
        <f>+AD13+AF13+AH13+AJ13</f>
        <v>578268</v>
      </c>
      <c r="BE13" s="3922"/>
      <c r="BF13" s="2703">
        <v>26</v>
      </c>
      <c r="BG13" s="2703">
        <v>343318465</v>
      </c>
      <c r="BH13" s="2703">
        <v>161805500</v>
      </c>
      <c r="BI13" s="2887">
        <f>+BH13/BG13</f>
        <v>0.47129856531311243</v>
      </c>
      <c r="BJ13" s="2742" t="s">
        <v>72</v>
      </c>
      <c r="BK13" s="2873" t="s">
        <v>73</v>
      </c>
      <c r="BL13" s="3771">
        <v>43466</v>
      </c>
      <c r="BM13" s="3755">
        <v>43486</v>
      </c>
      <c r="BN13" s="3771">
        <v>43830</v>
      </c>
      <c r="BO13" s="3771">
        <v>43830</v>
      </c>
      <c r="BP13" s="3702" t="s">
        <v>74</v>
      </c>
      <c r="BQ13" s="3087"/>
    </row>
    <row r="14" spans="1:69" s="52" customFormat="1" ht="36.75" customHeight="1" x14ac:dyDescent="0.2">
      <c r="A14" s="53"/>
      <c r="B14" s="3912"/>
      <c r="C14" s="3913"/>
      <c r="D14" s="3917"/>
      <c r="E14" s="3092"/>
      <c r="F14" s="3919"/>
      <c r="G14" s="3920"/>
      <c r="H14" s="2711"/>
      <c r="I14" s="3096"/>
      <c r="J14" s="3096"/>
      <c r="K14" s="2711"/>
      <c r="L14" s="3141"/>
      <c r="M14" s="3096"/>
      <c r="N14" s="2711"/>
      <c r="O14" s="3096"/>
      <c r="P14" s="3921"/>
      <c r="Q14" s="3769"/>
      <c r="R14" s="3096"/>
      <c r="S14" s="3702"/>
      <c r="T14" s="3744"/>
      <c r="U14" s="69">
        <f>0+7645567</f>
        <v>7645567</v>
      </c>
      <c r="V14" s="70">
        <v>0</v>
      </c>
      <c r="W14" s="70">
        <v>0</v>
      </c>
      <c r="X14" s="71">
        <v>88</v>
      </c>
      <c r="Y14" s="68" t="s">
        <v>75</v>
      </c>
      <c r="Z14" s="3925"/>
      <c r="AA14" s="3923"/>
      <c r="AB14" s="3926"/>
      <c r="AC14" s="3923"/>
      <c r="AD14" s="3923">
        <v>135912</v>
      </c>
      <c r="AE14" s="3923"/>
      <c r="AF14" s="3923">
        <v>45122</v>
      </c>
      <c r="AG14" s="3923"/>
      <c r="AH14" s="3923">
        <v>307101</v>
      </c>
      <c r="AI14" s="3923"/>
      <c r="AJ14" s="3923">
        <v>86875</v>
      </c>
      <c r="AK14" s="3923"/>
      <c r="AL14" s="3923">
        <v>2145</v>
      </c>
      <c r="AM14" s="3923"/>
      <c r="AN14" s="3923">
        <v>12718</v>
      </c>
      <c r="AO14" s="3923"/>
      <c r="AP14" s="3923">
        <v>26</v>
      </c>
      <c r="AQ14" s="3923"/>
      <c r="AR14" s="3923">
        <v>37</v>
      </c>
      <c r="AS14" s="3923"/>
      <c r="AT14" s="3923"/>
      <c r="AU14" s="3923"/>
      <c r="AV14" s="3923"/>
      <c r="AW14" s="3923"/>
      <c r="AX14" s="3923">
        <v>53164</v>
      </c>
      <c r="AY14" s="3923"/>
      <c r="AZ14" s="3923">
        <v>16982</v>
      </c>
      <c r="BA14" s="3923"/>
      <c r="BB14" s="3923">
        <v>6013</v>
      </c>
      <c r="BC14" s="3923"/>
      <c r="BD14" s="3923"/>
      <c r="BE14" s="3923"/>
      <c r="BF14" s="2704"/>
      <c r="BG14" s="2704"/>
      <c r="BH14" s="2704"/>
      <c r="BI14" s="2916"/>
      <c r="BJ14" s="2743"/>
      <c r="BK14" s="3929"/>
      <c r="BL14" s="3771"/>
      <c r="BM14" s="3756"/>
      <c r="BN14" s="3771"/>
      <c r="BO14" s="3771"/>
      <c r="BP14" s="3702"/>
      <c r="BQ14" s="3087"/>
    </row>
    <row r="15" spans="1:69" s="52" customFormat="1" ht="30" x14ac:dyDescent="0.2">
      <c r="A15" s="53"/>
      <c r="B15" s="3912"/>
      <c r="C15" s="3913"/>
      <c r="D15" s="3917"/>
      <c r="E15" s="3092"/>
      <c r="F15" s="3919"/>
      <c r="G15" s="3920"/>
      <c r="H15" s="2711"/>
      <c r="I15" s="3096"/>
      <c r="J15" s="3096"/>
      <c r="K15" s="2711"/>
      <c r="L15" s="3141"/>
      <c r="M15" s="3096"/>
      <c r="N15" s="2711"/>
      <c r="O15" s="3096"/>
      <c r="P15" s="3921"/>
      <c r="Q15" s="3769"/>
      <c r="R15" s="3096"/>
      <c r="S15" s="3096" t="s">
        <v>76</v>
      </c>
      <c r="T15" s="3738" t="s">
        <v>77</v>
      </c>
      <c r="U15" s="72">
        <v>71960000</v>
      </c>
      <c r="V15" s="72">
        <v>61050000</v>
      </c>
      <c r="W15" s="72">
        <v>44821600</v>
      </c>
      <c r="X15" s="73">
        <v>20</v>
      </c>
      <c r="Y15" s="74" t="s">
        <v>71</v>
      </c>
      <c r="Z15" s="3925"/>
      <c r="AA15" s="3923"/>
      <c r="AB15" s="3926"/>
      <c r="AC15" s="3923"/>
      <c r="AD15" s="3923">
        <v>135912</v>
      </c>
      <c r="AE15" s="3923"/>
      <c r="AF15" s="3923">
        <v>45122</v>
      </c>
      <c r="AG15" s="3923"/>
      <c r="AH15" s="3923">
        <v>307101</v>
      </c>
      <c r="AI15" s="3923"/>
      <c r="AJ15" s="3923">
        <v>86875</v>
      </c>
      <c r="AK15" s="3923"/>
      <c r="AL15" s="3923">
        <v>2145</v>
      </c>
      <c r="AM15" s="3923"/>
      <c r="AN15" s="3923">
        <v>12718</v>
      </c>
      <c r="AO15" s="3923"/>
      <c r="AP15" s="3923">
        <v>26</v>
      </c>
      <c r="AQ15" s="3923"/>
      <c r="AR15" s="3923">
        <v>37</v>
      </c>
      <c r="AS15" s="3923"/>
      <c r="AT15" s="3923"/>
      <c r="AU15" s="3923"/>
      <c r="AV15" s="3923"/>
      <c r="AW15" s="3923"/>
      <c r="AX15" s="3923">
        <v>53164</v>
      </c>
      <c r="AY15" s="3923"/>
      <c r="AZ15" s="3923">
        <v>16982</v>
      </c>
      <c r="BA15" s="3923"/>
      <c r="BB15" s="3923">
        <v>6013</v>
      </c>
      <c r="BC15" s="3923"/>
      <c r="BD15" s="3923"/>
      <c r="BE15" s="3923"/>
      <c r="BF15" s="2704"/>
      <c r="BG15" s="2704"/>
      <c r="BH15" s="2704"/>
      <c r="BI15" s="2916"/>
      <c r="BJ15" s="2743"/>
      <c r="BK15" s="3929"/>
      <c r="BL15" s="3771"/>
      <c r="BM15" s="3756"/>
      <c r="BN15" s="3771"/>
      <c r="BO15" s="3771"/>
      <c r="BP15" s="3702"/>
      <c r="BQ15" s="75"/>
    </row>
    <row r="16" spans="1:69" s="52" customFormat="1" ht="38.25" customHeight="1" x14ac:dyDescent="0.2">
      <c r="A16" s="53"/>
      <c r="B16" s="3912"/>
      <c r="C16" s="3913"/>
      <c r="D16" s="3917"/>
      <c r="E16" s="3092"/>
      <c r="F16" s="3919"/>
      <c r="G16" s="3920"/>
      <c r="H16" s="2711"/>
      <c r="I16" s="3096"/>
      <c r="J16" s="3096"/>
      <c r="K16" s="2711"/>
      <c r="L16" s="3081"/>
      <c r="M16" s="3096"/>
      <c r="N16" s="2711"/>
      <c r="O16" s="3096"/>
      <c r="P16" s="3921"/>
      <c r="Q16" s="3769"/>
      <c r="R16" s="3096"/>
      <c r="S16" s="3096"/>
      <c r="T16" s="3744"/>
      <c r="U16" s="72">
        <f>0+42354433</f>
        <v>42354433</v>
      </c>
      <c r="V16" s="72">
        <v>21701733</v>
      </c>
      <c r="W16" s="72">
        <v>0</v>
      </c>
      <c r="X16" s="73">
        <v>88</v>
      </c>
      <c r="Y16" s="74" t="s">
        <v>75</v>
      </c>
      <c r="Z16" s="3925"/>
      <c r="AA16" s="3924"/>
      <c r="AB16" s="3926"/>
      <c r="AC16" s="3924"/>
      <c r="AD16" s="3924">
        <v>135912</v>
      </c>
      <c r="AE16" s="3924"/>
      <c r="AF16" s="3924">
        <v>45122</v>
      </c>
      <c r="AG16" s="3924"/>
      <c r="AH16" s="3924">
        <v>307101</v>
      </c>
      <c r="AI16" s="3924"/>
      <c r="AJ16" s="3924">
        <v>86875</v>
      </c>
      <c r="AK16" s="3924"/>
      <c r="AL16" s="3924">
        <v>2145</v>
      </c>
      <c r="AM16" s="3924"/>
      <c r="AN16" s="3924">
        <v>12718</v>
      </c>
      <c r="AO16" s="3924"/>
      <c r="AP16" s="3924">
        <v>26</v>
      </c>
      <c r="AQ16" s="3924"/>
      <c r="AR16" s="3924">
        <v>37</v>
      </c>
      <c r="AS16" s="3924"/>
      <c r="AT16" s="3924"/>
      <c r="AU16" s="3924"/>
      <c r="AV16" s="3924"/>
      <c r="AW16" s="3924"/>
      <c r="AX16" s="3924">
        <v>53164</v>
      </c>
      <c r="AY16" s="3924"/>
      <c r="AZ16" s="3924">
        <v>16982</v>
      </c>
      <c r="BA16" s="3924"/>
      <c r="BB16" s="3924">
        <v>6013</v>
      </c>
      <c r="BC16" s="3924"/>
      <c r="BD16" s="3924"/>
      <c r="BE16" s="3924"/>
      <c r="BF16" s="2705"/>
      <c r="BG16" s="2705"/>
      <c r="BH16" s="2705"/>
      <c r="BI16" s="2917"/>
      <c r="BJ16" s="3050"/>
      <c r="BK16" s="3930"/>
      <c r="BL16" s="3771"/>
      <c r="BM16" s="3757"/>
      <c r="BN16" s="3771"/>
      <c r="BO16" s="3771"/>
      <c r="BP16" s="3702"/>
    </row>
    <row r="17" spans="1:76" s="52" customFormat="1" ht="150" x14ac:dyDescent="0.2">
      <c r="A17" s="53"/>
      <c r="B17" s="3912"/>
      <c r="C17" s="3913"/>
      <c r="D17" s="3918"/>
      <c r="E17" s="3094"/>
      <c r="F17" s="3919"/>
      <c r="G17" s="3920"/>
      <c r="H17" s="76">
        <v>245</v>
      </c>
      <c r="I17" s="77" t="s">
        <v>78</v>
      </c>
      <c r="J17" s="77" t="s">
        <v>79</v>
      </c>
      <c r="K17" s="76">
        <v>1</v>
      </c>
      <c r="L17" s="76">
        <v>0.3</v>
      </c>
      <c r="M17" s="78" t="s">
        <v>80</v>
      </c>
      <c r="N17" s="76" t="s">
        <v>81</v>
      </c>
      <c r="O17" s="77" t="s">
        <v>82</v>
      </c>
      <c r="P17" s="79">
        <f>SUM(U17)/Q17</f>
        <v>1</v>
      </c>
      <c r="Q17" s="80">
        <f>U17</f>
        <v>40000000</v>
      </c>
      <c r="R17" s="77" t="s">
        <v>83</v>
      </c>
      <c r="S17" s="77" t="s">
        <v>84</v>
      </c>
      <c r="T17" s="77" t="s">
        <v>85</v>
      </c>
      <c r="U17" s="81">
        <v>40000000</v>
      </c>
      <c r="V17" s="81">
        <v>31860800</v>
      </c>
      <c r="W17" s="81">
        <v>12870800</v>
      </c>
      <c r="X17" s="82">
        <v>20</v>
      </c>
      <c r="Y17" s="83" t="s">
        <v>86</v>
      </c>
      <c r="Z17" s="84">
        <v>294321</v>
      </c>
      <c r="AA17" s="84"/>
      <c r="AB17" s="84">
        <v>283947</v>
      </c>
      <c r="AC17" s="84"/>
      <c r="AD17" s="85">
        <v>13754</v>
      </c>
      <c r="AE17" s="85"/>
      <c r="AF17" s="85">
        <v>44640</v>
      </c>
      <c r="AG17" s="85"/>
      <c r="AH17" s="85">
        <v>308178</v>
      </c>
      <c r="AI17" s="85"/>
      <c r="AJ17" s="85">
        <v>89696</v>
      </c>
      <c r="AK17" s="85"/>
      <c r="AL17" s="85">
        <v>2145</v>
      </c>
      <c r="AM17" s="85"/>
      <c r="AN17" s="85">
        <v>12718</v>
      </c>
      <c r="AO17" s="85"/>
      <c r="AP17" s="85">
        <v>26</v>
      </c>
      <c r="AQ17" s="85"/>
      <c r="AR17" s="85">
        <v>37</v>
      </c>
      <c r="AS17" s="85"/>
      <c r="AT17" s="85">
        <v>0</v>
      </c>
      <c r="AU17" s="85"/>
      <c r="AV17" s="85">
        <v>0</v>
      </c>
      <c r="AW17" s="85"/>
      <c r="AX17" s="85">
        <v>52505</v>
      </c>
      <c r="AY17" s="85"/>
      <c r="AZ17" s="85">
        <v>16897</v>
      </c>
      <c r="BA17" s="85"/>
      <c r="BB17" s="85">
        <v>61646</v>
      </c>
      <c r="BC17" s="85"/>
      <c r="BD17" s="85">
        <f>+Z17+AB17</f>
        <v>578268</v>
      </c>
      <c r="BE17" s="85"/>
      <c r="BF17" s="85">
        <v>4</v>
      </c>
      <c r="BG17" s="85">
        <v>31860800</v>
      </c>
      <c r="BH17" s="85">
        <v>12870800</v>
      </c>
      <c r="BI17" s="86">
        <f>+BH17/BG17</f>
        <v>0.4039697684929443</v>
      </c>
      <c r="BJ17" s="87" t="s">
        <v>87</v>
      </c>
      <c r="BK17" s="88" t="s">
        <v>88</v>
      </c>
      <c r="BL17" s="89">
        <v>43466</v>
      </c>
      <c r="BM17" s="89">
        <v>43488</v>
      </c>
      <c r="BN17" s="89">
        <v>43830</v>
      </c>
      <c r="BO17" s="89">
        <v>43830</v>
      </c>
      <c r="BP17" s="77" t="s">
        <v>74</v>
      </c>
      <c r="BQ17" s="90"/>
    </row>
    <row r="18" spans="1:76" ht="15.75" x14ac:dyDescent="0.2">
      <c r="A18" s="53"/>
      <c r="B18" s="3912"/>
      <c r="C18" s="3913"/>
      <c r="D18" s="91">
        <v>28</v>
      </c>
      <c r="E18" s="40" t="s">
        <v>89</v>
      </c>
      <c r="F18" s="92"/>
      <c r="G18" s="92"/>
      <c r="H18" s="93"/>
      <c r="I18" s="51"/>
      <c r="J18" s="51"/>
      <c r="K18" s="49"/>
      <c r="L18" s="49"/>
      <c r="M18" s="94"/>
      <c r="N18" s="51"/>
      <c r="O18" s="95"/>
      <c r="P18" s="96"/>
      <c r="Q18" s="51"/>
      <c r="R18" s="51"/>
      <c r="S18" s="51"/>
      <c r="T18" s="97"/>
      <c r="U18" s="98"/>
      <c r="V18" s="98"/>
      <c r="W18" s="98"/>
      <c r="X18" s="99"/>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51"/>
      <c r="BL18" s="94"/>
      <c r="BM18" s="94"/>
      <c r="BN18" s="94"/>
      <c r="BO18" s="94"/>
      <c r="BP18" s="51"/>
    </row>
    <row r="19" spans="1:76" ht="15.75" x14ac:dyDescent="0.2">
      <c r="A19" s="53"/>
      <c r="B19" s="3912"/>
      <c r="C19" s="3913"/>
      <c r="D19" s="3934"/>
      <c r="E19" s="3937"/>
      <c r="F19" s="100">
        <v>89</v>
      </c>
      <c r="G19" s="3940" t="s">
        <v>90</v>
      </c>
      <c r="H19" s="3940"/>
      <c r="I19" s="3940"/>
      <c r="J19" s="3940"/>
      <c r="K19" s="3940"/>
      <c r="L19" s="101"/>
      <c r="M19" s="102"/>
      <c r="N19" s="3928"/>
      <c r="O19" s="3928"/>
      <c r="P19" s="3928"/>
      <c r="Q19" s="3928"/>
      <c r="R19" s="3928"/>
      <c r="S19" s="3928"/>
      <c r="T19" s="3941"/>
      <c r="U19" s="103"/>
      <c r="V19" s="103"/>
      <c r="W19" s="103"/>
      <c r="X19" s="3927"/>
      <c r="Y19" s="3928"/>
      <c r="Z19" s="3928"/>
      <c r="AA19" s="3928"/>
      <c r="AB19" s="3928"/>
      <c r="AC19" s="104"/>
      <c r="AD19" s="3928"/>
      <c r="AE19" s="3928"/>
      <c r="AF19" s="3928"/>
      <c r="AG19" s="3928"/>
      <c r="AH19" s="3928"/>
      <c r="AI19" s="3928"/>
      <c r="AJ19" s="3928"/>
      <c r="AK19" s="104"/>
      <c r="AL19" s="3928"/>
      <c r="AM19" s="3928"/>
      <c r="AN19" s="3928"/>
      <c r="AO19" s="3928"/>
      <c r="AP19" s="3928"/>
      <c r="AQ19" s="3928"/>
      <c r="AR19" s="3928"/>
      <c r="AS19" s="104"/>
      <c r="AT19" s="3928"/>
      <c r="AU19" s="3928"/>
      <c r="AV19" s="3928"/>
      <c r="AW19" s="3928"/>
      <c r="AX19" s="3928"/>
      <c r="AY19" s="3928"/>
      <c r="AZ19" s="3928"/>
      <c r="BA19" s="104"/>
      <c r="BB19" s="3928"/>
      <c r="BC19" s="3928"/>
      <c r="BD19" s="3928"/>
      <c r="BE19" s="104"/>
      <c r="BF19" s="104"/>
      <c r="BG19" s="104"/>
      <c r="BH19" s="104"/>
      <c r="BI19" s="104"/>
      <c r="BJ19" s="104"/>
      <c r="BK19" s="105"/>
      <c r="BL19" s="3928"/>
      <c r="BM19" s="3928"/>
      <c r="BN19" s="3928"/>
      <c r="BO19" s="3928"/>
      <c r="BP19" s="3928"/>
    </row>
    <row r="20" spans="1:76" ht="45" customHeight="1" x14ac:dyDescent="0.2">
      <c r="A20" s="53"/>
      <c r="B20" s="3912"/>
      <c r="C20" s="3913"/>
      <c r="D20" s="3935"/>
      <c r="E20" s="3938"/>
      <c r="F20" s="3942"/>
      <c r="G20" s="3942"/>
      <c r="H20" s="2711">
        <v>288</v>
      </c>
      <c r="I20" s="3096" t="s">
        <v>91</v>
      </c>
      <c r="J20" s="3096" t="s">
        <v>92</v>
      </c>
      <c r="K20" s="2711">
        <v>1</v>
      </c>
      <c r="L20" s="3080">
        <v>0.3</v>
      </c>
      <c r="M20" s="2711" t="s">
        <v>93</v>
      </c>
      <c r="N20" s="2711" t="s">
        <v>94</v>
      </c>
      <c r="O20" s="3096" t="s">
        <v>95</v>
      </c>
      <c r="P20" s="3932">
        <f>SUM(U20:U24)/Q20</f>
        <v>1</v>
      </c>
      <c r="Q20" s="3188">
        <f>SUM(U20:U24)</f>
        <v>1463092662</v>
      </c>
      <c r="R20" s="3079" t="s">
        <v>96</v>
      </c>
      <c r="S20" s="3950" t="s">
        <v>97</v>
      </c>
      <c r="T20" s="3951" t="s">
        <v>98</v>
      </c>
      <c r="U20" s="106">
        <v>262242662</v>
      </c>
      <c r="V20" s="106">
        <v>262242662</v>
      </c>
      <c r="W20" s="106">
        <v>192668347</v>
      </c>
      <c r="X20" s="107">
        <v>20</v>
      </c>
      <c r="Y20" s="108" t="s">
        <v>87</v>
      </c>
      <c r="Z20" s="3953">
        <v>294321</v>
      </c>
      <c r="AA20" s="3943"/>
      <c r="AB20" s="3943">
        <v>283947</v>
      </c>
      <c r="AC20" s="3943"/>
      <c r="AD20" s="3943">
        <v>13754</v>
      </c>
      <c r="AE20" s="3943"/>
      <c r="AF20" s="3943">
        <v>44640</v>
      </c>
      <c r="AG20" s="3943"/>
      <c r="AH20" s="3943">
        <v>308178</v>
      </c>
      <c r="AI20" s="3943"/>
      <c r="AJ20" s="3943">
        <v>89696</v>
      </c>
      <c r="AK20" s="3943"/>
      <c r="AL20" s="3943">
        <v>2145</v>
      </c>
      <c r="AM20" s="3943"/>
      <c r="AN20" s="3943">
        <v>12718</v>
      </c>
      <c r="AO20" s="3943"/>
      <c r="AP20" s="3943">
        <v>26</v>
      </c>
      <c r="AQ20" s="3943"/>
      <c r="AR20" s="3943">
        <v>37</v>
      </c>
      <c r="AS20" s="3943"/>
      <c r="AT20" s="3943">
        <v>0</v>
      </c>
      <c r="AU20" s="3943"/>
      <c r="AV20" s="3943">
        <v>0</v>
      </c>
      <c r="AW20" s="3943"/>
      <c r="AX20" s="3943">
        <v>52505</v>
      </c>
      <c r="AY20" s="3943"/>
      <c r="AZ20" s="3943">
        <v>16897</v>
      </c>
      <c r="BA20" s="3943"/>
      <c r="BB20" s="3943">
        <v>61646</v>
      </c>
      <c r="BC20" s="3943"/>
      <c r="BD20" s="3943">
        <f>+Z20+AB20</f>
        <v>578268</v>
      </c>
      <c r="BE20" s="3943"/>
      <c r="BF20" s="2703">
        <v>41</v>
      </c>
      <c r="BG20" s="3943">
        <v>1396662066</v>
      </c>
      <c r="BH20" s="3943">
        <v>424690980</v>
      </c>
      <c r="BI20" s="3958">
        <f>+BH20/BG20</f>
        <v>0.30407568898631487</v>
      </c>
      <c r="BJ20" s="3960" t="s">
        <v>72</v>
      </c>
      <c r="BK20" s="3962" t="s">
        <v>99</v>
      </c>
      <c r="BL20" s="3948">
        <v>43466</v>
      </c>
      <c r="BM20" s="3948">
        <v>43475</v>
      </c>
      <c r="BN20" s="3948">
        <v>43830</v>
      </c>
      <c r="BO20" s="3948">
        <v>43830</v>
      </c>
      <c r="BP20" s="3736" t="s">
        <v>74</v>
      </c>
      <c r="BQ20" s="52"/>
      <c r="BR20" s="52"/>
      <c r="BS20" s="52"/>
      <c r="BT20" s="52"/>
      <c r="BU20" s="52"/>
      <c r="BV20" s="52"/>
      <c r="BW20" s="52"/>
      <c r="BX20" s="52"/>
    </row>
    <row r="21" spans="1:76" ht="33" customHeight="1" x14ac:dyDescent="0.2">
      <c r="A21" s="53"/>
      <c r="B21" s="3912"/>
      <c r="C21" s="3913"/>
      <c r="D21" s="3935"/>
      <c r="E21" s="3938"/>
      <c r="F21" s="3942"/>
      <c r="G21" s="3942"/>
      <c r="H21" s="2711"/>
      <c r="I21" s="3096"/>
      <c r="J21" s="3096"/>
      <c r="K21" s="2711"/>
      <c r="L21" s="3141"/>
      <c r="M21" s="2711"/>
      <c r="N21" s="2711"/>
      <c r="O21" s="3096"/>
      <c r="P21" s="3933"/>
      <c r="Q21" s="3188"/>
      <c r="R21" s="3079"/>
      <c r="S21" s="3950"/>
      <c r="T21" s="3952"/>
      <c r="U21" s="109">
        <f>0+694757338</f>
        <v>694757338</v>
      </c>
      <c r="V21" s="109">
        <v>694757338</v>
      </c>
      <c r="W21" s="109">
        <v>0</v>
      </c>
      <c r="X21" s="107">
        <v>88</v>
      </c>
      <c r="Y21" s="108" t="s">
        <v>75</v>
      </c>
      <c r="Z21" s="3954"/>
      <c r="AA21" s="3944"/>
      <c r="AB21" s="3944"/>
      <c r="AC21" s="3944"/>
      <c r="AD21" s="3944"/>
      <c r="AE21" s="3944"/>
      <c r="AF21" s="3944"/>
      <c r="AG21" s="3944"/>
      <c r="AH21" s="3944"/>
      <c r="AI21" s="3944"/>
      <c r="AJ21" s="3944"/>
      <c r="AK21" s="3944"/>
      <c r="AL21" s="3944"/>
      <c r="AM21" s="3944"/>
      <c r="AN21" s="3944"/>
      <c r="AO21" s="3944"/>
      <c r="AP21" s="3944"/>
      <c r="AQ21" s="3944"/>
      <c r="AR21" s="3944"/>
      <c r="AS21" s="3944"/>
      <c r="AT21" s="3944"/>
      <c r="AU21" s="3944"/>
      <c r="AV21" s="3944"/>
      <c r="AW21" s="3944"/>
      <c r="AX21" s="3944"/>
      <c r="AY21" s="3944"/>
      <c r="AZ21" s="3944"/>
      <c r="BA21" s="3944"/>
      <c r="BB21" s="3944"/>
      <c r="BC21" s="3944"/>
      <c r="BD21" s="3944"/>
      <c r="BE21" s="3944"/>
      <c r="BF21" s="2704"/>
      <c r="BG21" s="3944"/>
      <c r="BH21" s="3944"/>
      <c r="BI21" s="3959"/>
      <c r="BJ21" s="3961"/>
      <c r="BK21" s="3963"/>
      <c r="BL21" s="3949"/>
      <c r="BM21" s="3949"/>
      <c r="BN21" s="3949"/>
      <c r="BO21" s="3949"/>
      <c r="BP21" s="3737"/>
      <c r="BQ21" s="52"/>
      <c r="BR21" s="52"/>
      <c r="BS21" s="52"/>
      <c r="BT21" s="52"/>
      <c r="BU21" s="52"/>
      <c r="BV21" s="52"/>
      <c r="BW21" s="52"/>
      <c r="BX21" s="52"/>
    </row>
    <row r="22" spans="1:76" ht="48.75" customHeight="1" x14ac:dyDescent="0.2">
      <c r="A22" s="53"/>
      <c r="B22" s="3912"/>
      <c r="C22" s="3913"/>
      <c r="D22" s="3935"/>
      <c r="E22" s="3938"/>
      <c r="F22" s="3942"/>
      <c r="G22" s="3942"/>
      <c r="H22" s="2711"/>
      <c r="I22" s="3096"/>
      <c r="J22" s="3096"/>
      <c r="K22" s="2711"/>
      <c r="L22" s="3141"/>
      <c r="M22" s="2711"/>
      <c r="N22" s="2711"/>
      <c r="O22" s="3096"/>
      <c r="P22" s="3933"/>
      <c r="Q22" s="3769"/>
      <c r="R22" s="3096"/>
      <c r="S22" s="3950"/>
      <c r="T22" s="110" t="s">
        <v>100</v>
      </c>
      <c r="U22" s="109">
        <v>30000000</v>
      </c>
      <c r="V22" s="109">
        <v>28765900</v>
      </c>
      <c r="W22" s="109">
        <v>0</v>
      </c>
      <c r="X22" s="111">
        <v>20</v>
      </c>
      <c r="Y22" s="108" t="s">
        <v>87</v>
      </c>
      <c r="Z22" s="3954"/>
      <c r="AA22" s="3944"/>
      <c r="AB22" s="3944"/>
      <c r="AC22" s="3944"/>
      <c r="AD22" s="3944"/>
      <c r="AE22" s="3944"/>
      <c r="AF22" s="3944"/>
      <c r="AG22" s="3944"/>
      <c r="AH22" s="3944"/>
      <c r="AI22" s="3944"/>
      <c r="AJ22" s="3944"/>
      <c r="AK22" s="3944"/>
      <c r="AL22" s="3944"/>
      <c r="AM22" s="3944"/>
      <c r="AN22" s="3944"/>
      <c r="AO22" s="3944"/>
      <c r="AP22" s="3944"/>
      <c r="AQ22" s="3944"/>
      <c r="AR22" s="3944"/>
      <c r="AS22" s="3944"/>
      <c r="AT22" s="3944"/>
      <c r="AU22" s="3944"/>
      <c r="AV22" s="3944"/>
      <c r="AW22" s="3944"/>
      <c r="AX22" s="3944"/>
      <c r="AY22" s="3944"/>
      <c r="AZ22" s="3944"/>
      <c r="BA22" s="3944"/>
      <c r="BB22" s="3944"/>
      <c r="BC22" s="3944"/>
      <c r="BD22" s="3944"/>
      <c r="BE22" s="3944"/>
      <c r="BF22" s="2704"/>
      <c r="BG22" s="3944"/>
      <c r="BH22" s="3944"/>
      <c r="BI22" s="3959"/>
      <c r="BJ22" s="3961"/>
      <c r="BK22" s="3963"/>
      <c r="BL22" s="3949"/>
      <c r="BM22" s="3949"/>
      <c r="BN22" s="3949"/>
      <c r="BO22" s="3949"/>
      <c r="BP22" s="3737"/>
      <c r="BQ22" s="52"/>
      <c r="BR22" s="52"/>
      <c r="BS22" s="52"/>
      <c r="BT22" s="52"/>
      <c r="BU22" s="52"/>
      <c r="BV22" s="52"/>
      <c r="BW22" s="52"/>
      <c r="BX22" s="52"/>
    </row>
    <row r="23" spans="1:76" ht="45" x14ac:dyDescent="0.2">
      <c r="A23" s="53"/>
      <c r="B23" s="3089"/>
      <c r="C23" s="3090"/>
      <c r="D23" s="3935"/>
      <c r="E23" s="3938"/>
      <c r="F23" s="3076"/>
      <c r="G23" s="3076"/>
      <c r="H23" s="3080"/>
      <c r="I23" s="3078"/>
      <c r="J23" s="3078"/>
      <c r="K23" s="3080"/>
      <c r="L23" s="3141"/>
      <c r="M23" s="3080"/>
      <c r="N23" s="3080"/>
      <c r="O23" s="3078"/>
      <c r="P23" s="3933"/>
      <c r="Q23" s="3054"/>
      <c r="R23" s="3078"/>
      <c r="S23" s="3955" t="s">
        <v>101</v>
      </c>
      <c r="T23" s="3069" t="s">
        <v>102</v>
      </c>
      <c r="U23" s="109">
        <v>320850000</v>
      </c>
      <c r="V23" s="109">
        <v>317887100</v>
      </c>
      <c r="W23" s="109">
        <v>232022633</v>
      </c>
      <c r="X23" s="111">
        <v>20</v>
      </c>
      <c r="Y23" s="112" t="s">
        <v>103</v>
      </c>
      <c r="Z23" s="3954"/>
      <c r="AA23" s="3944"/>
      <c r="AB23" s="3944"/>
      <c r="AC23" s="3944"/>
      <c r="AD23" s="3944"/>
      <c r="AE23" s="3944"/>
      <c r="AF23" s="3944"/>
      <c r="AG23" s="3944"/>
      <c r="AH23" s="3944"/>
      <c r="AI23" s="3944"/>
      <c r="AJ23" s="3944"/>
      <c r="AK23" s="3944"/>
      <c r="AL23" s="3944"/>
      <c r="AM23" s="3944"/>
      <c r="AN23" s="3944"/>
      <c r="AO23" s="3944"/>
      <c r="AP23" s="3944"/>
      <c r="AQ23" s="3944"/>
      <c r="AR23" s="3944"/>
      <c r="AS23" s="3944"/>
      <c r="AT23" s="3944"/>
      <c r="AU23" s="3944"/>
      <c r="AV23" s="3944"/>
      <c r="AW23" s="3944"/>
      <c r="AX23" s="3944"/>
      <c r="AY23" s="3944"/>
      <c r="AZ23" s="3944"/>
      <c r="BA23" s="3944"/>
      <c r="BB23" s="3944"/>
      <c r="BC23" s="3944"/>
      <c r="BD23" s="3944"/>
      <c r="BE23" s="3944"/>
      <c r="BF23" s="2704"/>
      <c r="BG23" s="3944"/>
      <c r="BH23" s="3944"/>
      <c r="BI23" s="3959"/>
      <c r="BJ23" s="3961"/>
      <c r="BK23" s="3963"/>
      <c r="BL23" s="3949"/>
      <c r="BM23" s="3949"/>
      <c r="BN23" s="3949"/>
      <c r="BO23" s="3949"/>
      <c r="BP23" s="3737"/>
      <c r="BQ23" s="52"/>
      <c r="BR23" s="52"/>
      <c r="BS23" s="52"/>
      <c r="BT23" s="52"/>
      <c r="BU23" s="52"/>
      <c r="BV23" s="52"/>
      <c r="BW23" s="52"/>
      <c r="BX23" s="52"/>
    </row>
    <row r="24" spans="1:76" ht="46.5" customHeight="1" thickBot="1" x14ac:dyDescent="0.25">
      <c r="A24" s="113"/>
      <c r="B24" s="3914"/>
      <c r="C24" s="3915"/>
      <c r="D24" s="3936"/>
      <c r="E24" s="3939"/>
      <c r="F24" s="3076"/>
      <c r="G24" s="3076"/>
      <c r="H24" s="3080"/>
      <c r="I24" s="3078"/>
      <c r="J24" s="3078"/>
      <c r="K24" s="3080"/>
      <c r="L24" s="3931"/>
      <c r="M24" s="3080"/>
      <c r="N24" s="3080"/>
      <c r="O24" s="3078"/>
      <c r="P24" s="3933"/>
      <c r="Q24" s="3054"/>
      <c r="R24" s="3078"/>
      <c r="S24" s="3956"/>
      <c r="T24" s="3957"/>
      <c r="U24" s="114">
        <f>0+155242662</f>
        <v>155242662</v>
      </c>
      <c r="V24" s="114">
        <v>93009066</v>
      </c>
      <c r="W24" s="114">
        <v>0</v>
      </c>
      <c r="X24" s="111">
        <v>88</v>
      </c>
      <c r="Y24" s="112" t="s">
        <v>75</v>
      </c>
      <c r="Z24" s="3954"/>
      <c r="AA24" s="3944"/>
      <c r="AB24" s="3944"/>
      <c r="AC24" s="3944"/>
      <c r="AD24" s="3944"/>
      <c r="AE24" s="3944"/>
      <c r="AF24" s="3944"/>
      <c r="AG24" s="3944"/>
      <c r="AH24" s="3944"/>
      <c r="AI24" s="3944"/>
      <c r="AJ24" s="3944"/>
      <c r="AK24" s="3944"/>
      <c r="AL24" s="3944"/>
      <c r="AM24" s="3944"/>
      <c r="AN24" s="3944"/>
      <c r="AO24" s="3944"/>
      <c r="AP24" s="3944"/>
      <c r="AQ24" s="3944"/>
      <c r="AR24" s="3944"/>
      <c r="AS24" s="3944"/>
      <c r="AT24" s="3944"/>
      <c r="AU24" s="3944"/>
      <c r="AV24" s="3944"/>
      <c r="AW24" s="3944"/>
      <c r="AX24" s="3944"/>
      <c r="AY24" s="3944"/>
      <c r="AZ24" s="3944"/>
      <c r="BA24" s="3944"/>
      <c r="BB24" s="3944"/>
      <c r="BC24" s="3944"/>
      <c r="BD24" s="3944"/>
      <c r="BE24" s="3944"/>
      <c r="BF24" s="2704"/>
      <c r="BG24" s="3944"/>
      <c r="BH24" s="3944"/>
      <c r="BI24" s="3959"/>
      <c r="BJ24" s="3961"/>
      <c r="BK24" s="3963"/>
      <c r="BL24" s="3949"/>
      <c r="BM24" s="3949"/>
      <c r="BN24" s="3949"/>
      <c r="BO24" s="3949"/>
      <c r="BP24" s="3737"/>
      <c r="BQ24" s="52"/>
      <c r="BR24" s="52"/>
      <c r="BS24" s="52"/>
      <c r="BT24" s="52"/>
      <c r="BU24" s="52"/>
      <c r="BV24" s="52"/>
      <c r="BW24" s="52"/>
      <c r="BX24" s="52"/>
    </row>
    <row r="25" spans="1:76" s="128" customFormat="1" ht="16.5" thickBot="1" x14ac:dyDescent="0.3">
      <c r="A25" s="115"/>
      <c r="B25" s="116"/>
      <c r="C25" s="116"/>
      <c r="D25" s="116"/>
      <c r="E25" s="117"/>
      <c r="F25" s="3945" t="s">
        <v>104</v>
      </c>
      <c r="G25" s="3946"/>
      <c r="H25" s="3946"/>
      <c r="I25" s="3946"/>
      <c r="J25" s="3946"/>
      <c r="K25" s="3946"/>
      <c r="L25" s="3946"/>
      <c r="M25" s="3946"/>
      <c r="N25" s="3946"/>
      <c r="O25" s="3946"/>
      <c r="P25" s="3947"/>
      <c r="Q25" s="118">
        <f>+Q13+Q17+Q20</f>
        <v>1953092662</v>
      </c>
      <c r="R25" s="115"/>
      <c r="S25" s="116"/>
      <c r="T25" s="119"/>
      <c r="U25" s="120">
        <f>SUM(U13:U24)</f>
        <v>1953092662</v>
      </c>
      <c r="V25" s="120">
        <f t="shared" ref="V25:W25" si="0">SUM(V13:V24)</f>
        <v>1771841331</v>
      </c>
      <c r="W25" s="120">
        <f t="shared" si="0"/>
        <v>599367280</v>
      </c>
      <c r="X25" s="121"/>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3">
        <f>SUM(BG13:BG24)</f>
        <v>1771841331</v>
      </c>
      <c r="BH25" s="123">
        <f t="shared" ref="BH25" si="1">SUM(BH13:BH24)</f>
        <v>599367280</v>
      </c>
      <c r="BI25" s="124"/>
      <c r="BJ25" s="122"/>
      <c r="BK25" s="122"/>
      <c r="BL25" s="125"/>
      <c r="BM25" s="125"/>
      <c r="BN25" s="126"/>
      <c r="BO25" s="126"/>
      <c r="BP25" s="127"/>
    </row>
    <row r="26" spans="1:76" x14ac:dyDescent="0.2">
      <c r="Q26" s="129"/>
    </row>
    <row r="27" spans="1:76" x14ac:dyDescent="0.2">
      <c r="Q27" s="131"/>
    </row>
    <row r="31" spans="1:76" ht="15.75" x14ac:dyDescent="0.25">
      <c r="K31" s="132" t="s">
        <v>105</v>
      </c>
      <c r="L31" s="132"/>
      <c r="M31" s="133"/>
      <c r="N31" s="133"/>
    </row>
    <row r="32" spans="1:76" ht="15.75" x14ac:dyDescent="0.25">
      <c r="K32" s="134" t="s">
        <v>106</v>
      </c>
      <c r="L32" s="134"/>
      <c r="M32" s="134"/>
    </row>
  </sheetData>
  <sheetProtection password="CBEB" sheet="1" objects="1" scenarios="1"/>
  <mergeCells count="193">
    <mergeCell ref="BP20:BP24"/>
    <mergeCell ref="S23:S24"/>
    <mergeCell ref="T23:T24"/>
    <mergeCell ref="BG20:BG24"/>
    <mergeCell ref="BH20:BH24"/>
    <mergeCell ref="BI20:BI24"/>
    <mergeCell ref="BJ20:BJ24"/>
    <mergeCell ref="BK20:BK24"/>
    <mergeCell ref="BL20:BL24"/>
    <mergeCell ref="BA20:BA24"/>
    <mergeCell ref="BB20:BB24"/>
    <mergeCell ref="BC20:BC24"/>
    <mergeCell ref="BD20:BD24"/>
    <mergeCell ref="BE20:BE24"/>
    <mergeCell ref="BF20:BF24"/>
    <mergeCell ref="AU20:AU24"/>
    <mergeCell ref="AV20:AV24"/>
    <mergeCell ref="AW20:AW24"/>
    <mergeCell ref="AX20:AX24"/>
    <mergeCell ref="AY20:AY24"/>
    <mergeCell ref="AJ20:AJ24"/>
    <mergeCell ref="AK20:AK24"/>
    <mergeCell ref="AL20:AL24"/>
    <mergeCell ref="AM20:AM24"/>
    <mergeCell ref="AN20:AN24"/>
    <mergeCell ref="F25:P25"/>
    <mergeCell ref="BM20:BM24"/>
    <mergeCell ref="BN20:BN24"/>
    <mergeCell ref="BO20:BO24"/>
    <mergeCell ref="Q20:Q24"/>
    <mergeCell ref="AD19:AJ19"/>
    <mergeCell ref="AL19:AR19"/>
    <mergeCell ref="AT19:AZ19"/>
    <mergeCell ref="AC20:AC24"/>
    <mergeCell ref="AD20:AD24"/>
    <mergeCell ref="AE20:AE24"/>
    <mergeCell ref="AF20:AF24"/>
    <mergeCell ref="AG20:AG24"/>
    <mergeCell ref="AH20:AH24"/>
    <mergeCell ref="R20:R24"/>
    <mergeCell ref="S20:S22"/>
    <mergeCell ref="T20:T21"/>
    <mergeCell ref="Z20:Z24"/>
    <mergeCell ref="AA20:AA24"/>
    <mergeCell ref="AB20:AB24"/>
    <mergeCell ref="AZ20:AZ24"/>
    <mergeCell ref="AO20:AO24"/>
    <mergeCell ref="AP20:AP24"/>
    <mergeCell ref="AQ20:AQ24"/>
    <mergeCell ref="AR20:AR24"/>
    <mergeCell ref="AS20:AS24"/>
    <mergeCell ref="AT20:AT24"/>
    <mergeCell ref="AI20:AI24"/>
    <mergeCell ref="J20:J24"/>
    <mergeCell ref="K20:K24"/>
    <mergeCell ref="BO13:BO16"/>
    <mergeCell ref="BP13:BP16"/>
    <mergeCell ref="BA13:BA16"/>
    <mergeCell ref="BB13:BB16"/>
    <mergeCell ref="AQ13:AQ16"/>
    <mergeCell ref="AR13:AR16"/>
    <mergeCell ref="AS13:AS16"/>
    <mergeCell ref="AT13:AT16"/>
    <mergeCell ref="AU13:AU16"/>
    <mergeCell ref="AV13:AV16"/>
    <mergeCell ref="AK13:AK16"/>
    <mergeCell ref="AL13:AL16"/>
    <mergeCell ref="AM13:AM16"/>
    <mergeCell ref="AN13:AN16"/>
    <mergeCell ref="AO13:AO16"/>
    <mergeCell ref="AP13:AP16"/>
    <mergeCell ref="AE13:AE16"/>
    <mergeCell ref="L20:L24"/>
    <mergeCell ref="M20:M24"/>
    <mergeCell ref="N20:N24"/>
    <mergeCell ref="O20:O24"/>
    <mergeCell ref="P20:P24"/>
    <mergeCell ref="D19:D24"/>
    <mergeCell ref="E19:E24"/>
    <mergeCell ref="G19:K19"/>
    <mergeCell ref="N19:T19"/>
    <mergeCell ref="F20:G24"/>
    <mergeCell ref="H20:H24"/>
    <mergeCell ref="I20:I24"/>
    <mergeCell ref="BQ13:BQ14"/>
    <mergeCell ref="S15:S16"/>
    <mergeCell ref="T15:T16"/>
    <mergeCell ref="BM13:BM16"/>
    <mergeCell ref="BN13:BN16"/>
    <mergeCell ref="X19:AB19"/>
    <mergeCell ref="BI13:BI16"/>
    <mergeCell ref="BJ13:BJ16"/>
    <mergeCell ref="BK13:BK16"/>
    <mergeCell ref="BL13:BL16"/>
    <mergeCell ref="BC13:BC16"/>
    <mergeCell ref="BD13:BD16"/>
    <mergeCell ref="BE13:BE16"/>
    <mergeCell ref="BF13:BF16"/>
    <mergeCell ref="BG13:BG16"/>
    <mergeCell ref="BH13:BH16"/>
    <mergeCell ref="AW13:AW16"/>
    <mergeCell ref="AX13:AX16"/>
    <mergeCell ref="AY13:AY16"/>
    <mergeCell ref="AZ13:AZ16"/>
    <mergeCell ref="BB19:BD19"/>
    <mergeCell ref="BL19:BP19"/>
    <mergeCell ref="AJ13:AJ16"/>
    <mergeCell ref="I13:I16"/>
    <mergeCell ref="J13:J16"/>
    <mergeCell ref="K13:K16"/>
    <mergeCell ref="L13:L16"/>
    <mergeCell ref="M13:M16"/>
    <mergeCell ref="AF13:AF16"/>
    <mergeCell ref="AG13:AG16"/>
    <mergeCell ref="AH13:AH16"/>
    <mergeCell ref="AI13:AI16"/>
    <mergeCell ref="T13:T14"/>
    <mergeCell ref="Z13:Z16"/>
    <mergeCell ref="AA13:AA16"/>
    <mergeCell ref="AB13:AB16"/>
    <mergeCell ref="AC13:AC16"/>
    <mergeCell ref="AD13:AD16"/>
    <mergeCell ref="B11:C24"/>
    <mergeCell ref="D12:D17"/>
    <mergeCell ref="E12:E17"/>
    <mergeCell ref="F13:F17"/>
    <mergeCell ref="G13:G17"/>
    <mergeCell ref="AT8:AU8"/>
    <mergeCell ref="AV8:AW8"/>
    <mergeCell ref="AX8:AY8"/>
    <mergeCell ref="AZ8:BA8"/>
    <mergeCell ref="T7:T8"/>
    <mergeCell ref="AD7:AJ7"/>
    <mergeCell ref="N7:N8"/>
    <mergeCell ref="O7:O8"/>
    <mergeCell ref="P7:P8"/>
    <mergeCell ref="Q7:Q8"/>
    <mergeCell ref="R7:R8"/>
    <mergeCell ref="S7:S8"/>
    <mergeCell ref="N13:N16"/>
    <mergeCell ref="O13:O16"/>
    <mergeCell ref="P13:P16"/>
    <mergeCell ref="Q13:Q16"/>
    <mergeCell ref="R13:R16"/>
    <mergeCell ref="S13:S14"/>
    <mergeCell ref="H13:H16"/>
    <mergeCell ref="Z7:AB7"/>
    <mergeCell ref="BG8:BG9"/>
    <mergeCell ref="BH8:BH9"/>
    <mergeCell ref="BI8:BI9"/>
    <mergeCell ref="BJ8:BJ9"/>
    <mergeCell ref="BK8:BK9"/>
    <mergeCell ref="BB8:BC8"/>
    <mergeCell ref="BF8:BF9"/>
    <mergeCell ref="AH8:AI8"/>
    <mergeCell ref="AJ8:AK8"/>
    <mergeCell ref="AL7:AV7"/>
    <mergeCell ref="AX7:BB7"/>
    <mergeCell ref="BD7:BE8"/>
    <mergeCell ref="BF7:BK7"/>
    <mergeCell ref="G7:G8"/>
    <mergeCell ref="H7:H8"/>
    <mergeCell ref="I7:I8"/>
    <mergeCell ref="J7:J8"/>
    <mergeCell ref="K7:L8"/>
    <mergeCell ref="M7:M8"/>
    <mergeCell ref="U7:W7"/>
    <mergeCell ref="X7:X8"/>
    <mergeCell ref="Y7:Y8"/>
    <mergeCell ref="A1:BL4"/>
    <mergeCell ref="A5:K6"/>
    <mergeCell ref="O5:BP5"/>
    <mergeCell ref="O6:Y6"/>
    <mergeCell ref="BL6:BP6"/>
    <mergeCell ref="A7:A8"/>
    <mergeCell ref="B7:C8"/>
    <mergeCell ref="D7:D8"/>
    <mergeCell ref="E7:E8"/>
    <mergeCell ref="F7:F8"/>
    <mergeCell ref="BP7:BP9"/>
    <mergeCell ref="U8:U9"/>
    <mergeCell ref="V8:V9"/>
    <mergeCell ref="W8:W9"/>
    <mergeCell ref="Z8:AA8"/>
    <mergeCell ref="AB8:AC8"/>
    <mergeCell ref="AD8:AE8"/>
    <mergeCell ref="AF8:AG8"/>
    <mergeCell ref="BL7:BM8"/>
    <mergeCell ref="BN7:BO8"/>
    <mergeCell ref="AL8:AM8"/>
    <mergeCell ref="AN8:AO8"/>
    <mergeCell ref="AP8:AQ8"/>
    <mergeCell ref="AR8:AS8"/>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SGTO PA ADMINISTRATIVA</vt:lpstr>
      <vt:lpstr>SGTO PA PLANEACION</vt:lpstr>
      <vt:lpstr>SGTO PA HACIENDA</vt:lpstr>
      <vt:lpstr>SGTO PA INFRA</vt:lpstr>
      <vt:lpstr>SGTO PA INTERIOR</vt:lpstr>
      <vt:lpstr>SGTO PA CULTURA</vt:lpstr>
      <vt:lpstr>SGTO PA TURISMO</vt:lpstr>
      <vt:lpstr>STO PA AGRICULTURA</vt:lpstr>
      <vt:lpstr>SGTO PA PRIVADA </vt:lpstr>
      <vt:lpstr>SGTO PA EDUCACION</vt:lpstr>
      <vt:lpstr>SGTO PA FAMILIA</vt:lpstr>
      <vt:lpstr>SGTO PA REP JUDICIAL</vt:lpstr>
      <vt:lpstr>SGTO PA SALUD</vt:lpstr>
      <vt:lpstr>SGTO PA INDEPORTES</vt:lpstr>
      <vt:lpstr>SGTO PA PROMOTORA</vt:lpstr>
      <vt:lpstr>SGTO PA IDTQ</vt:lpstr>
      <vt:lpstr>'SGTO PA PROMOTORA'!Área_de_impresión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2019-07-24T19:54:05Z</dcterms:created>
  <dcterms:modified xsi:type="dcterms:W3CDTF">2019-08-08T20:25:24Z</dcterms:modified>
</cp:coreProperties>
</file>